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drawings/drawing2.xml" ContentType="application/vnd.openxmlformats-officedocument.drawing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drawings/drawing3.xml" ContentType="application/vnd.openxmlformats-officedocument.drawing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drawings/drawing4.xml" ContentType="application/vnd.openxmlformats-officedocument.drawing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arahwulff/Desktop/Thesis Folder/3. Excel/"/>
    </mc:Choice>
  </mc:AlternateContent>
  <xr:revisionPtr revIDLastSave="0" documentId="13_ncr:1_{6EC2C5BB-C3D2-3443-AEC9-E3E23DE43E3E}" xr6:coauthVersionLast="47" xr6:coauthVersionMax="47" xr10:uidLastSave="{00000000-0000-0000-0000-000000000000}"/>
  <bookViews>
    <workbookView xWindow="0" yWindow="600" windowWidth="38400" windowHeight="21000" activeTab="9" xr2:uid="{00000000-000D-0000-FFFF-FFFF00000000}"/>
  </bookViews>
  <sheets>
    <sheet name="Cover Page" sheetId="14" r:id="rId1"/>
    <sheet name="Workbook Guide" sheetId="13" r:id="rId2"/>
    <sheet name="Data Log" sheetId="2" r:id="rId3"/>
    <sheet name="Assumptions" sheetId="3" r:id="rId4"/>
    <sheet name="Electricity Price Data" sheetId="5" r:id="rId5"/>
    <sheet name="Capture Price Inputs" sheetId="6" r:id="rId6"/>
    <sheet name="Calibration" sheetId="7" r:id="rId7"/>
    <sheet name="Simulation" sheetId="8" r:id="rId8"/>
    <sheet name="WACC" sheetId="4" r:id="rId9"/>
    <sheet name="FCFF Model" sheetId="9" r:id="rId10"/>
    <sheet name="Debt Sizing" sheetId="10" r:id="rId11"/>
    <sheet name="Stress Test" sheetId="11" r:id="rId12"/>
    <sheet name="Output" sheetId="12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3" i="9" l="1"/>
  <c r="B43" i="9"/>
  <c r="B45" i="9"/>
  <c r="B44" i="9"/>
  <c r="E18" i="3"/>
  <c r="E16" i="3" s="1"/>
  <c r="KP31" i="9"/>
  <c r="KO31" i="9"/>
  <c r="KN31" i="9"/>
  <c r="KM31" i="9"/>
  <c r="KL31" i="9"/>
  <c r="KK31" i="9"/>
  <c r="KJ31" i="9"/>
  <c r="KI31" i="9"/>
  <c r="KH31" i="9"/>
  <c r="KG31" i="9"/>
  <c r="KF31" i="9"/>
  <c r="KE31" i="9"/>
  <c r="KD31" i="9"/>
  <c r="KC31" i="9"/>
  <c r="KB31" i="9"/>
  <c r="KA31" i="9"/>
  <c r="JZ31" i="9"/>
  <c r="JY31" i="9"/>
  <c r="JX31" i="9"/>
  <c r="JW31" i="9"/>
  <c r="JV31" i="9"/>
  <c r="JU31" i="9"/>
  <c r="JT31" i="9"/>
  <c r="JS31" i="9"/>
  <c r="JR31" i="9"/>
  <c r="JQ31" i="9"/>
  <c r="JP31" i="9"/>
  <c r="JO31" i="9"/>
  <c r="JN31" i="9"/>
  <c r="JM31" i="9"/>
  <c r="JL31" i="9"/>
  <c r="JK31" i="9"/>
  <c r="JJ31" i="9"/>
  <c r="JI31" i="9"/>
  <c r="JH31" i="9"/>
  <c r="JG31" i="9"/>
  <c r="JF31" i="9"/>
  <c r="JE31" i="9"/>
  <c r="JD31" i="9"/>
  <c r="JC31" i="9"/>
  <c r="JB31" i="9"/>
  <c r="JA31" i="9"/>
  <c r="IZ31" i="9"/>
  <c r="IY31" i="9"/>
  <c r="IX31" i="9"/>
  <c r="IW31" i="9"/>
  <c r="IV31" i="9"/>
  <c r="IU31" i="9"/>
  <c r="IT31" i="9"/>
  <c r="IS31" i="9"/>
  <c r="IR31" i="9"/>
  <c r="IQ31" i="9"/>
  <c r="IP31" i="9"/>
  <c r="IO31" i="9"/>
  <c r="IN31" i="9"/>
  <c r="IM31" i="9"/>
  <c r="IL31" i="9"/>
  <c r="IK31" i="9"/>
  <c r="IJ31" i="9"/>
  <c r="II31" i="9"/>
  <c r="IH31" i="9"/>
  <c r="IG31" i="9"/>
  <c r="IF31" i="9"/>
  <c r="IE31" i="9"/>
  <c r="ID31" i="9"/>
  <c r="IC31" i="9"/>
  <c r="IB31" i="9"/>
  <c r="IA31" i="9"/>
  <c r="HZ31" i="9"/>
  <c r="HY31" i="9"/>
  <c r="HX31" i="9"/>
  <c r="HW31" i="9"/>
  <c r="HV31" i="9"/>
  <c r="HU31" i="9"/>
  <c r="HT31" i="9"/>
  <c r="HS31" i="9"/>
  <c r="HR31" i="9"/>
  <c r="HQ31" i="9"/>
  <c r="HP31" i="9"/>
  <c r="HO31" i="9"/>
  <c r="HN31" i="9"/>
  <c r="HM31" i="9"/>
  <c r="HL31" i="9"/>
  <c r="HK31" i="9"/>
  <c r="HJ31" i="9"/>
  <c r="HI31" i="9"/>
  <c r="HH31" i="9"/>
  <c r="HG31" i="9"/>
  <c r="HF31" i="9"/>
  <c r="HE31" i="9"/>
  <c r="HD31" i="9"/>
  <c r="HC31" i="9"/>
  <c r="HB31" i="9"/>
  <c r="HA31" i="9"/>
  <c r="GZ31" i="9"/>
  <c r="GY31" i="9"/>
  <c r="GX31" i="9"/>
  <c r="GW31" i="9"/>
  <c r="GV31" i="9"/>
  <c r="GU31" i="9"/>
  <c r="GT31" i="9"/>
  <c r="GS31" i="9"/>
  <c r="GR31" i="9"/>
  <c r="GQ31" i="9"/>
  <c r="GP31" i="9"/>
  <c r="GO31" i="9"/>
  <c r="GN31" i="9"/>
  <c r="GM31" i="9"/>
  <c r="GL31" i="9"/>
  <c r="GK31" i="9"/>
  <c r="GJ31" i="9"/>
  <c r="GI31" i="9"/>
  <c r="GH31" i="9"/>
  <c r="GG31" i="9"/>
  <c r="GF31" i="9"/>
  <c r="GE31" i="9"/>
  <c r="GD31" i="9"/>
  <c r="GC31" i="9"/>
  <c r="GB31" i="9"/>
  <c r="GA31" i="9"/>
  <c r="FZ31" i="9"/>
  <c r="FY31" i="9"/>
  <c r="FX31" i="9"/>
  <c r="FW31" i="9"/>
  <c r="FV31" i="9"/>
  <c r="FU31" i="9"/>
  <c r="FT31" i="9"/>
  <c r="FS31" i="9"/>
  <c r="FR31" i="9"/>
  <c r="FQ31" i="9"/>
  <c r="FP31" i="9"/>
  <c r="FO31" i="9"/>
  <c r="FN31" i="9"/>
  <c r="FM31" i="9"/>
  <c r="FL31" i="9"/>
  <c r="FK31" i="9"/>
  <c r="FJ31" i="9"/>
  <c r="FI31" i="9"/>
  <c r="FH31" i="9"/>
  <c r="FG31" i="9"/>
  <c r="FF31" i="9"/>
  <c r="FE31" i="9"/>
  <c r="FD31" i="9"/>
  <c r="FC31" i="9"/>
  <c r="FB31" i="9"/>
  <c r="FA31" i="9"/>
  <c r="EZ31" i="9"/>
  <c r="EY31" i="9"/>
  <c r="EX31" i="9"/>
  <c r="EW31" i="9"/>
  <c r="EV31" i="9"/>
  <c r="EU31" i="9"/>
  <c r="ET31" i="9"/>
  <c r="ES31" i="9"/>
  <c r="ER31" i="9"/>
  <c r="EQ31" i="9"/>
  <c r="EP31" i="9"/>
  <c r="EO31" i="9"/>
  <c r="EN31" i="9"/>
  <c r="EM31" i="9"/>
  <c r="EL31" i="9"/>
  <c r="EK31" i="9"/>
  <c r="EJ31" i="9"/>
  <c r="EI31" i="9"/>
  <c r="EH31" i="9"/>
  <c r="EG31" i="9"/>
  <c r="EF31" i="9"/>
  <c r="EE31" i="9"/>
  <c r="ED31" i="9"/>
  <c r="EC31" i="9"/>
  <c r="EB31" i="9"/>
  <c r="EA31" i="9"/>
  <c r="DZ31" i="9"/>
  <c r="DY31" i="9"/>
  <c r="DX31" i="9"/>
  <c r="DW31" i="9"/>
  <c r="DV31" i="9"/>
  <c r="DU31" i="9"/>
  <c r="DT31" i="9"/>
  <c r="DS31" i="9"/>
  <c r="DR31" i="9"/>
  <c r="BT31" i="9"/>
  <c r="KP19" i="9"/>
  <c r="KO19" i="9"/>
  <c r="KN19" i="9"/>
  <c r="KM19" i="9"/>
  <c r="KL19" i="9"/>
  <c r="KK19" i="9"/>
  <c r="KJ19" i="9"/>
  <c r="KI19" i="9"/>
  <c r="KH19" i="9"/>
  <c r="KG19" i="9"/>
  <c r="KF19" i="9"/>
  <c r="KE19" i="9"/>
  <c r="KD19" i="9"/>
  <c r="KC19" i="9"/>
  <c r="KB19" i="9"/>
  <c r="KA19" i="9"/>
  <c r="JZ19" i="9"/>
  <c r="JY19" i="9"/>
  <c r="JX19" i="9"/>
  <c r="JW19" i="9"/>
  <c r="JV19" i="9"/>
  <c r="JU19" i="9"/>
  <c r="JT19" i="9"/>
  <c r="JS19" i="9"/>
  <c r="JR19" i="9"/>
  <c r="JQ19" i="9"/>
  <c r="JP19" i="9"/>
  <c r="JO19" i="9"/>
  <c r="JN19" i="9"/>
  <c r="JM19" i="9"/>
  <c r="JL19" i="9"/>
  <c r="JK19" i="9"/>
  <c r="JJ19" i="9"/>
  <c r="JI19" i="9"/>
  <c r="JH19" i="9"/>
  <c r="JG19" i="9"/>
  <c r="JF19" i="9"/>
  <c r="JE19" i="9"/>
  <c r="JD19" i="9"/>
  <c r="JC19" i="9"/>
  <c r="JB19" i="9"/>
  <c r="JA19" i="9"/>
  <c r="IZ19" i="9"/>
  <c r="IY19" i="9"/>
  <c r="IX19" i="9"/>
  <c r="IW19" i="9"/>
  <c r="IV19" i="9"/>
  <c r="IU19" i="9"/>
  <c r="IT19" i="9"/>
  <c r="IS19" i="9"/>
  <c r="IR19" i="9"/>
  <c r="IQ19" i="9"/>
  <c r="IP19" i="9"/>
  <c r="IO19" i="9"/>
  <c r="IN19" i="9"/>
  <c r="IM19" i="9"/>
  <c r="IL19" i="9"/>
  <c r="IK19" i="9"/>
  <c r="IJ19" i="9"/>
  <c r="II19" i="9"/>
  <c r="IH19" i="9"/>
  <c r="IG19" i="9"/>
  <c r="IF19" i="9"/>
  <c r="IE19" i="9"/>
  <c r="ID19" i="9"/>
  <c r="IC19" i="9"/>
  <c r="IB19" i="9"/>
  <c r="IA19" i="9"/>
  <c r="HZ19" i="9"/>
  <c r="HY19" i="9"/>
  <c r="HX19" i="9"/>
  <c r="HW19" i="9"/>
  <c r="HV19" i="9"/>
  <c r="HU19" i="9"/>
  <c r="HT19" i="9"/>
  <c r="HS19" i="9"/>
  <c r="HR19" i="9"/>
  <c r="HQ19" i="9"/>
  <c r="HP19" i="9"/>
  <c r="HO19" i="9"/>
  <c r="HN19" i="9"/>
  <c r="HM19" i="9"/>
  <c r="HL19" i="9"/>
  <c r="HK19" i="9"/>
  <c r="HJ19" i="9"/>
  <c r="HI19" i="9"/>
  <c r="HH19" i="9"/>
  <c r="HG19" i="9"/>
  <c r="HF19" i="9"/>
  <c r="HE19" i="9"/>
  <c r="HD19" i="9"/>
  <c r="HC19" i="9"/>
  <c r="HB19" i="9"/>
  <c r="HA19" i="9"/>
  <c r="GZ19" i="9"/>
  <c r="GY19" i="9"/>
  <c r="GX19" i="9"/>
  <c r="GW19" i="9"/>
  <c r="GV19" i="9"/>
  <c r="GU19" i="9"/>
  <c r="GT19" i="9"/>
  <c r="GS19" i="9"/>
  <c r="GR19" i="9"/>
  <c r="GQ19" i="9"/>
  <c r="GP19" i="9"/>
  <c r="GO19" i="9"/>
  <c r="GN19" i="9"/>
  <c r="GM19" i="9"/>
  <c r="GL19" i="9"/>
  <c r="GK19" i="9"/>
  <c r="GJ19" i="9"/>
  <c r="GI19" i="9"/>
  <c r="GH19" i="9"/>
  <c r="GG19" i="9"/>
  <c r="GF19" i="9"/>
  <c r="GE19" i="9"/>
  <c r="GD19" i="9"/>
  <c r="GC19" i="9"/>
  <c r="GB19" i="9"/>
  <c r="GA19" i="9"/>
  <c r="FZ19" i="9"/>
  <c r="FY19" i="9"/>
  <c r="FX19" i="9"/>
  <c r="FW19" i="9"/>
  <c r="FV19" i="9"/>
  <c r="FU19" i="9"/>
  <c r="FT19" i="9"/>
  <c r="FS19" i="9"/>
  <c r="FR19" i="9"/>
  <c r="FQ19" i="9"/>
  <c r="FP19" i="9"/>
  <c r="FO19" i="9"/>
  <c r="FN19" i="9"/>
  <c r="FM19" i="9"/>
  <c r="FL19" i="9"/>
  <c r="FK19" i="9"/>
  <c r="FJ19" i="9"/>
  <c r="FI19" i="9"/>
  <c r="FH19" i="9"/>
  <c r="FG19" i="9"/>
  <c r="FF19" i="9"/>
  <c r="FE19" i="9"/>
  <c r="FD19" i="9"/>
  <c r="FC19" i="9"/>
  <c r="FB19" i="9"/>
  <c r="FA19" i="9"/>
  <c r="EZ19" i="9"/>
  <c r="EY19" i="9"/>
  <c r="EX19" i="9"/>
  <c r="EW19" i="9"/>
  <c r="EV19" i="9"/>
  <c r="EU19" i="9"/>
  <c r="ET19" i="9"/>
  <c r="ES19" i="9"/>
  <c r="ER19" i="9"/>
  <c r="EQ19" i="9"/>
  <c r="EP19" i="9"/>
  <c r="EO19" i="9"/>
  <c r="EN19" i="9"/>
  <c r="EM19" i="9"/>
  <c r="EL19" i="9"/>
  <c r="EK19" i="9"/>
  <c r="EJ19" i="9"/>
  <c r="EI19" i="9"/>
  <c r="EH19" i="9"/>
  <c r="EG19" i="9"/>
  <c r="EF19" i="9"/>
  <c r="EE19" i="9"/>
  <c r="ED19" i="9"/>
  <c r="EC19" i="9"/>
  <c r="EB19" i="9"/>
  <c r="EA19" i="9"/>
  <c r="DZ19" i="9"/>
  <c r="DY19" i="9"/>
  <c r="DX19" i="9"/>
  <c r="DW19" i="9"/>
  <c r="DV19" i="9"/>
  <c r="DU19" i="9"/>
  <c r="DT19" i="9"/>
  <c r="DS19" i="9"/>
  <c r="DR19" i="9"/>
  <c r="DL19" i="9"/>
  <c r="BV19" i="9"/>
  <c r="BT19" i="9"/>
  <c r="BJ19" i="9"/>
  <c r="KP7" i="9"/>
  <c r="KO7" i="9"/>
  <c r="KN7" i="9"/>
  <c r="KM7" i="9"/>
  <c r="KL7" i="9"/>
  <c r="KK7" i="9"/>
  <c r="KJ7" i="9"/>
  <c r="KI7" i="9"/>
  <c r="KH7" i="9"/>
  <c r="KG7" i="9"/>
  <c r="KF7" i="9"/>
  <c r="KE7" i="9"/>
  <c r="KD7" i="9"/>
  <c r="KC7" i="9"/>
  <c r="KB7" i="9"/>
  <c r="KA7" i="9"/>
  <c r="JZ7" i="9"/>
  <c r="JY7" i="9"/>
  <c r="JX7" i="9"/>
  <c r="JW7" i="9"/>
  <c r="JV7" i="9"/>
  <c r="JU7" i="9"/>
  <c r="JT7" i="9"/>
  <c r="JS7" i="9"/>
  <c r="JR7" i="9"/>
  <c r="JQ7" i="9"/>
  <c r="JP7" i="9"/>
  <c r="JO7" i="9"/>
  <c r="JN7" i="9"/>
  <c r="JM7" i="9"/>
  <c r="JL7" i="9"/>
  <c r="JK7" i="9"/>
  <c r="JJ7" i="9"/>
  <c r="JI7" i="9"/>
  <c r="JH7" i="9"/>
  <c r="JG7" i="9"/>
  <c r="JF7" i="9"/>
  <c r="JE7" i="9"/>
  <c r="JD7" i="9"/>
  <c r="JC7" i="9"/>
  <c r="JB7" i="9"/>
  <c r="JA7" i="9"/>
  <c r="IZ7" i="9"/>
  <c r="IY7" i="9"/>
  <c r="IX7" i="9"/>
  <c r="IW7" i="9"/>
  <c r="IV7" i="9"/>
  <c r="IU7" i="9"/>
  <c r="IT7" i="9"/>
  <c r="IS7" i="9"/>
  <c r="IR7" i="9"/>
  <c r="IQ7" i="9"/>
  <c r="IP7" i="9"/>
  <c r="IO7" i="9"/>
  <c r="IN7" i="9"/>
  <c r="IM7" i="9"/>
  <c r="IL7" i="9"/>
  <c r="IK7" i="9"/>
  <c r="IJ7" i="9"/>
  <c r="II7" i="9"/>
  <c r="IH7" i="9"/>
  <c r="IG7" i="9"/>
  <c r="IF7" i="9"/>
  <c r="IE7" i="9"/>
  <c r="ID7" i="9"/>
  <c r="IC7" i="9"/>
  <c r="IB7" i="9"/>
  <c r="IA7" i="9"/>
  <c r="HZ7" i="9"/>
  <c r="HY7" i="9"/>
  <c r="HX7" i="9"/>
  <c r="HW7" i="9"/>
  <c r="HV7" i="9"/>
  <c r="HU7" i="9"/>
  <c r="HT7" i="9"/>
  <c r="HS7" i="9"/>
  <c r="HR7" i="9"/>
  <c r="HQ7" i="9"/>
  <c r="HP7" i="9"/>
  <c r="HO7" i="9"/>
  <c r="HN7" i="9"/>
  <c r="HM7" i="9"/>
  <c r="HL7" i="9"/>
  <c r="HK7" i="9"/>
  <c r="HJ7" i="9"/>
  <c r="HI7" i="9"/>
  <c r="HH7" i="9"/>
  <c r="HG7" i="9"/>
  <c r="HF7" i="9"/>
  <c r="HE7" i="9"/>
  <c r="HD7" i="9"/>
  <c r="HC7" i="9"/>
  <c r="HB7" i="9"/>
  <c r="HA7" i="9"/>
  <c r="GZ7" i="9"/>
  <c r="GY7" i="9"/>
  <c r="GX7" i="9"/>
  <c r="GW7" i="9"/>
  <c r="GV7" i="9"/>
  <c r="GU7" i="9"/>
  <c r="GT7" i="9"/>
  <c r="GS7" i="9"/>
  <c r="GR7" i="9"/>
  <c r="GQ7" i="9"/>
  <c r="GP7" i="9"/>
  <c r="GO7" i="9"/>
  <c r="GN7" i="9"/>
  <c r="GM7" i="9"/>
  <c r="GL7" i="9"/>
  <c r="GK7" i="9"/>
  <c r="GJ7" i="9"/>
  <c r="GI7" i="9"/>
  <c r="GH7" i="9"/>
  <c r="GG7" i="9"/>
  <c r="GF7" i="9"/>
  <c r="GE7" i="9"/>
  <c r="GD7" i="9"/>
  <c r="GC7" i="9"/>
  <c r="GB7" i="9"/>
  <c r="GA7" i="9"/>
  <c r="FZ7" i="9"/>
  <c r="FY7" i="9"/>
  <c r="FX7" i="9"/>
  <c r="FW7" i="9"/>
  <c r="FV7" i="9"/>
  <c r="FU7" i="9"/>
  <c r="FT7" i="9"/>
  <c r="FS7" i="9"/>
  <c r="FR7" i="9"/>
  <c r="FQ7" i="9"/>
  <c r="FP7" i="9"/>
  <c r="FO7" i="9"/>
  <c r="FN7" i="9"/>
  <c r="FM7" i="9"/>
  <c r="FL7" i="9"/>
  <c r="FK7" i="9"/>
  <c r="FJ7" i="9"/>
  <c r="FI7" i="9"/>
  <c r="FH7" i="9"/>
  <c r="FG7" i="9"/>
  <c r="FF7" i="9"/>
  <c r="FE7" i="9"/>
  <c r="FD7" i="9"/>
  <c r="FC7" i="9"/>
  <c r="FB7" i="9"/>
  <c r="FA7" i="9"/>
  <c r="EZ7" i="9"/>
  <c r="EY7" i="9"/>
  <c r="EX7" i="9"/>
  <c r="EW7" i="9"/>
  <c r="EV7" i="9"/>
  <c r="EU7" i="9"/>
  <c r="ET7" i="9"/>
  <c r="ES7" i="9"/>
  <c r="ER7" i="9"/>
  <c r="EQ7" i="9"/>
  <c r="EP7" i="9"/>
  <c r="EO7" i="9"/>
  <c r="EN7" i="9"/>
  <c r="EM7" i="9"/>
  <c r="EL7" i="9"/>
  <c r="EK7" i="9"/>
  <c r="EJ7" i="9"/>
  <c r="EI7" i="9"/>
  <c r="EH7" i="9"/>
  <c r="EG7" i="9"/>
  <c r="EF7" i="9"/>
  <c r="EE7" i="9"/>
  <c r="ED7" i="9"/>
  <c r="EC7" i="9"/>
  <c r="EB7" i="9"/>
  <c r="EA7" i="9"/>
  <c r="DZ7" i="9"/>
  <c r="DY7" i="9"/>
  <c r="DX7" i="9"/>
  <c r="DW7" i="9"/>
  <c r="DV7" i="9"/>
  <c r="DU7" i="9"/>
  <c r="DT7" i="9"/>
  <c r="DS7" i="9"/>
  <c r="DI7" i="9"/>
  <c r="DH7" i="9"/>
  <c r="CU7" i="9"/>
  <c r="CQ7" i="9"/>
  <c r="CP7" i="9"/>
  <c r="CO7" i="9"/>
  <c r="CD7" i="9"/>
  <c r="CC7" i="9"/>
  <c r="BO7" i="9"/>
  <c r="BL7" i="9"/>
  <c r="BK7" i="9"/>
  <c r="BG7" i="9"/>
  <c r="AX7" i="9"/>
  <c r="AW7" i="9"/>
  <c r="AK7" i="9"/>
  <c r="AE7" i="9"/>
  <c r="AD7" i="9"/>
  <c r="AC7" i="9"/>
  <c r="R7" i="9"/>
  <c r="Q7" i="9"/>
  <c r="E39" i="4"/>
  <c r="E27" i="4"/>
  <c r="E25" i="4"/>
  <c r="E26" i="4" s="1"/>
  <c r="E24" i="4"/>
  <c r="E18" i="4"/>
  <c r="E17" i="4"/>
  <c r="E16" i="4"/>
  <c r="E15" i="4"/>
  <c r="E14" i="4"/>
  <c r="E10" i="4"/>
  <c r="E9" i="4"/>
  <c r="E8" i="4"/>
  <c r="E28" i="4" s="1"/>
  <c r="E47" i="3"/>
  <c r="E41" i="3"/>
  <c r="E40" i="3"/>
  <c r="CW19" i="9" s="1"/>
  <c r="E36" i="3"/>
  <c r="E25" i="3"/>
  <c r="E24" i="3"/>
  <c r="E23" i="3"/>
  <c r="E22" i="3"/>
  <c r="E15" i="3"/>
  <c r="E11" i="3"/>
  <c r="Q30" i="9" l="1"/>
  <c r="CV31" i="9"/>
  <c r="K7" i="9"/>
  <c r="AQ7" i="9"/>
  <c r="BZ7" i="9"/>
  <c r="DF7" i="9"/>
  <c r="J19" i="9"/>
  <c r="P7" i="9"/>
  <c r="AU7" i="9"/>
  <c r="CB7" i="9"/>
  <c r="DG7" i="9"/>
  <c r="U19" i="9"/>
  <c r="BA19" i="9"/>
  <c r="GO6" i="9"/>
  <c r="GO8" i="9" s="1"/>
  <c r="HQ18" i="9"/>
  <c r="HQ20" i="9" s="1"/>
  <c r="BS6" i="9"/>
  <c r="BS8" i="9" s="1"/>
  <c r="GS6" i="9"/>
  <c r="GS8" i="9" s="1"/>
  <c r="W6" i="9"/>
  <c r="JY6" i="9"/>
  <c r="JY8" i="9" s="1"/>
  <c r="AX6" i="9"/>
  <c r="AX8" i="9" s="1"/>
  <c r="DO6" i="9"/>
  <c r="FQ6" i="9"/>
  <c r="FQ8" i="9" s="1"/>
  <c r="IU6" i="9"/>
  <c r="IU8" i="9" s="1"/>
  <c r="J7" i="9"/>
  <c r="AA7" i="9"/>
  <c r="AO7" i="9"/>
  <c r="BF7" i="9"/>
  <c r="BU7" i="9"/>
  <c r="CM7" i="9"/>
  <c r="DA7" i="9"/>
  <c r="DR7" i="9"/>
  <c r="HL18" i="9"/>
  <c r="HL20" i="9" s="1"/>
  <c r="AT19" i="9"/>
  <c r="CX19" i="9"/>
  <c r="N31" i="9"/>
  <c r="EP6" i="9"/>
  <c r="EP8" i="9" s="1"/>
  <c r="Y6" i="9"/>
  <c r="CS6" i="9"/>
  <c r="EQ6" i="9"/>
  <c r="EQ8" i="9" s="1"/>
  <c r="HS6" i="9"/>
  <c r="HS8" i="9" s="1"/>
  <c r="E7" i="9"/>
  <c r="U7" i="9"/>
  <c r="AL7" i="9"/>
  <c r="BA7" i="9"/>
  <c r="BQ7" i="9"/>
  <c r="CE7" i="9"/>
  <c r="CW7" i="9"/>
  <c r="DJ7" i="9"/>
  <c r="BR18" i="9"/>
  <c r="Y19" i="9"/>
  <c r="CL19" i="9"/>
  <c r="DS6" i="9"/>
  <c r="DS8" i="9" s="1"/>
  <c r="HR6" i="9"/>
  <c r="HR8" i="9" s="1"/>
  <c r="Z6" i="9"/>
  <c r="Z8" i="9" s="1"/>
  <c r="CT6" i="9"/>
  <c r="FO6" i="9"/>
  <c r="FO8" i="9" s="1"/>
  <c r="HT6" i="9"/>
  <c r="HT8" i="9" s="1"/>
  <c r="H7" i="9"/>
  <c r="V7" i="9"/>
  <c r="AM7" i="9"/>
  <c r="BB7" i="9"/>
  <c r="BS7" i="9"/>
  <c r="CG7" i="9"/>
  <c r="CX7" i="9"/>
  <c r="DP7" i="9"/>
  <c r="CF18" i="9"/>
  <c r="AL19" i="9"/>
  <c r="CM19" i="9"/>
  <c r="AY6" i="9"/>
  <c r="IW6" i="9"/>
  <c r="IW8" i="9" s="1"/>
  <c r="DT6" i="9"/>
  <c r="DT8" i="9" s="1"/>
  <c r="JU6" i="9"/>
  <c r="JU8" i="9" s="1"/>
  <c r="IB18" i="9"/>
  <c r="IB20" i="9" s="1"/>
  <c r="BU6" i="9"/>
  <c r="EO6" i="9"/>
  <c r="EO8" i="9" s="1"/>
  <c r="GT6" i="9"/>
  <c r="GT8" i="9" s="1"/>
  <c r="JX6" i="9"/>
  <c r="JX8" i="9" s="1"/>
  <c r="BV6" i="9"/>
  <c r="AT6" i="9"/>
  <c r="CU6" i="9"/>
  <c r="CU8" i="9" s="1"/>
  <c r="FP6" i="9"/>
  <c r="FP8" i="9" s="1"/>
  <c r="IT6" i="9"/>
  <c r="IT8" i="9" s="1"/>
  <c r="I7" i="9"/>
  <c r="Z7" i="9"/>
  <c r="AN7" i="9"/>
  <c r="BE7" i="9"/>
  <c r="BT7" i="9"/>
  <c r="CK7" i="9"/>
  <c r="CZ7" i="9"/>
  <c r="DQ7" i="9"/>
  <c r="DN18" i="9"/>
  <c r="AO19" i="9"/>
  <c r="E31" i="3"/>
  <c r="E35" i="3"/>
  <c r="E19" i="4"/>
  <c r="E20" i="4" s="1"/>
  <c r="E34" i="4" s="1"/>
  <c r="KI30" i="9"/>
  <c r="KI32" i="9" s="1"/>
  <c r="KA30" i="9"/>
  <c r="KA32" i="9" s="1"/>
  <c r="JS30" i="9"/>
  <c r="JS32" i="9" s="1"/>
  <c r="JK30" i="9"/>
  <c r="JK32" i="9" s="1"/>
  <c r="JC30" i="9"/>
  <c r="JC32" i="9" s="1"/>
  <c r="IU30" i="9"/>
  <c r="IU32" i="9" s="1"/>
  <c r="IM30" i="9"/>
  <c r="IM32" i="9" s="1"/>
  <c r="IE30" i="9"/>
  <c r="IE32" i="9" s="1"/>
  <c r="HW30" i="9"/>
  <c r="HW32" i="9" s="1"/>
  <c r="HO30" i="9"/>
  <c r="HO32" i="9" s="1"/>
  <c r="HG30" i="9"/>
  <c r="HG32" i="9" s="1"/>
  <c r="GY30" i="9"/>
  <c r="GY32" i="9" s="1"/>
  <c r="GQ30" i="9"/>
  <c r="GQ32" i="9" s="1"/>
  <c r="GI30" i="9"/>
  <c r="GI32" i="9" s="1"/>
  <c r="GA30" i="9"/>
  <c r="GA32" i="9" s="1"/>
  <c r="FS30" i="9"/>
  <c r="FS32" i="9" s="1"/>
  <c r="FK30" i="9"/>
  <c r="FK32" i="9" s="1"/>
  <c r="FC30" i="9"/>
  <c r="FC32" i="9" s="1"/>
  <c r="EU30" i="9"/>
  <c r="EU32" i="9" s="1"/>
  <c r="EM30" i="9"/>
  <c r="EM32" i="9" s="1"/>
  <c r="EE30" i="9"/>
  <c r="EE32" i="9" s="1"/>
  <c r="DW30" i="9"/>
  <c r="DW32" i="9" s="1"/>
  <c r="DO30" i="9"/>
  <c r="DG30" i="9"/>
  <c r="CY30" i="9"/>
  <c r="CQ30" i="9"/>
  <c r="CI30" i="9"/>
  <c r="CA30" i="9"/>
  <c r="BS30" i="9"/>
  <c r="BK30" i="9"/>
  <c r="BC30" i="9"/>
  <c r="AU30" i="9"/>
  <c r="AM30" i="9"/>
  <c r="AE30" i="9"/>
  <c r="W30" i="9"/>
  <c r="O30" i="9"/>
  <c r="G30" i="9"/>
  <c r="KK30" i="9"/>
  <c r="KK32" i="9" s="1"/>
  <c r="KB30" i="9"/>
  <c r="KB32" i="9" s="1"/>
  <c r="JR30" i="9"/>
  <c r="JR32" i="9" s="1"/>
  <c r="JI30" i="9"/>
  <c r="JI32" i="9" s="1"/>
  <c r="IZ30" i="9"/>
  <c r="IZ32" i="9" s="1"/>
  <c r="IQ30" i="9"/>
  <c r="IQ32" i="9" s="1"/>
  <c r="IH30" i="9"/>
  <c r="IH32" i="9" s="1"/>
  <c r="HY30" i="9"/>
  <c r="HY32" i="9" s="1"/>
  <c r="HP30" i="9"/>
  <c r="HP32" i="9" s="1"/>
  <c r="HF30" i="9"/>
  <c r="HF32" i="9" s="1"/>
  <c r="GW30" i="9"/>
  <c r="GW32" i="9" s="1"/>
  <c r="GN30" i="9"/>
  <c r="GN32" i="9" s="1"/>
  <c r="GE30" i="9"/>
  <c r="GE32" i="9" s="1"/>
  <c r="FV30" i="9"/>
  <c r="FV32" i="9" s="1"/>
  <c r="FM30" i="9"/>
  <c r="FM32" i="9" s="1"/>
  <c r="FD30" i="9"/>
  <c r="FD32" i="9" s="1"/>
  <c r="ET30" i="9"/>
  <c r="ET32" i="9" s="1"/>
  <c r="EK30" i="9"/>
  <c r="EK32" i="9" s="1"/>
  <c r="EB30" i="9"/>
  <c r="EB32" i="9" s="1"/>
  <c r="DS30" i="9"/>
  <c r="DS32" i="9" s="1"/>
  <c r="DJ30" i="9"/>
  <c r="DA30" i="9"/>
  <c r="CR30" i="9"/>
  <c r="CH30" i="9"/>
  <c r="BY30" i="9"/>
  <c r="BP30" i="9"/>
  <c r="BG30" i="9"/>
  <c r="AX30" i="9"/>
  <c r="AO30" i="9"/>
  <c r="AF30" i="9"/>
  <c r="V30" i="9"/>
  <c r="M30" i="9"/>
  <c r="D30" i="9"/>
  <c r="KO30" i="9"/>
  <c r="KO32" i="9" s="1"/>
  <c r="KE30" i="9"/>
  <c r="KE32" i="9" s="1"/>
  <c r="JU30" i="9"/>
  <c r="JU32" i="9" s="1"/>
  <c r="JJ30" i="9"/>
  <c r="JJ32" i="9" s="1"/>
  <c r="IY30" i="9"/>
  <c r="IY32" i="9" s="1"/>
  <c r="IO30" i="9"/>
  <c r="IO32" i="9" s="1"/>
  <c r="ID30" i="9"/>
  <c r="ID32" i="9" s="1"/>
  <c r="HT30" i="9"/>
  <c r="HT32" i="9" s="1"/>
  <c r="HJ30" i="9"/>
  <c r="HJ32" i="9" s="1"/>
  <c r="GZ30" i="9"/>
  <c r="GZ32" i="9" s="1"/>
  <c r="GO30" i="9"/>
  <c r="GO32" i="9" s="1"/>
  <c r="GD30" i="9"/>
  <c r="GD32" i="9" s="1"/>
  <c r="FT30" i="9"/>
  <c r="FT32" i="9" s="1"/>
  <c r="FI30" i="9"/>
  <c r="FI32" i="9" s="1"/>
  <c r="EY30" i="9"/>
  <c r="EY32" i="9" s="1"/>
  <c r="EO30" i="9"/>
  <c r="EO32" i="9" s="1"/>
  <c r="ED30" i="9"/>
  <c r="ED32" i="9" s="1"/>
  <c r="DT30" i="9"/>
  <c r="DT32" i="9" s="1"/>
  <c r="DI30" i="9"/>
  <c r="CX30" i="9"/>
  <c r="CN30" i="9"/>
  <c r="CD30" i="9"/>
  <c r="BT30" i="9"/>
  <c r="BT32" i="9" s="1"/>
  <c r="BI30" i="9"/>
  <c r="AY30" i="9"/>
  <c r="AN30" i="9"/>
  <c r="AC30" i="9"/>
  <c r="S30" i="9"/>
  <c r="I30" i="9"/>
  <c r="KM18" i="9"/>
  <c r="KM20" i="9" s="1"/>
  <c r="KE18" i="9"/>
  <c r="KE20" i="9" s="1"/>
  <c r="JW18" i="9"/>
  <c r="JW20" i="9" s="1"/>
  <c r="JO18" i="9"/>
  <c r="JO20" i="9" s="1"/>
  <c r="JG18" i="9"/>
  <c r="JG20" i="9" s="1"/>
  <c r="IY18" i="9"/>
  <c r="IY20" i="9" s="1"/>
  <c r="IQ18" i="9"/>
  <c r="IQ20" i="9" s="1"/>
  <c r="II18" i="9"/>
  <c r="II20" i="9" s="1"/>
  <c r="IA18" i="9"/>
  <c r="IA20" i="9" s="1"/>
  <c r="HS18" i="9"/>
  <c r="HS20" i="9" s="1"/>
  <c r="HK18" i="9"/>
  <c r="HK20" i="9" s="1"/>
  <c r="HC18" i="9"/>
  <c r="HC20" i="9" s="1"/>
  <c r="GU18" i="9"/>
  <c r="GU20" i="9" s="1"/>
  <c r="GM18" i="9"/>
  <c r="GM20" i="9" s="1"/>
  <c r="GE18" i="9"/>
  <c r="GE20" i="9" s="1"/>
  <c r="FW18" i="9"/>
  <c r="FW20" i="9" s="1"/>
  <c r="FO18" i="9"/>
  <c r="FO20" i="9" s="1"/>
  <c r="FG18" i="9"/>
  <c r="FG20" i="9" s="1"/>
  <c r="EY18" i="9"/>
  <c r="EY20" i="9" s="1"/>
  <c r="EQ18" i="9"/>
  <c r="EQ20" i="9" s="1"/>
  <c r="EI18" i="9"/>
  <c r="EI20" i="9" s="1"/>
  <c r="EA18" i="9"/>
  <c r="EA20" i="9" s="1"/>
  <c r="DS18" i="9"/>
  <c r="DS20" i="9" s="1"/>
  <c r="DK18" i="9"/>
  <c r="DC18" i="9"/>
  <c r="CU18" i="9"/>
  <c r="CM18" i="9"/>
  <c r="CE18" i="9"/>
  <c r="BW18" i="9"/>
  <c r="BO18" i="9"/>
  <c r="BG18" i="9"/>
  <c r="AY18" i="9"/>
  <c r="AQ18" i="9"/>
  <c r="AI18" i="9"/>
  <c r="AA18" i="9"/>
  <c r="S18" i="9"/>
  <c r="K18" i="9"/>
  <c r="C18" i="9"/>
  <c r="KL30" i="9"/>
  <c r="KL32" i="9" s="1"/>
  <c r="JY30" i="9"/>
  <c r="JY32" i="9" s="1"/>
  <c r="JN30" i="9"/>
  <c r="JN32" i="9" s="1"/>
  <c r="JB30" i="9"/>
  <c r="JB32" i="9" s="1"/>
  <c r="IP30" i="9"/>
  <c r="IP32" i="9" s="1"/>
  <c r="IC30" i="9"/>
  <c r="IC32" i="9" s="1"/>
  <c r="HR30" i="9"/>
  <c r="HR32" i="9" s="1"/>
  <c r="HE30" i="9"/>
  <c r="HE32" i="9" s="1"/>
  <c r="GT30" i="9"/>
  <c r="GT32" i="9" s="1"/>
  <c r="GH30" i="9"/>
  <c r="GH32" i="9" s="1"/>
  <c r="FW30" i="9"/>
  <c r="FW32" i="9" s="1"/>
  <c r="FJ30" i="9"/>
  <c r="FJ32" i="9" s="1"/>
  <c r="EX30" i="9"/>
  <c r="EX32" i="9" s="1"/>
  <c r="EL30" i="9"/>
  <c r="EL32" i="9" s="1"/>
  <c r="DZ30" i="9"/>
  <c r="DZ32" i="9" s="1"/>
  <c r="DN30" i="9"/>
  <c r="DC30" i="9"/>
  <c r="CP30" i="9"/>
  <c r="CE30" i="9"/>
  <c r="BR30" i="9"/>
  <c r="BF30" i="9"/>
  <c r="AT30" i="9"/>
  <c r="AI30" i="9"/>
  <c r="X30" i="9"/>
  <c r="K30" i="9"/>
  <c r="KJ30" i="9"/>
  <c r="KJ32" i="9" s="1"/>
  <c r="JX30" i="9"/>
  <c r="JX32" i="9" s="1"/>
  <c r="JM30" i="9"/>
  <c r="JM32" i="9" s="1"/>
  <c r="JA30" i="9"/>
  <c r="JA32" i="9" s="1"/>
  <c r="IN30" i="9"/>
  <c r="IN32" i="9" s="1"/>
  <c r="IB30" i="9"/>
  <c r="IB32" i="9" s="1"/>
  <c r="HQ30" i="9"/>
  <c r="HQ32" i="9" s="1"/>
  <c r="HD30" i="9"/>
  <c r="HD32" i="9" s="1"/>
  <c r="GS30" i="9"/>
  <c r="GS32" i="9" s="1"/>
  <c r="GG30" i="9"/>
  <c r="GG32" i="9" s="1"/>
  <c r="FU30" i="9"/>
  <c r="FU32" i="9" s="1"/>
  <c r="FH30" i="9"/>
  <c r="FH32" i="9" s="1"/>
  <c r="EW30" i="9"/>
  <c r="EW32" i="9" s="1"/>
  <c r="EJ30" i="9"/>
  <c r="EJ32" i="9" s="1"/>
  <c r="DY30" i="9"/>
  <c r="DY32" i="9" s="1"/>
  <c r="DM30" i="9"/>
  <c r="DB30" i="9"/>
  <c r="CO30" i="9"/>
  <c r="CC30" i="9"/>
  <c r="BQ30" i="9"/>
  <c r="BE30" i="9"/>
  <c r="AS30" i="9"/>
  <c r="AH30" i="9"/>
  <c r="U30" i="9"/>
  <c r="J30" i="9"/>
  <c r="KJ18" i="9"/>
  <c r="KJ20" i="9" s="1"/>
  <c r="KA18" i="9"/>
  <c r="KA20" i="9" s="1"/>
  <c r="JR18" i="9"/>
  <c r="JR20" i="9" s="1"/>
  <c r="JI18" i="9"/>
  <c r="JI20" i="9" s="1"/>
  <c r="IZ18" i="9"/>
  <c r="IZ20" i="9" s="1"/>
  <c r="IP18" i="9"/>
  <c r="IP20" i="9" s="1"/>
  <c r="IG18" i="9"/>
  <c r="IG20" i="9" s="1"/>
  <c r="HX18" i="9"/>
  <c r="HX20" i="9" s="1"/>
  <c r="HO18" i="9"/>
  <c r="HO20" i="9" s="1"/>
  <c r="HF18" i="9"/>
  <c r="HF20" i="9" s="1"/>
  <c r="GW18" i="9"/>
  <c r="GW20" i="9" s="1"/>
  <c r="GN18" i="9"/>
  <c r="GN20" i="9" s="1"/>
  <c r="GD18" i="9"/>
  <c r="GD20" i="9" s="1"/>
  <c r="FU18" i="9"/>
  <c r="FU20" i="9" s="1"/>
  <c r="FL18" i="9"/>
  <c r="FL20" i="9" s="1"/>
  <c r="FC18" i="9"/>
  <c r="FC20" i="9" s="1"/>
  <c r="ET18" i="9"/>
  <c r="ET20" i="9" s="1"/>
  <c r="EK18" i="9"/>
  <c r="EK20" i="9" s="1"/>
  <c r="EB18" i="9"/>
  <c r="EB20" i="9" s="1"/>
  <c r="DR18" i="9"/>
  <c r="DR20" i="9" s="1"/>
  <c r="DI18" i="9"/>
  <c r="CZ18" i="9"/>
  <c r="CQ18" i="9"/>
  <c r="CH18" i="9"/>
  <c r="BY18" i="9"/>
  <c r="BP18" i="9"/>
  <c r="BF18" i="9"/>
  <c r="AW18" i="9"/>
  <c r="AN18" i="9"/>
  <c r="AE18" i="9"/>
  <c r="V18" i="9"/>
  <c r="M18" i="9"/>
  <c r="D18" i="9"/>
  <c r="KJ6" i="9"/>
  <c r="KJ8" i="9" s="1"/>
  <c r="KB6" i="9"/>
  <c r="KB8" i="9" s="1"/>
  <c r="JT6" i="9"/>
  <c r="JT8" i="9" s="1"/>
  <c r="JL6" i="9"/>
  <c r="JL8" i="9" s="1"/>
  <c r="JD6" i="9"/>
  <c r="JD8" i="9" s="1"/>
  <c r="IV6" i="9"/>
  <c r="IV8" i="9" s="1"/>
  <c r="IN6" i="9"/>
  <c r="IN8" i="9" s="1"/>
  <c r="IF6" i="9"/>
  <c r="IF8" i="9" s="1"/>
  <c r="HX6" i="9"/>
  <c r="HX8" i="9" s="1"/>
  <c r="HP6" i="9"/>
  <c r="HP8" i="9" s="1"/>
  <c r="HH6" i="9"/>
  <c r="HH8" i="9" s="1"/>
  <c r="GZ6" i="9"/>
  <c r="GZ8" i="9" s="1"/>
  <c r="GR6" i="9"/>
  <c r="GR8" i="9" s="1"/>
  <c r="GJ6" i="9"/>
  <c r="GJ8" i="9" s="1"/>
  <c r="GB6" i="9"/>
  <c r="GB8" i="9" s="1"/>
  <c r="FT6" i="9"/>
  <c r="FT8" i="9" s="1"/>
  <c r="FL6" i="9"/>
  <c r="FL8" i="9" s="1"/>
  <c r="KH30" i="9"/>
  <c r="KH32" i="9" s="1"/>
  <c r="JW30" i="9"/>
  <c r="JW32" i="9" s="1"/>
  <c r="JL30" i="9"/>
  <c r="JL32" i="9" s="1"/>
  <c r="IX30" i="9"/>
  <c r="IX32" i="9" s="1"/>
  <c r="IL30" i="9"/>
  <c r="IL32" i="9" s="1"/>
  <c r="IA30" i="9"/>
  <c r="IA32" i="9" s="1"/>
  <c r="HN30" i="9"/>
  <c r="HN32" i="9" s="1"/>
  <c r="HC30" i="9"/>
  <c r="HC32" i="9" s="1"/>
  <c r="GR30" i="9"/>
  <c r="GR32" i="9" s="1"/>
  <c r="GF30" i="9"/>
  <c r="GF32" i="9" s="1"/>
  <c r="FR30" i="9"/>
  <c r="FR32" i="9" s="1"/>
  <c r="FG30" i="9"/>
  <c r="FG32" i="9" s="1"/>
  <c r="EV30" i="9"/>
  <c r="EV32" i="9" s="1"/>
  <c r="EI30" i="9"/>
  <c r="EI32" i="9" s="1"/>
  <c r="DX30" i="9"/>
  <c r="DX32" i="9" s="1"/>
  <c r="DL30" i="9"/>
  <c r="CZ30" i="9"/>
  <c r="CM30" i="9"/>
  <c r="CB30" i="9"/>
  <c r="BO30" i="9"/>
  <c r="BD30" i="9"/>
  <c r="AR30" i="9"/>
  <c r="AG30" i="9"/>
  <c r="T30" i="9"/>
  <c r="H30" i="9"/>
  <c r="KG30" i="9"/>
  <c r="KG32" i="9" s="1"/>
  <c r="JV30" i="9"/>
  <c r="JV32" i="9" s="1"/>
  <c r="JH30" i="9"/>
  <c r="JH32" i="9" s="1"/>
  <c r="IW30" i="9"/>
  <c r="IW32" i="9" s="1"/>
  <c r="IK30" i="9"/>
  <c r="IK32" i="9" s="1"/>
  <c r="HZ30" i="9"/>
  <c r="HZ32" i="9" s="1"/>
  <c r="HM30" i="9"/>
  <c r="HM32" i="9" s="1"/>
  <c r="HB30" i="9"/>
  <c r="HB32" i="9" s="1"/>
  <c r="GP30" i="9"/>
  <c r="GP32" i="9" s="1"/>
  <c r="GC30" i="9"/>
  <c r="GC32" i="9" s="1"/>
  <c r="FQ30" i="9"/>
  <c r="FQ32" i="9" s="1"/>
  <c r="FF30" i="9"/>
  <c r="FF32" i="9" s="1"/>
  <c r="ES30" i="9"/>
  <c r="ES32" i="9" s="1"/>
  <c r="EH30" i="9"/>
  <c r="EH32" i="9" s="1"/>
  <c r="DV30" i="9"/>
  <c r="DV32" i="9" s="1"/>
  <c r="DK30" i="9"/>
  <c r="CW30" i="9"/>
  <c r="CL30" i="9"/>
  <c r="BZ30" i="9"/>
  <c r="BN30" i="9"/>
  <c r="BB30" i="9"/>
  <c r="AQ30" i="9"/>
  <c r="AD30" i="9"/>
  <c r="R30" i="9"/>
  <c r="F30" i="9"/>
  <c r="KC30" i="9"/>
  <c r="KC32" i="9" s="1"/>
  <c r="JE30" i="9"/>
  <c r="JE32" i="9" s="1"/>
  <c r="IG30" i="9"/>
  <c r="IG32" i="9" s="1"/>
  <c r="HI30" i="9"/>
  <c r="HI32" i="9" s="1"/>
  <c r="GK30" i="9"/>
  <c r="GK32" i="9" s="1"/>
  <c r="FN30" i="9"/>
  <c r="FN32" i="9" s="1"/>
  <c r="EP30" i="9"/>
  <c r="EP32" i="9" s="1"/>
  <c r="DQ30" i="9"/>
  <c r="CT30" i="9"/>
  <c r="BV30" i="9"/>
  <c r="AW30" i="9"/>
  <c r="Z30" i="9"/>
  <c r="KP18" i="9"/>
  <c r="KP20" i="9" s="1"/>
  <c r="KF18" i="9"/>
  <c r="KF20" i="9" s="1"/>
  <c r="JU18" i="9"/>
  <c r="JU20" i="9" s="1"/>
  <c r="JK18" i="9"/>
  <c r="JK20" i="9" s="1"/>
  <c r="JA18" i="9"/>
  <c r="JA20" i="9" s="1"/>
  <c r="IO18" i="9"/>
  <c r="IO20" i="9" s="1"/>
  <c r="IE18" i="9"/>
  <c r="IE20" i="9" s="1"/>
  <c r="HU18" i="9"/>
  <c r="HU20" i="9" s="1"/>
  <c r="HJ18" i="9"/>
  <c r="HJ20" i="9" s="1"/>
  <c r="GZ18" i="9"/>
  <c r="GZ20" i="9" s="1"/>
  <c r="GP18" i="9"/>
  <c r="GP20" i="9" s="1"/>
  <c r="GF18" i="9"/>
  <c r="GF20" i="9" s="1"/>
  <c r="FT18" i="9"/>
  <c r="FT20" i="9" s="1"/>
  <c r="FJ18" i="9"/>
  <c r="FJ20" i="9" s="1"/>
  <c r="EZ18" i="9"/>
  <c r="EZ20" i="9" s="1"/>
  <c r="EO18" i="9"/>
  <c r="EO20" i="9" s="1"/>
  <c r="EE18" i="9"/>
  <c r="EE20" i="9" s="1"/>
  <c r="DU18" i="9"/>
  <c r="DU20" i="9" s="1"/>
  <c r="DJ18" i="9"/>
  <c r="CY18" i="9"/>
  <c r="CO18" i="9"/>
  <c r="CD18" i="9"/>
  <c r="BT18" i="9"/>
  <c r="BT20" i="9" s="1"/>
  <c r="BJ18" i="9"/>
  <c r="BJ20" i="9" s="1"/>
  <c r="AZ18" i="9"/>
  <c r="AO18" i="9"/>
  <c r="AD18" i="9"/>
  <c r="T18" i="9"/>
  <c r="I18" i="9"/>
  <c r="JT30" i="9"/>
  <c r="JT32" i="9" s="1"/>
  <c r="IT30" i="9"/>
  <c r="IT32" i="9" s="1"/>
  <c r="HU30" i="9"/>
  <c r="HU32" i="9" s="1"/>
  <c r="GU30" i="9"/>
  <c r="GU32" i="9" s="1"/>
  <c r="FP30" i="9"/>
  <c r="FP32" i="9" s="1"/>
  <c r="EQ30" i="9"/>
  <c r="EQ32" i="9" s="1"/>
  <c r="DP30" i="9"/>
  <c r="CK30" i="9"/>
  <c r="BL30" i="9"/>
  <c r="AK30" i="9"/>
  <c r="L30" i="9"/>
  <c r="KG18" i="9"/>
  <c r="KG20" i="9" s="1"/>
  <c r="JT18" i="9"/>
  <c r="JT20" i="9" s="1"/>
  <c r="JH18" i="9"/>
  <c r="JH20" i="9" s="1"/>
  <c r="IV18" i="9"/>
  <c r="IV20" i="9" s="1"/>
  <c r="IK18" i="9"/>
  <c r="IK20" i="9" s="1"/>
  <c r="HY18" i="9"/>
  <c r="HY20" i="9" s="1"/>
  <c r="HM18" i="9"/>
  <c r="HM20" i="9" s="1"/>
  <c r="HA18" i="9"/>
  <c r="HA20" i="9" s="1"/>
  <c r="GO18" i="9"/>
  <c r="GO20" i="9" s="1"/>
  <c r="GB18" i="9"/>
  <c r="GB20" i="9" s="1"/>
  <c r="FQ18" i="9"/>
  <c r="FQ20" i="9" s="1"/>
  <c r="FE18" i="9"/>
  <c r="FE20" i="9" s="1"/>
  <c r="ES18" i="9"/>
  <c r="ES20" i="9" s="1"/>
  <c r="EG18" i="9"/>
  <c r="EG20" i="9" s="1"/>
  <c r="DV18" i="9"/>
  <c r="DV20" i="9" s="1"/>
  <c r="DH18" i="9"/>
  <c r="CW18" i="9"/>
  <c r="CW20" i="9" s="1"/>
  <c r="CK18" i="9"/>
  <c r="BZ18" i="9"/>
  <c r="BM18" i="9"/>
  <c r="BB18" i="9"/>
  <c r="AP18" i="9"/>
  <c r="AC18" i="9"/>
  <c r="Q18" i="9"/>
  <c r="F18" i="9"/>
  <c r="JQ30" i="9"/>
  <c r="JQ32" i="9" s="1"/>
  <c r="IS30" i="9"/>
  <c r="IS32" i="9" s="1"/>
  <c r="HS30" i="9"/>
  <c r="HS32" i="9" s="1"/>
  <c r="GM30" i="9"/>
  <c r="GM32" i="9" s="1"/>
  <c r="FO30" i="9"/>
  <c r="FO32" i="9" s="1"/>
  <c r="EN30" i="9"/>
  <c r="EN32" i="9" s="1"/>
  <c r="DH30" i="9"/>
  <c r="CJ30" i="9"/>
  <c r="BJ30" i="9"/>
  <c r="AJ30" i="9"/>
  <c r="E30" i="9"/>
  <c r="KP30" i="9"/>
  <c r="KP32" i="9" s="1"/>
  <c r="JP30" i="9"/>
  <c r="JP32" i="9" s="1"/>
  <c r="IR30" i="9"/>
  <c r="IR32" i="9" s="1"/>
  <c r="HL30" i="9"/>
  <c r="HL32" i="9" s="1"/>
  <c r="GL30" i="9"/>
  <c r="GL32" i="9" s="1"/>
  <c r="FL30" i="9"/>
  <c r="FL32" i="9" s="1"/>
  <c r="EG30" i="9"/>
  <c r="EG32" i="9" s="1"/>
  <c r="DF30" i="9"/>
  <c r="CG30" i="9"/>
  <c r="CG32" i="9" s="1"/>
  <c r="BH30" i="9"/>
  <c r="AB30" i="9"/>
  <c r="C30" i="9"/>
  <c r="KO18" i="9"/>
  <c r="KO20" i="9" s="1"/>
  <c r="KC18" i="9"/>
  <c r="KC20" i="9" s="1"/>
  <c r="JQ18" i="9"/>
  <c r="JQ20" i="9" s="1"/>
  <c r="JE18" i="9"/>
  <c r="JE20" i="9" s="1"/>
  <c r="IT18" i="9"/>
  <c r="IT20" i="9" s="1"/>
  <c r="IH18" i="9"/>
  <c r="IH20" i="9" s="1"/>
  <c r="HV18" i="9"/>
  <c r="HV20" i="9" s="1"/>
  <c r="HI18" i="9"/>
  <c r="HI20" i="9" s="1"/>
  <c r="GX18" i="9"/>
  <c r="GX20" i="9" s="1"/>
  <c r="GK18" i="9"/>
  <c r="GK20" i="9" s="1"/>
  <c r="FZ18" i="9"/>
  <c r="FZ20" i="9" s="1"/>
  <c r="FN18" i="9"/>
  <c r="FN20" i="9" s="1"/>
  <c r="FB18" i="9"/>
  <c r="FB20" i="9" s="1"/>
  <c r="EP18" i="9"/>
  <c r="EP20" i="9" s="1"/>
  <c r="ED18" i="9"/>
  <c r="ED20" i="9" s="1"/>
  <c r="DQ18" i="9"/>
  <c r="DF18" i="9"/>
  <c r="CT18" i="9"/>
  <c r="CI18" i="9"/>
  <c r="BV18" i="9"/>
  <c r="BV20" i="9" s="1"/>
  <c r="BK18" i="9"/>
  <c r="AX18" i="9"/>
  <c r="AL18" i="9"/>
  <c r="Z18" i="9"/>
  <c r="O18" i="9"/>
  <c r="KK6" i="9"/>
  <c r="KK8" i="9" s="1"/>
  <c r="KA6" i="9"/>
  <c r="KA8" i="9" s="1"/>
  <c r="JR6" i="9"/>
  <c r="JR8" i="9" s="1"/>
  <c r="JI6" i="9"/>
  <c r="JI8" i="9" s="1"/>
  <c r="IZ6" i="9"/>
  <c r="IZ8" i="9" s="1"/>
  <c r="IQ6" i="9"/>
  <c r="IQ8" i="9" s="1"/>
  <c r="IH6" i="9"/>
  <c r="IH8" i="9" s="1"/>
  <c r="HY6" i="9"/>
  <c r="HY8" i="9" s="1"/>
  <c r="HO6" i="9"/>
  <c r="HO8" i="9" s="1"/>
  <c r="HF6" i="9"/>
  <c r="HF8" i="9" s="1"/>
  <c r="GW6" i="9"/>
  <c r="GW8" i="9" s="1"/>
  <c r="GN6" i="9"/>
  <c r="GN8" i="9" s="1"/>
  <c r="GE6" i="9"/>
  <c r="GE8" i="9" s="1"/>
  <c r="FV6" i="9"/>
  <c r="FV8" i="9" s="1"/>
  <c r="FM6" i="9"/>
  <c r="FM8" i="9" s="1"/>
  <c r="FD6" i="9"/>
  <c r="FD8" i="9" s="1"/>
  <c r="EV6" i="9"/>
  <c r="EV8" i="9" s="1"/>
  <c r="EN6" i="9"/>
  <c r="EN8" i="9" s="1"/>
  <c r="EF6" i="9"/>
  <c r="EF8" i="9" s="1"/>
  <c r="DX6" i="9"/>
  <c r="DX8" i="9" s="1"/>
  <c r="DP6" i="9"/>
  <c r="DH6" i="9"/>
  <c r="DH8" i="9" s="1"/>
  <c r="CZ6" i="9"/>
  <c r="CR6" i="9"/>
  <c r="CJ6" i="9"/>
  <c r="CB6" i="9"/>
  <c r="CB8" i="9" s="1"/>
  <c r="BT6" i="9"/>
  <c r="BT8" i="9" s="1"/>
  <c r="BL6" i="9"/>
  <c r="BL8" i="9" s="1"/>
  <c r="BD6" i="9"/>
  <c r="AV6" i="9"/>
  <c r="AN6" i="9"/>
  <c r="AN8" i="9" s="1"/>
  <c r="AF6" i="9"/>
  <c r="X6" i="9"/>
  <c r="P6" i="9"/>
  <c r="H6" i="9"/>
  <c r="H8" i="9" s="1"/>
  <c r="KN30" i="9"/>
  <c r="KN32" i="9" s="1"/>
  <c r="JO30" i="9"/>
  <c r="JO32" i="9" s="1"/>
  <c r="IJ30" i="9"/>
  <c r="IJ32" i="9" s="1"/>
  <c r="HK30" i="9"/>
  <c r="HK32" i="9" s="1"/>
  <c r="GJ30" i="9"/>
  <c r="GJ32" i="9" s="1"/>
  <c r="FE30" i="9"/>
  <c r="FE32" i="9" s="1"/>
  <c r="EF30" i="9"/>
  <c r="EF32" i="9" s="1"/>
  <c r="DE30" i="9"/>
  <c r="CF30" i="9"/>
  <c r="BA30" i="9"/>
  <c r="AA30" i="9"/>
  <c r="KD30" i="9"/>
  <c r="KD32" i="9" s="1"/>
  <c r="HX30" i="9"/>
  <c r="HX32" i="9" s="1"/>
  <c r="FY30" i="9"/>
  <c r="FY32" i="9" s="1"/>
  <c r="DU30" i="9"/>
  <c r="DU32" i="9" s="1"/>
  <c r="BU30" i="9"/>
  <c r="P30" i="9"/>
  <c r="JZ18" i="9"/>
  <c r="JZ20" i="9" s="1"/>
  <c r="JL18" i="9"/>
  <c r="JL20" i="9" s="1"/>
  <c r="IU18" i="9"/>
  <c r="IU20" i="9" s="1"/>
  <c r="ID18" i="9"/>
  <c r="ID20" i="9" s="1"/>
  <c r="HP18" i="9"/>
  <c r="HP20" i="9" s="1"/>
  <c r="GY18" i="9"/>
  <c r="GY20" i="9" s="1"/>
  <c r="GI18" i="9"/>
  <c r="GI20" i="9" s="1"/>
  <c r="FS18" i="9"/>
  <c r="FS20" i="9" s="1"/>
  <c r="FD18" i="9"/>
  <c r="FD20" i="9" s="1"/>
  <c r="EM18" i="9"/>
  <c r="EM20" i="9" s="1"/>
  <c r="DX18" i="9"/>
  <c r="DX20" i="9" s="1"/>
  <c r="DG18" i="9"/>
  <c r="CR18" i="9"/>
  <c r="CB18" i="9"/>
  <c r="BL18" i="9"/>
  <c r="AU18" i="9"/>
  <c r="AG18" i="9"/>
  <c r="P18" i="9"/>
  <c r="JZ30" i="9"/>
  <c r="JZ32" i="9" s="1"/>
  <c r="HV30" i="9"/>
  <c r="HV32" i="9" s="1"/>
  <c r="FX30" i="9"/>
  <c r="FX32" i="9" s="1"/>
  <c r="DR30" i="9"/>
  <c r="DR32" i="9" s="1"/>
  <c r="BM30" i="9"/>
  <c r="N30" i="9"/>
  <c r="N32" i="9" s="1"/>
  <c r="KN18" i="9"/>
  <c r="KN20" i="9" s="1"/>
  <c r="JY18" i="9"/>
  <c r="JY20" i="9" s="1"/>
  <c r="JJ18" i="9"/>
  <c r="JJ20" i="9" s="1"/>
  <c r="IS18" i="9"/>
  <c r="IS20" i="9" s="1"/>
  <c r="IC18" i="9"/>
  <c r="IC20" i="9" s="1"/>
  <c r="HN18" i="9"/>
  <c r="HN20" i="9" s="1"/>
  <c r="GV18" i="9"/>
  <c r="GV20" i="9" s="1"/>
  <c r="GH18" i="9"/>
  <c r="GH20" i="9" s="1"/>
  <c r="FR18" i="9"/>
  <c r="FR20" i="9" s="1"/>
  <c r="FA18" i="9"/>
  <c r="FA20" i="9" s="1"/>
  <c r="EL18" i="9"/>
  <c r="EL20" i="9" s="1"/>
  <c r="DW18" i="9"/>
  <c r="DW20" i="9" s="1"/>
  <c r="DE18" i="9"/>
  <c r="CP18" i="9"/>
  <c r="CA18" i="9"/>
  <c r="BI18" i="9"/>
  <c r="BI20" i="9" s="1"/>
  <c r="JG30" i="9"/>
  <c r="JG32" i="9" s="1"/>
  <c r="HH30" i="9"/>
  <c r="HH32" i="9" s="1"/>
  <c r="FB30" i="9"/>
  <c r="FB32" i="9" s="1"/>
  <c r="DD30" i="9"/>
  <c r="AZ30" i="9"/>
  <c r="JF30" i="9"/>
  <c r="JF32" i="9" s="1"/>
  <c r="HA30" i="9"/>
  <c r="HA32" i="9" s="1"/>
  <c r="FA30" i="9"/>
  <c r="FA32" i="9" s="1"/>
  <c r="CV30" i="9"/>
  <c r="CV32" i="9" s="1"/>
  <c r="AV30" i="9"/>
  <c r="KK18" i="9"/>
  <c r="KK20" i="9" s="1"/>
  <c r="JV18" i="9"/>
  <c r="JV20" i="9" s="1"/>
  <c r="JD18" i="9"/>
  <c r="JD20" i="9" s="1"/>
  <c r="IN18" i="9"/>
  <c r="IN20" i="9" s="1"/>
  <c r="HZ18" i="9"/>
  <c r="HZ20" i="9" s="1"/>
  <c r="HH18" i="9"/>
  <c r="HH20" i="9" s="1"/>
  <c r="GS18" i="9"/>
  <c r="GS20" i="9" s="1"/>
  <c r="GC18" i="9"/>
  <c r="GC20" i="9" s="1"/>
  <c r="FM18" i="9"/>
  <c r="FM20" i="9" s="1"/>
  <c r="EW18" i="9"/>
  <c r="EW20" i="9" s="1"/>
  <c r="EH18" i="9"/>
  <c r="EH20" i="9" s="1"/>
  <c r="DP18" i="9"/>
  <c r="DB18" i="9"/>
  <c r="CL18" i="9"/>
  <c r="CL20" i="9" s="1"/>
  <c r="BU18" i="9"/>
  <c r="BE18" i="9"/>
  <c r="AR18" i="9"/>
  <c r="Y18" i="9"/>
  <c r="J18" i="9"/>
  <c r="J20" i="9" s="1"/>
  <c r="KM30" i="9"/>
  <c r="KM32" i="9" s="1"/>
  <c r="II30" i="9"/>
  <c r="II32" i="9" s="1"/>
  <c r="GB30" i="9"/>
  <c r="GB32" i="9" s="1"/>
  <c r="EC30" i="9"/>
  <c r="EC32" i="9" s="1"/>
  <c r="BX30" i="9"/>
  <c r="Y30" i="9"/>
  <c r="GX30" i="9"/>
  <c r="GX32" i="9" s="1"/>
  <c r="BW30" i="9"/>
  <c r="JX18" i="9"/>
  <c r="JX20" i="9" s="1"/>
  <c r="IX18" i="9"/>
  <c r="IX20" i="9" s="1"/>
  <c r="HW18" i="9"/>
  <c r="HW20" i="9" s="1"/>
  <c r="HB18" i="9"/>
  <c r="HB20" i="9" s="1"/>
  <c r="FY18" i="9"/>
  <c r="FY20" i="9" s="1"/>
  <c r="EX18" i="9"/>
  <c r="EX20" i="9" s="1"/>
  <c r="DZ18" i="9"/>
  <c r="DZ20" i="9" s="1"/>
  <c r="DA18" i="9"/>
  <c r="CC18" i="9"/>
  <c r="BC18" i="9"/>
  <c r="AH18" i="9"/>
  <c r="AH20" i="9" s="1"/>
  <c r="L18" i="9"/>
  <c r="KG6" i="9"/>
  <c r="KG8" i="9" s="1"/>
  <c r="JW6" i="9"/>
  <c r="JW8" i="9" s="1"/>
  <c r="JM6" i="9"/>
  <c r="JM8" i="9" s="1"/>
  <c r="JB6" i="9"/>
  <c r="JB8" i="9" s="1"/>
  <c r="IR6" i="9"/>
  <c r="IR8" i="9" s="1"/>
  <c r="IG6" i="9"/>
  <c r="IG8" i="9" s="1"/>
  <c r="HV6" i="9"/>
  <c r="HV8" i="9" s="1"/>
  <c r="HL6" i="9"/>
  <c r="HL8" i="9" s="1"/>
  <c r="HB6" i="9"/>
  <c r="HB8" i="9" s="1"/>
  <c r="GQ6" i="9"/>
  <c r="GQ8" i="9" s="1"/>
  <c r="GG6" i="9"/>
  <c r="GG8" i="9" s="1"/>
  <c r="FW6" i="9"/>
  <c r="FW8" i="9" s="1"/>
  <c r="FK6" i="9"/>
  <c r="FK8" i="9" s="1"/>
  <c r="FB6" i="9"/>
  <c r="FB8" i="9" s="1"/>
  <c r="ES6" i="9"/>
  <c r="ES8" i="9" s="1"/>
  <c r="EJ6" i="9"/>
  <c r="EJ8" i="9" s="1"/>
  <c r="EA6" i="9"/>
  <c r="EA8" i="9" s="1"/>
  <c r="DR6" i="9"/>
  <c r="DR8" i="9" s="1"/>
  <c r="DI6" i="9"/>
  <c r="DI8" i="9" s="1"/>
  <c r="CY6" i="9"/>
  <c r="CP6" i="9"/>
  <c r="CP8" i="9" s="1"/>
  <c r="CG6" i="9"/>
  <c r="CG8" i="9" s="1"/>
  <c r="BX6" i="9"/>
  <c r="BO6" i="9"/>
  <c r="BO8" i="9" s="1"/>
  <c r="BF6" i="9"/>
  <c r="AW6" i="9"/>
  <c r="AW8" i="9" s="1"/>
  <c r="AM6" i="9"/>
  <c r="AD6" i="9"/>
  <c r="AD8" i="9" s="1"/>
  <c r="U6" i="9"/>
  <c r="U8" i="9" s="1"/>
  <c r="L6" i="9"/>
  <c r="C6" i="9"/>
  <c r="GV30" i="9"/>
  <c r="GV32" i="9" s="1"/>
  <c r="AP30" i="9"/>
  <c r="JS18" i="9"/>
  <c r="JS20" i="9" s="1"/>
  <c r="IW18" i="9"/>
  <c r="IW20" i="9" s="1"/>
  <c r="HT18" i="9"/>
  <c r="HT20" i="9" s="1"/>
  <c r="GT18" i="9"/>
  <c r="GT20" i="9" s="1"/>
  <c r="FX18" i="9"/>
  <c r="FX20" i="9" s="1"/>
  <c r="EV18" i="9"/>
  <c r="EV20" i="9" s="1"/>
  <c r="DY18" i="9"/>
  <c r="DY20" i="9" s="1"/>
  <c r="CX18" i="9"/>
  <c r="BX18" i="9"/>
  <c r="BA18" i="9"/>
  <c r="BA20" i="9" s="1"/>
  <c r="AF18" i="9"/>
  <c r="H18" i="9"/>
  <c r="KP6" i="9"/>
  <c r="KP8" i="9" s="1"/>
  <c r="KF6" i="9"/>
  <c r="KF8" i="9" s="1"/>
  <c r="JV6" i="9"/>
  <c r="JV8" i="9" s="1"/>
  <c r="JK6" i="9"/>
  <c r="JK8" i="9" s="1"/>
  <c r="JA6" i="9"/>
  <c r="JA8" i="9" s="1"/>
  <c r="IP6" i="9"/>
  <c r="IP8" i="9" s="1"/>
  <c r="IE6" i="9"/>
  <c r="IE8" i="9" s="1"/>
  <c r="HU6" i="9"/>
  <c r="HU8" i="9" s="1"/>
  <c r="HK6" i="9"/>
  <c r="HK8" i="9" s="1"/>
  <c r="HA6" i="9"/>
  <c r="HA8" i="9" s="1"/>
  <c r="GP6" i="9"/>
  <c r="GP8" i="9" s="1"/>
  <c r="GF6" i="9"/>
  <c r="GF8" i="9" s="1"/>
  <c r="FU6" i="9"/>
  <c r="FU8" i="9" s="1"/>
  <c r="FJ6" i="9"/>
  <c r="FJ8" i="9" s="1"/>
  <c r="FA6" i="9"/>
  <c r="FA8" i="9" s="1"/>
  <c r="ER6" i="9"/>
  <c r="ER8" i="9" s="1"/>
  <c r="EI6" i="9"/>
  <c r="EI8" i="9" s="1"/>
  <c r="DZ6" i="9"/>
  <c r="DZ8" i="9" s="1"/>
  <c r="DQ6" i="9"/>
  <c r="DG6" i="9"/>
  <c r="DG8" i="9" s="1"/>
  <c r="CX6" i="9"/>
  <c r="CX8" i="9" s="1"/>
  <c r="CO6" i="9"/>
  <c r="CO8" i="9" s="1"/>
  <c r="CF6" i="9"/>
  <c r="BW6" i="9"/>
  <c r="BN6" i="9"/>
  <c r="BE6" i="9"/>
  <c r="BE8" i="9" s="1"/>
  <c r="AU6" i="9"/>
  <c r="AL6" i="9"/>
  <c r="AC6" i="9"/>
  <c r="AC8" i="9" s="1"/>
  <c r="T6" i="9"/>
  <c r="K6" i="9"/>
  <c r="K8" i="9" s="1"/>
  <c r="FZ30" i="9"/>
  <c r="FZ32" i="9" s="1"/>
  <c r="AL30" i="9"/>
  <c r="JP18" i="9"/>
  <c r="JP20" i="9" s="1"/>
  <c r="IR18" i="9"/>
  <c r="IR20" i="9" s="1"/>
  <c r="HR18" i="9"/>
  <c r="HR20" i="9" s="1"/>
  <c r="GR18" i="9"/>
  <c r="GR20" i="9" s="1"/>
  <c r="FV18" i="9"/>
  <c r="FV20" i="9" s="1"/>
  <c r="EU18" i="9"/>
  <c r="EU20" i="9" s="1"/>
  <c r="DT18" i="9"/>
  <c r="DT20" i="9" s="1"/>
  <c r="CV18" i="9"/>
  <c r="BS18" i="9"/>
  <c r="AV18" i="9"/>
  <c r="AB18" i="9"/>
  <c r="G18" i="9"/>
  <c r="JD30" i="9"/>
  <c r="JD32" i="9" s="1"/>
  <c r="EA30" i="9"/>
  <c r="EA32" i="9" s="1"/>
  <c r="KH18" i="9"/>
  <c r="KH20" i="9" s="1"/>
  <c r="JF18" i="9"/>
  <c r="JF20" i="9" s="1"/>
  <c r="IJ18" i="9"/>
  <c r="IJ20" i="9" s="1"/>
  <c r="HG18" i="9"/>
  <c r="HG20" i="9" s="1"/>
  <c r="GJ18" i="9"/>
  <c r="GJ20" i="9" s="1"/>
  <c r="FI18" i="9"/>
  <c r="FI20" i="9" s="1"/>
  <c r="EJ18" i="9"/>
  <c r="EJ20" i="9" s="1"/>
  <c r="DM18" i="9"/>
  <c r="CJ18" i="9"/>
  <c r="BN18" i="9"/>
  <c r="AM18" i="9"/>
  <c r="U18" i="9"/>
  <c r="KF30" i="9"/>
  <c r="KF32" i="9" s="1"/>
  <c r="JC18" i="9"/>
  <c r="JC20" i="9" s="1"/>
  <c r="HE18" i="9"/>
  <c r="HE20" i="9" s="1"/>
  <c r="FH18" i="9"/>
  <c r="FH20" i="9" s="1"/>
  <c r="DL18" i="9"/>
  <c r="DL20" i="9" s="1"/>
  <c r="BH18" i="9"/>
  <c r="R18" i="9"/>
  <c r="R20" i="9" s="1"/>
  <c r="KE6" i="9"/>
  <c r="KE8" i="9" s="1"/>
  <c r="JQ6" i="9"/>
  <c r="JQ8" i="9" s="1"/>
  <c r="JE6" i="9"/>
  <c r="JE8" i="9" s="1"/>
  <c r="IO6" i="9"/>
  <c r="IO8" i="9" s="1"/>
  <c r="IB6" i="9"/>
  <c r="IB8" i="9" s="1"/>
  <c r="HN6" i="9"/>
  <c r="HN8" i="9" s="1"/>
  <c r="GY6" i="9"/>
  <c r="GY8" i="9" s="1"/>
  <c r="GL6" i="9"/>
  <c r="GL8" i="9" s="1"/>
  <c r="FY6" i="9"/>
  <c r="FY8" i="9" s="1"/>
  <c r="FI6" i="9"/>
  <c r="FI8" i="9" s="1"/>
  <c r="EX6" i="9"/>
  <c r="EX8" i="9" s="1"/>
  <c r="EL6" i="9"/>
  <c r="EL8" i="9" s="1"/>
  <c r="DY6" i="9"/>
  <c r="DY8" i="9" s="1"/>
  <c r="DM6" i="9"/>
  <c r="DB6" i="9"/>
  <c r="CN6" i="9"/>
  <c r="CC6" i="9"/>
  <c r="CC8" i="9" s="1"/>
  <c r="BQ6" i="9"/>
  <c r="BC6" i="9"/>
  <c r="AR6" i="9"/>
  <c r="AG6" i="9"/>
  <c r="S6" i="9"/>
  <c r="G6" i="9"/>
  <c r="IV30" i="9"/>
  <c r="IV32" i="9" s="1"/>
  <c r="JB18" i="9"/>
  <c r="JB20" i="9" s="1"/>
  <c r="HD18" i="9"/>
  <c r="HD20" i="9" s="1"/>
  <c r="FF18" i="9"/>
  <c r="FF20" i="9" s="1"/>
  <c r="DD18" i="9"/>
  <c r="BD18" i="9"/>
  <c r="N18" i="9"/>
  <c r="KD6" i="9"/>
  <c r="KD8" i="9" s="1"/>
  <c r="JP6" i="9"/>
  <c r="JP8" i="9" s="1"/>
  <c r="JC6" i="9"/>
  <c r="JC8" i="9" s="1"/>
  <c r="IM6" i="9"/>
  <c r="IM8" i="9" s="1"/>
  <c r="IA6" i="9"/>
  <c r="IA8" i="9" s="1"/>
  <c r="HM6" i="9"/>
  <c r="HM8" i="9" s="1"/>
  <c r="GX6" i="9"/>
  <c r="GX8" i="9" s="1"/>
  <c r="GK6" i="9"/>
  <c r="GK8" i="9" s="1"/>
  <c r="FX6" i="9"/>
  <c r="FX8" i="9" s="1"/>
  <c r="FH6" i="9"/>
  <c r="FH8" i="9" s="1"/>
  <c r="EW6" i="9"/>
  <c r="EW8" i="9" s="1"/>
  <c r="EK6" i="9"/>
  <c r="EK8" i="9" s="1"/>
  <c r="DW6" i="9"/>
  <c r="DW8" i="9" s="1"/>
  <c r="DL6" i="9"/>
  <c r="DA6" i="9"/>
  <c r="DA8" i="9" s="1"/>
  <c r="CM6" i="9"/>
  <c r="CA6" i="9"/>
  <c r="CA8" i="9" s="1"/>
  <c r="BP6" i="9"/>
  <c r="BB6" i="9"/>
  <c r="AQ6" i="9"/>
  <c r="AE6" i="9"/>
  <c r="AE8" i="9" s="1"/>
  <c r="R6" i="9"/>
  <c r="R8" i="9" s="1"/>
  <c r="F6" i="9"/>
  <c r="KL18" i="9"/>
  <c r="KL20" i="9" s="1"/>
  <c r="IM18" i="9"/>
  <c r="IM20" i="9" s="1"/>
  <c r="GQ18" i="9"/>
  <c r="GQ20" i="9" s="1"/>
  <c r="ER18" i="9"/>
  <c r="ER20" i="9" s="1"/>
  <c r="CS18" i="9"/>
  <c r="AT18" i="9"/>
  <c r="E18" i="9"/>
  <c r="KO6" i="9"/>
  <c r="KO8" i="9" s="1"/>
  <c r="KC6" i="9"/>
  <c r="KC8" i="9" s="1"/>
  <c r="JO6" i="9"/>
  <c r="JO8" i="9" s="1"/>
  <c r="IY6" i="9"/>
  <c r="IY8" i="9" s="1"/>
  <c r="IL6" i="9"/>
  <c r="IL8" i="9" s="1"/>
  <c r="HZ6" i="9"/>
  <c r="HZ8" i="9" s="1"/>
  <c r="HJ6" i="9"/>
  <c r="HJ8" i="9" s="1"/>
  <c r="GV6" i="9"/>
  <c r="GV8" i="9" s="1"/>
  <c r="GI6" i="9"/>
  <c r="GI8" i="9" s="1"/>
  <c r="FS6" i="9"/>
  <c r="FS8" i="9" s="1"/>
  <c r="FG6" i="9"/>
  <c r="FG8" i="9" s="1"/>
  <c r="EU6" i="9"/>
  <c r="EU8" i="9" s="1"/>
  <c r="EH6" i="9"/>
  <c r="EH8" i="9" s="1"/>
  <c r="DV6" i="9"/>
  <c r="DV8" i="9" s="1"/>
  <c r="DK6" i="9"/>
  <c r="CW6" i="9"/>
  <c r="CW8" i="9" s="1"/>
  <c r="CL6" i="9"/>
  <c r="BZ6" i="9"/>
  <c r="BM6" i="9"/>
  <c r="BA6" i="9"/>
  <c r="BA8" i="9" s="1"/>
  <c r="AP6" i="9"/>
  <c r="AB6" i="9"/>
  <c r="Q6" i="9"/>
  <c r="Q8" i="9" s="1"/>
  <c r="E6" i="9"/>
  <c r="EZ30" i="9"/>
  <c r="EZ32" i="9" s="1"/>
  <c r="KI18" i="9"/>
  <c r="KI20" i="9" s="1"/>
  <c r="IL18" i="9"/>
  <c r="IL20" i="9" s="1"/>
  <c r="GL18" i="9"/>
  <c r="GL20" i="9" s="1"/>
  <c r="EN18" i="9"/>
  <c r="EN20" i="9" s="1"/>
  <c r="CN18" i="9"/>
  <c r="AS18" i="9"/>
  <c r="KN6" i="9"/>
  <c r="KN8" i="9" s="1"/>
  <c r="JN6" i="9"/>
  <c r="JN8" i="9" s="1"/>
  <c r="IX6" i="9"/>
  <c r="IX8" i="9" s="1"/>
  <c r="IK6" i="9"/>
  <c r="IK8" i="9" s="1"/>
  <c r="HW6" i="9"/>
  <c r="HW8" i="9" s="1"/>
  <c r="HI6" i="9"/>
  <c r="HI8" i="9" s="1"/>
  <c r="GH6" i="9"/>
  <c r="GH8" i="9" s="1"/>
  <c r="FR6" i="9"/>
  <c r="FR8" i="9" s="1"/>
  <c r="FF6" i="9"/>
  <c r="FF8" i="9" s="1"/>
  <c r="ET6" i="9"/>
  <c r="ET8" i="9" s="1"/>
  <c r="DU6" i="9"/>
  <c r="DU8" i="9" s="1"/>
  <c r="DJ6" i="9"/>
  <c r="DJ8" i="9" s="1"/>
  <c r="CV6" i="9"/>
  <c r="CK6" i="9"/>
  <c r="BY6" i="9"/>
  <c r="BK6" i="9"/>
  <c r="BK8" i="9" s="1"/>
  <c r="AO6" i="9"/>
  <c r="AA6" i="9"/>
  <c r="O6" i="9"/>
  <c r="D6" i="9"/>
  <c r="ER30" i="9"/>
  <c r="ER32" i="9" s="1"/>
  <c r="KD18" i="9"/>
  <c r="KD20" i="9" s="1"/>
  <c r="IF18" i="9"/>
  <c r="IF20" i="9" s="1"/>
  <c r="GG18" i="9"/>
  <c r="GG20" i="9" s="1"/>
  <c r="EF18" i="9"/>
  <c r="EF20" i="9" s="1"/>
  <c r="CG18" i="9"/>
  <c r="AK18" i="9"/>
  <c r="IF30" i="9"/>
  <c r="IF32" i="9" s="1"/>
  <c r="JZ6" i="9"/>
  <c r="JZ8" i="9" s="1"/>
  <c r="GU6" i="9"/>
  <c r="GU8" i="9" s="1"/>
  <c r="EG6" i="9"/>
  <c r="EG8" i="9" s="1"/>
  <c r="AZ6" i="9"/>
  <c r="I6" i="9"/>
  <c r="AH6" i="9"/>
  <c r="BG6" i="9"/>
  <c r="BG8" i="9" s="1"/>
  <c r="CD6" i="9"/>
  <c r="CD8" i="9" s="1"/>
  <c r="DC6" i="9"/>
  <c r="EB6" i="9"/>
  <c r="EB8" i="9" s="1"/>
  <c r="EY6" i="9"/>
  <c r="EY8" i="9" s="1"/>
  <c r="FZ6" i="9"/>
  <c r="FZ8" i="9" s="1"/>
  <c r="HC6" i="9"/>
  <c r="HC8" i="9" s="1"/>
  <c r="IC6" i="9"/>
  <c r="IC8" i="9" s="1"/>
  <c r="JF6" i="9"/>
  <c r="JF8" i="9" s="1"/>
  <c r="KH6" i="9"/>
  <c r="KH8" i="9" s="1"/>
  <c r="DO18" i="9"/>
  <c r="DO20" i="9" s="1"/>
  <c r="JM18" i="9"/>
  <c r="JM20" i="9" s="1"/>
  <c r="CS30" i="9"/>
  <c r="J6" i="9"/>
  <c r="J8" i="9" s="1"/>
  <c r="AI6" i="9"/>
  <c r="BH6" i="9"/>
  <c r="CE6" i="9"/>
  <c r="DD6" i="9"/>
  <c r="DD8" i="9" s="1"/>
  <c r="EC6" i="9"/>
  <c r="EC8" i="9" s="1"/>
  <c r="EZ6" i="9"/>
  <c r="EZ8" i="9" s="1"/>
  <c r="GA6" i="9"/>
  <c r="GA8" i="9" s="1"/>
  <c r="HD6" i="9"/>
  <c r="HD8" i="9" s="1"/>
  <c r="ID6" i="9"/>
  <c r="ID8" i="9" s="1"/>
  <c r="JG6" i="9"/>
  <c r="JG8" i="9" s="1"/>
  <c r="KI6" i="9"/>
  <c r="KI8" i="9" s="1"/>
  <c r="W18" i="9"/>
  <c r="EC18" i="9"/>
  <c r="EC20" i="9" s="1"/>
  <c r="JN18" i="9"/>
  <c r="JN20" i="9" s="1"/>
  <c r="CU30" i="9"/>
  <c r="M6" i="9"/>
  <c r="AJ6" i="9"/>
  <c r="BI6" i="9"/>
  <c r="CH6" i="9"/>
  <c r="DE6" i="9"/>
  <c r="ED6" i="9"/>
  <c r="ED8" i="9" s="1"/>
  <c r="FC6" i="9"/>
  <c r="FC8" i="9" s="1"/>
  <c r="GC6" i="9"/>
  <c r="GC8" i="9" s="1"/>
  <c r="HE6" i="9"/>
  <c r="HE8" i="9" s="1"/>
  <c r="II6" i="9"/>
  <c r="II8" i="9" s="1"/>
  <c r="JH6" i="9"/>
  <c r="JH8" i="9" s="1"/>
  <c r="KL6" i="9"/>
  <c r="KL8" i="9" s="1"/>
  <c r="X18" i="9"/>
  <c r="FK18" i="9"/>
  <c r="FK20" i="9" s="1"/>
  <c r="KB18" i="9"/>
  <c r="KB20" i="9" s="1"/>
  <c r="N6" i="9"/>
  <c r="AK6" i="9"/>
  <c r="AK8" i="9" s="1"/>
  <c r="BJ6" i="9"/>
  <c r="CI6" i="9"/>
  <c r="DF6" i="9"/>
  <c r="EE6" i="9"/>
  <c r="EE8" i="9" s="1"/>
  <c r="FE6" i="9"/>
  <c r="FE8" i="9" s="1"/>
  <c r="GD6" i="9"/>
  <c r="GD8" i="9" s="1"/>
  <c r="HG6" i="9"/>
  <c r="HG8" i="9" s="1"/>
  <c r="IJ6" i="9"/>
  <c r="IJ8" i="9" s="1"/>
  <c r="JJ6" i="9"/>
  <c r="JJ8" i="9" s="1"/>
  <c r="KM6" i="9"/>
  <c r="KM8" i="9" s="1"/>
  <c r="AJ18" i="9"/>
  <c r="FP18" i="9"/>
  <c r="FP20" i="9" s="1"/>
  <c r="E29" i="4"/>
  <c r="E30" i="4" s="1"/>
  <c r="V6" i="9"/>
  <c r="AS6" i="9"/>
  <c r="BR6" i="9"/>
  <c r="CQ6" i="9"/>
  <c r="CQ8" i="9" s="1"/>
  <c r="DN6" i="9"/>
  <c r="EM6" i="9"/>
  <c r="EM8" i="9" s="1"/>
  <c r="FN6" i="9"/>
  <c r="FN8" i="9" s="1"/>
  <c r="GM6" i="9"/>
  <c r="GM8" i="9" s="1"/>
  <c r="HQ6" i="9"/>
  <c r="HQ8" i="9" s="1"/>
  <c r="IS6" i="9"/>
  <c r="IS8" i="9" s="1"/>
  <c r="JS6" i="9"/>
  <c r="JS8" i="9" s="1"/>
  <c r="BQ18" i="9"/>
  <c r="GA18" i="9"/>
  <c r="GA20" i="9" s="1"/>
  <c r="DK31" i="9"/>
  <c r="DC31" i="9"/>
  <c r="CU31" i="9"/>
  <c r="CM31" i="9"/>
  <c r="CE31" i="9"/>
  <c r="BW31" i="9"/>
  <c r="BO31" i="9"/>
  <c r="BG31" i="9"/>
  <c r="AY31" i="9"/>
  <c r="AQ31" i="9"/>
  <c r="AI31" i="9"/>
  <c r="AA31" i="9"/>
  <c r="S31" i="9"/>
  <c r="K31" i="9"/>
  <c r="C31" i="9"/>
  <c r="DL31" i="9"/>
  <c r="DB31" i="9"/>
  <c r="CS31" i="9"/>
  <c r="CJ31" i="9"/>
  <c r="CA31" i="9"/>
  <c r="BR31" i="9"/>
  <c r="BI31" i="9"/>
  <c r="AZ31" i="9"/>
  <c r="AP31" i="9"/>
  <c r="AG31" i="9"/>
  <c r="X31" i="9"/>
  <c r="O31" i="9"/>
  <c r="F31" i="9"/>
  <c r="DM31" i="9"/>
  <c r="DA31" i="9"/>
  <c r="CQ31" i="9"/>
  <c r="CG31" i="9"/>
  <c r="BV31" i="9"/>
  <c r="BL31" i="9"/>
  <c r="BB31" i="9"/>
  <c r="AR31" i="9"/>
  <c r="AF31" i="9"/>
  <c r="V31" i="9"/>
  <c r="L31" i="9"/>
  <c r="DO19" i="9"/>
  <c r="DG19" i="9"/>
  <c r="CY19" i="9"/>
  <c r="CQ19" i="9"/>
  <c r="CI19" i="9"/>
  <c r="CA19" i="9"/>
  <c r="BS19" i="9"/>
  <c r="BK19" i="9"/>
  <c r="BC19" i="9"/>
  <c r="AU19" i="9"/>
  <c r="AM19" i="9"/>
  <c r="AE19" i="9"/>
  <c r="W19" i="9"/>
  <c r="O19" i="9"/>
  <c r="G19" i="9"/>
  <c r="DN31" i="9"/>
  <c r="CZ31" i="9"/>
  <c r="CO31" i="9"/>
  <c r="CC31" i="9"/>
  <c r="BQ31" i="9"/>
  <c r="BE31" i="9"/>
  <c r="AT31" i="9"/>
  <c r="AH31" i="9"/>
  <c r="U31" i="9"/>
  <c r="I31" i="9"/>
  <c r="DJ31" i="9"/>
  <c r="CY31" i="9"/>
  <c r="CN31" i="9"/>
  <c r="CB31" i="9"/>
  <c r="BP31" i="9"/>
  <c r="BD31" i="9"/>
  <c r="AS31" i="9"/>
  <c r="AE31" i="9"/>
  <c r="T31" i="9"/>
  <c r="H31" i="9"/>
  <c r="DK19" i="9"/>
  <c r="DB19" i="9"/>
  <c r="CS19" i="9"/>
  <c r="CJ19" i="9"/>
  <c r="BZ19" i="9"/>
  <c r="BQ19" i="9"/>
  <c r="BH19" i="9"/>
  <c r="AY19" i="9"/>
  <c r="AP19" i="9"/>
  <c r="AG19" i="9"/>
  <c r="X19" i="9"/>
  <c r="N19" i="9"/>
  <c r="E19" i="9"/>
  <c r="DL7" i="9"/>
  <c r="DD7" i="9"/>
  <c r="CV7" i="9"/>
  <c r="CN7" i="9"/>
  <c r="CF7" i="9"/>
  <c r="BX7" i="9"/>
  <c r="BP7" i="9"/>
  <c r="BH7" i="9"/>
  <c r="AZ7" i="9"/>
  <c r="AR7" i="9"/>
  <c r="AJ7" i="9"/>
  <c r="AB7" i="9"/>
  <c r="T7" i="9"/>
  <c r="L7" i="9"/>
  <c r="D7" i="9"/>
  <c r="DI31" i="9"/>
  <c r="CX31" i="9"/>
  <c r="CL31" i="9"/>
  <c r="BZ31" i="9"/>
  <c r="BN31" i="9"/>
  <c r="BC31" i="9"/>
  <c r="AO31" i="9"/>
  <c r="AD31" i="9"/>
  <c r="R31" i="9"/>
  <c r="G31" i="9"/>
  <c r="DH31" i="9"/>
  <c r="CW31" i="9"/>
  <c r="CK31" i="9"/>
  <c r="BY31" i="9"/>
  <c r="BM31" i="9"/>
  <c r="BA31" i="9"/>
  <c r="AN31" i="9"/>
  <c r="AC31" i="9"/>
  <c r="Q31" i="9"/>
  <c r="Q32" i="9" s="1"/>
  <c r="E31" i="9"/>
  <c r="DE31" i="9"/>
  <c r="CF31" i="9"/>
  <c r="BH31" i="9"/>
  <c r="AK31" i="9"/>
  <c r="M31" i="9"/>
  <c r="DM19" i="9"/>
  <c r="DC19" i="9"/>
  <c r="CR19" i="9"/>
  <c r="CG19" i="9"/>
  <c r="BW19" i="9"/>
  <c r="BM19" i="9"/>
  <c r="BB19" i="9"/>
  <c r="AR19" i="9"/>
  <c r="AH19" i="9"/>
  <c r="V19" i="9"/>
  <c r="L19" i="9"/>
  <c r="DP31" i="9"/>
  <c r="CP31" i="9"/>
  <c r="BK31" i="9"/>
  <c r="AL31" i="9"/>
  <c r="J31" i="9"/>
  <c r="DH19" i="9"/>
  <c r="CV19" i="9"/>
  <c r="CK19" i="9"/>
  <c r="BX19" i="9"/>
  <c r="BL19" i="9"/>
  <c r="AZ19" i="9"/>
  <c r="AN19" i="9"/>
  <c r="AB19" i="9"/>
  <c r="Q19" i="9"/>
  <c r="D19" i="9"/>
  <c r="DO31" i="9"/>
  <c r="CI31" i="9"/>
  <c r="BJ31" i="9"/>
  <c r="AJ31" i="9"/>
  <c r="D31" i="9"/>
  <c r="DG31" i="9"/>
  <c r="CH31" i="9"/>
  <c r="BF31" i="9"/>
  <c r="AB31" i="9"/>
  <c r="DQ19" i="9"/>
  <c r="DE19" i="9"/>
  <c r="CT19" i="9"/>
  <c r="CF19" i="9"/>
  <c r="BU19" i="9"/>
  <c r="BI19" i="9"/>
  <c r="AW19" i="9"/>
  <c r="AK19" i="9"/>
  <c r="Z19" i="9"/>
  <c r="M19" i="9"/>
  <c r="DK7" i="9"/>
  <c r="DB7" i="9"/>
  <c r="CS7" i="9"/>
  <c r="CJ7" i="9"/>
  <c r="CA7" i="9"/>
  <c r="BR7" i="9"/>
  <c r="BI7" i="9"/>
  <c r="AY7" i="9"/>
  <c r="AP7" i="9"/>
  <c r="AG7" i="9"/>
  <c r="X7" i="9"/>
  <c r="O7" i="9"/>
  <c r="F7" i="9"/>
  <c r="DF31" i="9"/>
  <c r="CD31" i="9"/>
  <c r="AX31" i="9"/>
  <c r="Z31" i="9"/>
  <c r="CT31" i="9"/>
  <c r="AU31" i="9"/>
  <c r="DJ19" i="9"/>
  <c r="CU19" i="9"/>
  <c r="CD19" i="9"/>
  <c r="BO19" i="9"/>
  <c r="AX19" i="9"/>
  <c r="AI19" i="9"/>
  <c r="S19" i="9"/>
  <c r="C19" i="9"/>
  <c r="CR31" i="9"/>
  <c r="AM31" i="9"/>
  <c r="DI19" i="9"/>
  <c r="CP19" i="9"/>
  <c r="CC19" i="9"/>
  <c r="BN19" i="9"/>
  <c r="AV19" i="9"/>
  <c r="AF19" i="9"/>
  <c r="R19" i="9"/>
  <c r="BX31" i="9"/>
  <c r="Y31" i="9"/>
  <c r="BU31" i="9"/>
  <c r="W31" i="9"/>
  <c r="DD19" i="9"/>
  <c r="CN19" i="9"/>
  <c r="BY19" i="9"/>
  <c r="BG19" i="9"/>
  <c r="AS19" i="9"/>
  <c r="AC19" i="9"/>
  <c r="K19" i="9"/>
  <c r="DD31" i="9"/>
  <c r="AW31" i="9"/>
  <c r="BS31" i="9"/>
  <c r="DF19" i="9"/>
  <c r="CH19" i="9"/>
  <c r="BF19" i="9"/>
  <c r="AJ19" i="9"/>
  <c r="I19" i="9"/>
  <c r="DO7" i="9"/>
  <c r="DE7" i="9"/>
  <c r="CT7" i="9"/>
  <c r="CT8" i="9" s="1"/>
  <c r="CI7" i="9"/>
  <c r="BY7" i="9"/>
  <c r="BN7" i="9"/>
  <c r="BD7" i="9"/>
  <c r="AT7" i="9"/>
  <c r="AI7" i="9"/>
  <c r="Y7" i="9"/>
  <c r="N7" i="9"/>
  <c r="C7" i="9"/>
  <c r="AV31" i="9"/>
  <c r="DA19" i="9"/>
  <c r="CE19" i="9"/>
  <c r="BE19" i="9"/>
  <c r="AD19" i="9"/>
  <c r="H19" i="9"/>
  <c r="DN7" i="9"/>
  <c r="DC7" i="9"/>
  <c r="CR7" i="9"/>
  <c r="CH7" i="9"/>
  <c r="BW7" i="9"/>
  <c r="BM7" i="9"/>
  <c r="BC7" i="9"/>
  <c r="AS7" i="9"/>
  <c r="AH7" i="9"/>
  <c r="W7" i="9"/>
  <c r="M7" i="9"/>
  <c r="P31" i="9"/>
  <c r="CZ19" i="9"/>
  <c r="CB19" i="9"/>
  <c r="BD19" i="9"/>
  <c r="AA19" i="9"/>
  <c r="F19" i="9"/>
  <c r="DQ31" i="9"/>
  <c r="DP19" i="9"/>
  <c r="CO19" i="9"/>
  <c r="BR19" i="9"/>
  <c r="AQ19" i="9"/>
  <c r="T19" i="9"/>
  <c r="G7" i="9"/>
  <c r="S7" i="9"/>
  <c r="AF7" i="9"/>
  <c r="AV7" i="9"/>
  <c r="BJ7" i="9"/>
  <c r="BV7" i="9"/>
  <c r="CL7" i="9"/>
  <c r="CY7" i="9"/>
  <c r="DM7" i="9"/>
  <c r="P19" i="9"/>
  <c r="BP19" i="9"/>
  <c r="DN19" i="9"/>
  <c r="BV8" i="9" l="1"/>
  <c r="CS8" i="9"/>
  <c r="DN20" i="9"/>
  <c r="AT8" i="9"/>
  <c r="BR20" i="9"/>
  <c r="BC20" i="9"/>
  <c r="DF8" i="9"/>
  <c r="CE8" i="9"/>
  <c r="CE10" i="9" s="1"/>
  <c r="O8" i="9"/>
  <c r="BZ8" i="9"/>
  <c r="CM8" i="9"/>
  <c r="DP20" i="9"/>
  <c r="P8" i="9"/>
  <c r="P10" i="9" s="1"/>
  <c r="DJ20" i="9"/>
  <c r="CZ32" i="9"/>
  <c r="CM20" i="9"/>
  <c r="AA8" i="9"/>
  <c r="E8" i="9"/>
  <c r="AT20" i="9"/>
  <c r="Y8" i="9"/>
  <c r="AQ8" i="9"/>
  <c r="BQ8" i="9"/>
  <c r="DO8" i="9"/>
  <c r="AY8" i="9"/>
  <c r="CK8" i="9"/>
  <c r="BB8" i="9"/>
  <c r="U20" i="9"/>
  <c r="AU8" i="9"/>
  <c r="V8" i="9"/>
  <c r="DQ8" i="9"/>
  <c r="L20" i="9"/>
  <c r="BD8" i="9"/>
  <c r="DP8" i="9"/>
  <c r="AP20" i="9"/>
  <c r="BL32" i="9"/>
  <c r="CD20" i="9"/>
  <c r="BV32" i="9"/>
  <c r="BZ32" i="9"/>
  <c r="AE20" i="9"/>
  <c r="CZ20" i="9"/>
  <c r="X32" i="9"/>
  <c r="BO20" i="9"/>
  <c r="AC32" i="9"/>
  <c r="AM32" i="9"/>
  <c r="CY32" i="9"/>
  <c r="CV8" i="9"/>
  <c r="CV10" i="9" s="1"/>
  <c r="AU20" i="9"/>
  <c r="P32" i="9"/>
  <c r="CO20" i="9"/>
  <c r="CL32" i="9"/>
  <c r="BG32" i="9"/>
  <c r="BH20" i="9"/>
  <c r="CV20" i="9"/>
  <c r="BN8" i="9"/>
  <c r="AW20" i="9"/>
  <c r="AW22" i="9" s="1"/>
  <c r="AY32" i="9"/>
  <c r="BU8" i="9"/>
  <c r="W8" i="9"/>
  <c r="BQ20" i="9"/>
  <c r="BJ8" i="9"/>
  <c r="AJ8" i="9"/>
  <c r="AI8" i="9"/>
  <c r="I8" i="9"/>
  <c r="AO8" i="9"/>
  <c r="AO10" i="9" s="1"/>
  <c r="DL8" i="9"/>
  <c r="DD20" i="9"/>
  <c r="AR8" i="9"/>
  <c r="T8" i="9"/>
  <c r="AM8" i="9"/>
  <c r="Y20" i="9"/>
  <c r="DD32" i="9"/>
  <c r="DG20" i="9"/>
  <c r="DG22" i="9" s="1"/>
  <c r="CR8" i="9"/>
  <c r="O20" i="9"/>
  <c r="CJ32" i="9"/>
  <c r="F20" i="9"/>
  <c r="AZ20" i="9"/>
  <c r="AQ32" i="9"/>
  <c r="AQ34" i="9" s="1"/>
  <c r="AG32" i="9"/>
  <c r="AG34" i="9" s="1"/>
  <c r="D20" i="9"/>
  <c r="CO32" i="9"/>
  <c r="CE32" i="9"/>
  <c r="AQ20" i="9"/>
  <c r="DC20" i="9"/>
  <c r="CD32" i="9"/>
  <c r="V32" i="9"/>
  <c r="CR32" i="9"/>
  <c r="O32" i="9"/>
  <c r="CA32" i="9"/>
  <c r="AO20" i="9"/>
  <c r="AO22" i="9" s="1"/>
  <c r="CF20" i="9"/>
  <c r="CF22" i="9" s="1"/>
  <c r="BR8" i="9"/>
  <c r="M8" i="9"/>
  <c r="AZ8" i="9"/>
  <c r="AS20" i="9"/>
  <c r="DK8" i="9"/>
  <c r="BC8" i="9"/>
  <c r="BX20" i="9"/>
  <c r="Y32" i="9"/>
  <c r="Y34" i="9" s="1"/>
  <c r="CZ8" i="9"/>
  <c r="Z20" i="9"/>
  <c r="DQ20" i="9"/>
  <c r="DH32" i="9"/>
  <c r="Q20" i="9"/>
  <c r="DH20" i="9"/>
  <c r="Z32" i="9"/>
  <c r="BB32" i="9"/>
  <c r="AR32" i="9"/>
  <c r="M20" i="9"/>
  <c r="CH20" i="9"/>
  <c r="DB32" i="9"/>
  <c r="CP32" i="9"/>
  <c r="AY20" i="9"/>
  <c r="DK20" i="9"/>
  <c r="I32" i="9"/>
  <c r="I34" i="9" s="1"/>
  <c r="CN32" i="9"/>
  <c r="AF32" i="9"/>
  <c r="W32" i="9"/>
  <c r="CI32" i="9"/>
  <c r="CU32" i="9"/>
  <c r="CS32" i="9"/>
  <c r="BY8" i="9"/>
  <c r="AB8" i="9"/>
  <c r="AB10" i="9" s="1"/>
  <c r="AL8" i="9"/>
  <c r="CX20" i="9"/>
  <c r="AP32" i="9"/>
  <c r="BF8" i="9"/>
  <c r="BX32" i="9"/>
  <c r="BE20" i="9"/>
  <c r="AV32" i="9"/>
  <c r="AV34" i="9" s="1"/>
  <c r="AA32" i="9"/>
  <c r="AV8" i="9"/>
  <c r="AL20" i="9"/>
  <c r="AB32" i="9"/>
  <c r="AC20" i="9"/>
  <c r="BN32" i="9"/>
  <c r="V20" i="9"/>
  <c r="V22" i="9" s="1"/>
  <c r="CQ20" i="9"/>
  <c r="DC32" i="9"/>
  <c r="DC34" i="9" s="1"/>
  <c r="BG20" i="9"/>
  <c r="CX32" i="9"/>
  <c r="DJ32" i="9"/>
  <c r="DJ34" i="9" s="1"/>
  <c r="AE32" i="9"/>
  <c r="JY53" i="9"/>
  <c r="DM37" i="9"/>
  <c r="DE37" i="9"/>
  <c r="CW37" i="9"/>
  <c r="CO37" i="9"/>
  <c r="CG37" i="9"/>
  <c r="BY37" i="9"/>
  <c r="BQ37" i="9"/>
  <c r="BI37" i="9"/>
  <c r="BA37" i="9"/>
  <c r="AS37" i="9"/>
  <c r="AK37" i="9"/>
  <c r="AC37" i="9"/>
  <c r="U37" i="9"/>
  <c r="M37" i="9"/>
  <c r="E37" i="9"/>
  <c r="DL37" i="9"/>
  <c r="DD37" i="9"/>
  <c r="CV37" i="9"/>
  <c r="CN37" i="9"/>
  <c r="CF37" i="9"/>
  <c r="BX37" i="9"/>
  <c r="BP37" i="9"/>
  <c r="BH37" i="9"/>
  <c r="AZ37" i="9"/>
  <c r="AR37" i="9"/>
  <c r="AJ37" i="9"/>
  <c r="AB37" i="9"/>
  <c r="T37" i="9"/>
  <c r="L37" i="9"/>
  <c r="D37" i="9"/>
  <c r="DP37" i="9"/>
  <c r="DF37" i="9"/>
  <c r="CT37" i="9"/>
  <c r="CJ37" i="9"/>
  <c r="BZ37" i="9"/>
  <c r="BN37" i="9"/>
  <c r="BD37" i="9"/>
  <c r="AT37" i="9"/>
  <c r="AH37" i="9"/>
  <c r="X37" i="9"/>
  <c r="N37" i="9"/>
  <c r="DR37" i="9"/>
  <c r="DG37" i="9"/>
  <c r="CS37" i="9"/>
  <c r="CH37" i="9"/>
  <c r="BU37" i="9"/>
  <c r="BJ37" i="9"/>
  <c r="AW37" i="9"/>
  <c r="AL37" i="9"/>
  <c r="Y37" i="9"/>
  <c r="K37" i="9"/>
  <c r="DQ37" i="9"/>
  <c r="DC37" i="9"/>
  <c r="CR37" i="9"/>
  <c r="CE37" i="9"/>
  <c r="BT37" i="9"/>
  <c r="BG37" i="9"/>
  <c r="AV37" i="9"/>
  <c r="AI37" i="9"/>
  <c r="W37" i="9"/>
  <c r="J37" i="9"/>
  <c r="DK37" i="9"/>
  <c r="CX37" i="9"/>
  <c r="CD37" i="9"/>
  <c r="BO37" i="9"/>
  <c r="AY37" i="9"/>
  <c r="AG37" i="9"/>
  <c r="R37" i="9"/>
  <c r="C37" i="9"/>
  <c r="DJ37" i="9"/>
  <c r="CU37" i="9"/>
  <c r="CC37" i="9"/>
  <c r="BM37" i="9"/>
  <c r="AX37" i="9"/>
  <c r="AF37" i="9"/>
  <c r="Q37" i="9"/>
  <c r="CZ37" i="9"/>
  <c r="CB37" i="9"/>
  <c r="BF37" i="9"/>
  <c r="AN37" i="9"/>
  <c r="P37" i="9"/>
  <c r="DK25" i="9"/>
  <c r="DC25" i="9"/>
  <c r="CU25" i="9"/>
  <c r="CM25" i="9"/>
  <c r="CE25" i="9"/>
  <c r="BW25" i="9"/>
  <c r="BO25" i="9"/>
  <c r="BG25" i="9"/>
  <c r="AY25" i="9"/>
  <c r="AQ25" i="9"/>
  <c r="AI25" i="9"/>
  <c r="AA25" i="9"/>
  <c r="S25" i="9"/>
  <c r="K25" i="9"/>
  <c r="C25" i="9"/>
  <c r="CY37" i="9"/>
  <c r="CA37" i="9"/>
  <c r="BE37" i="9"/>
  <c r="AM37" i="9"/>
  <c r="O37" i="9"/>
  <c r="DN37" i="9"/>
  <c r="CL37" i="9"/>
  <c r="BK37" i="9"/>
  <c r="AD37" i="9"/>
  <c r="F37" i="9"/>
  <c r="DN25" i="9"/>
  <c r="DE25" i="9"/>
  <c r="CV25" i="9"/>
  <c r="CL25" i="9"/>
  <c r="CC25" i="9"/>
  <c r="BT25" i="9"/>
  <c r="BK25" i="9"/>
  <c r="BB25" i="9"/>
  <c r="AS25" i="9"/>
  <c r="AJ25" i="9"/>
  <c r="Z25" i="9"/>
  <c r="Q25" i="9"/>
  <c r="H25" i="9"/>
  <c r="DH37" i="9"/>
  <c r="BW37" i="9"/>
  <c r="AQ37" i="9"/>
  <c r="DB37" i="9"/>
  <c r="BV37" i="9"/>
  <c r="AP37" i="9"/>
  <c r="H37" i="9"/>
  <c r="DJ25" i="9"/>
  <c r="CZ25" i="9"/>
  <c r="CP25" i="9"/>
  <c r="CF25" i="9"/>
  <c r="BU25" i="9"/>
  <c r="BJ25" i="9"/>
  <c r="AZ25" i="9"/>
  <c r="AO25" i="9"/>
  <c r="AE25" i="9"/>
  <c r="U25" i="9"/>
  <c r="J25" i="9"/>
  <c r="DO13" i="9"/>
  <c r="DG13" i="9"/>
  <c r="CY13" i="9"/>
  <c r="CQ13" i="9"/>
  <c r="CI13" i="9"/>
  <c r="CA13" i="9"/>
  <c r="BS13" i="9"/>
  <c r="BK13" i="9"/>
  <c r="BC13" i="9"/>
  <c r="AU13" i="9"/>
  <c r="AM13" i="9"/>
  <c r="AE13" i="9"/>
  <c r="W13" i="9"/>
  <c r="O13" i="9"/>
  <c r="G13" i="9"/>
  <c r="DI37" i="9"/>
  <c r="CI37" i="9"/>
  <c r="AU37" i="9"/>
  <c r="S37" i="9"/>
  <c r="CP37" i="9"/>
  <c r="AO37" i="9"/>
  <c r="DR25" i="9"/>
  <c r="DG25" i="9"/>
  <c r="CT25" i="9"/>
  <c r="CI25" i="9"/>
  <c r="BX25" i="9"/>
  <c r="BL25" i="9"/>
  <c r="AX25" i="9"/>
  <c r="AM25" i="9"/>
  <c r="AB25" i="9"/>
  <c r="O25" i="9"/>
  <c r="D25" i="9"/>
  <c r="CM37" i="9"/>
  <c r="AE37" i="9"/>
  <c r="DQ25" i="9"/>
  <c r="DF25" i="9"/>
  <c r="CS25" i="9"/>
  <c r="CH25" i="9"/>
  <c r="BV25" i="9"/>
  <c r="BI25" i="9"/>
  <c r="AW25" i="9"/>
  <c r="AL25" i="9"/>
  <c r="Y25" i="9"/>
  <c r="N25" i="9"/>
  <c r="DM13" i="9"/>
  <c r="DD13" i="9"/>
  <c r="CU13" i="9"/>
  <c r="CL13" i="9"/>
  <c r="CC13" i="9"/>
  <c r="BT13" i="9"/>
  <c r="BJ13" i="9"/>
  <c r="BA13" i="9"/>
  <c r="AR13" i="9"/>
  <c r="AI13" i="9"/>
  <c r="Z13" i="9"/>
  <c r="Q13" i="9"/>
  <c r="H13" i="9"/>
  <c r="CK37" i="9"/>
  <c r="AA37" i="9"/>
  <c r="DP25" i="9"/>
  <c r="DD25" i="9"/>
  <c r="CR25" i="9"/>
  <c r="CG25" i="9"/>
  <c r="BS25" i="9"/>
  <c r="BH25" i="9"/>
  <c r="AV25" i="9"/>
  <c r="AK25" i="9"/>
  <c r="X25" i="9"/>
  <c r="M25" i="9"/>
  <c r="BS37" i="9"/>
  <c r="Z37" i="9"/>
  <c r="DA37" i="9"/>
  <c r="G37" i="9"/>
  <c r="DA25" i="9"/>
  <c r="CJ25" i="9"/>
  <c r="BP25" i="9"/>
  <c r="AU25" i="9"/>
  <c r="AD25" i="9"/>
  <c r="I25" i="9"/>
  <c r="DK13" i="9"/>
  <c r="DA13" i="9"/>
  <c r="CP13" i="9"/>
  <c r="CF13" i="9"/>
  <c r="BV13" i="9"/>
  <c r="BL13" i="9"/>
  <c r="BC37" i="9"/>
  <c r="DB25" i="9"/>
  <c r="CD25" i="9"/>
  <c r="BM25" i="9"/>
  <c r="AP25" i="9"/>
  <c r="T25" i="9"/>
  <c r="BB37" i="9"/>
  <c r="CY25" i="9"/>
  <c r="CB25" i="9"/>
  <c r="BF25" i="9"/>
  <c r="AN25" i="9"/>
  <c r="R25" i="9"/>
  <c r="V37" i="9"/>
  <c r="CX25" i="9"/>
  <c r="CA25" i="9"/>
  <c r="BE25" i="9"/>
  <c r="AH25" i="9"/>
  <c r="P25" i="9"/>
  <c r="DJ13" i="9"/>
  <c r="CX13" i="9"/>
  <c r="CM13" i="9"/>
  <c r="BZ13" i="9"/>
  <c r="BO13" i="9"/>
  <c r="BD13" i="9"/>
  <c r="AS13" i="9"/>
  <c r="AH13" i="9"/>
  <c r="X13" i="9"/>
  <c r="M13" i="9"/>
  <c r="C13" i="9"/>
  <c r="I37" i="9"/>
  <c r="DO25" i="9"/>
  <c r="CW25" i="9"/>
  <c r="BZ25" i="9"/>
  <c r="BD25" i="9"/>
  <c r="AG25" i="9"/>
  <c r="L25" i="9"/>
  <c r="DI25" i="9"/>
  <c r="BQ25" i="9"/>
  <c r="W25" i="9"/>
  <c r="DF13" i="9"/>
  <c r="CS13" i="9"/>
  <c r="CE13" i="9"/>
  <c r="BQ13" i="9"/>
  <c r="BE13" i="9"/>
  <c r="AQ13" i="9"/>
  <c r="AF13" i="9"/>
  <c r="T13" i="9"/>
  <c r="I13" i="9"/>
  <c r="DH25" i="9"/>
  <c r="BN25" i="9"/>
  <c r="V25" i="9"/>
  <c r="CQ25" i="9"/>
  <c r="BC25" i="9"/>
  <c r="G25" i="9"/>
  <c r="CO25" i="9"/>
  <c r="BA25" i="9"/>
  <c r="F25" i="9"/>
  <c r="DP13" i="9"/>
  <c r="DB13" i="9"/>
  <c r="CN13" i="9"/>
  <c r="BY13" i="9"/>
  <c r="BM13" i="9"/>
  <c r="AY13" i="9"/>
  <c r="AN13" i="9"/>
  <c r="AB13" i="9"/>
  <c r="P13" i="9"/>
  <c r="D13" i="9"/>
  <c r="DO37" i="9"/>
  <c r="CQ37" i="9"/>
  <c r="BR37" i="9"/>
  <c r="DM25" i="9"/>
  <c r="BY25" i="9"/>
  <c r="AF25" i="9"/>
  <c r="DL25" i="9"/>
  <c r="DQ13" i="9"/>
  <c r="CW13" i="9"/>
  <c r="CG13" i="9"/>
  <c r="BN13" i="9"/>
  <c r="AW13" i="9"/>
  <c r="AG13" i="9"/>
  <c r="R13" i="9"/>
  <c r="BL37" i="9"/>
  <c r="CN25" i="9"/>
  <c r="DN13" i="9"/>
  <c r="CV13" i="9"/>
  <c r="CD13" i="9"/>
  <c r="BI13" i="9"/>
  <c r="AV13" i="9"/>
  <c r="AD13" i="9"/>
  <c r="N13" i="9"/>
  <c r="CK25" i="9"/>
  <c r="DL13" i="9"/>
  <c r="CT13" i="9"/>
  <c r="CB13" i="9"/>
  <c r="BH13" i="9"/>
  <c r="AT13" i="9"/>
  <c r="AC13" i="9"/>
  <c r="AR25" i="9"/>
  <c r="AT25" i="9"/>
  <c r="DH13" i="9"/>
  <c r="CH13" i="9"/>
  <c r="BB13" i="9"/>
  <c r="AA13" i="9"/>
  <c r="F13" i="9"/>
  <c r="AC25" i="9"/>
  <c r="DE13" i="9"/>
  <c r="BX13" i="9"/>
  <c r="AZ13" i="9"/>
  <c r="Y13" i="9"/>
  <c r="E13" i="9"/>
  <c r="E25" i="9"/>
  <c r="DC13" i="9"/>
  <c r="BW13" i="9"/>
  <c r="AX13" i="9"/>
  <c r="V13" i="9"/>
  <c r="CZ13" i="9"/>
  <c r="BU13" i="9"/>
  <c r="AP13" i="9"/>
  <c r="U13" i="9"/>
  <c r="CR13" i="9"/>
  <c r="BR13" i="9"/>
  <c r="AO13" i="9"/>
  <c r="S13" i="9"/>
  <c r="BF13" i="9"/>
  <c r="DR13" i="9"/>
  <c r="AL13" i="9"/>
  <c r="DI13" i="9"/>
  <c r="AK13" i="9"/>
  <c r="CO13" i="9"/>
  <c r="AJ13" i="9"/>
  <c r="CK13" i="9"/>
  <c r="L13" i="9"/>
  <c r="CJ13" i="9"/>
  <c r="K13" i="9"/>
  <c r="BR25" i="9"/>
  <c r="BP13" i="9"/>
  <c r="J13" i="9"/>
  <c r="BG13" i="9"/>
  <c r="AF8" i="9"/>
  <c r="DF20" i="9"/>
  <c r="HZ34" i="9"/>
  <c r="BY20" i="9"/>
  <c r="E20" i="9"/>
  <c r="DL10" i="9"/>
  <c r="IH34" i="9"/>
  <c r="JS10" i="9"/>
  <c r="G20" i="9"/>
  <c r="AR20" i="9"/>
  <c r="C32" i="9"/>
  <c r="HA22" i="9"/>
  <c r="L32" i="9"/>
  <c r="J32" i="9"/>
  <c r="DA32" i="9"/>
  <c r="AS8" i="9"/>
  <c r="N8" i="9"/>
  <c r="CN20" i="9"/>
  <c r="CS20" i="9"/>
  <c r="AB20" i="9"/>
  <c r="P20" i="9"/>
  <c r="HV22" i="9"/>
  <c r="AK32" i="9"/>
  <c r="IE22" i="9"/>
  <c r="AW32" i="9"/>
  <c r="BD32" i="9"/>
  <c r="BD34" i="9" s="1"/>
  <c r="U32" i="9"/>
  <c r="DM32" i="9"/>
  <c r="K32" i="9"/>
  <c r="S32" i="9"/>
  <c r="AO32" i="9"/>
  <c r="CQ32" i="9"/>
  <c r="BP8" i="9"/>
  <c r="CN8" i="9"/>
  <c r="AM20" i="9"/>
  <c r="BS20" i="9"/>
  <c r="C8" i="9"/>
  <c r="BX8" i="9"/>
  <c r="AU22" i="9"/>
  <c r="FS22" i="9"/>
  <c r="CF32" i="9"/>
  <c r="BK20" i="9"/>
  <c r="BB20" i="9"/>
  <c r="CK32" i="9"/>
  <c r="I20" i="9"/>
  <c r="CT32" i="9"/>
  <c r="CB32" i="9"/>
  <c r="JL34" i="9"/>
  <c r="AN20" i="9"/>
  <c r="DI20" i="9"/>
  <c r="AS32" i="9"/>
  <c r="EJ34" i="9"/>
  <c r="IB34" i="9"/>
  <c r="AI32" i="9"/>
  <c r="K20" i="9"/>
  <c r="K22" i="9" s="1"/>
  <c r="BW20" i="9"/>
  <c r="AN32" i="9"/>
  <c r="AU32" i="9"/>
  <c r="DG32" i="9"/>
  <c r="HQ10" i="9"/>
  <c r="AP8" i="9"/>
  <c r="ER22" i="9"/>
  <c r="AV20" i="9"/>
  <c r="DY22" i="9"/>
  <c r="EC34" i="9"/>
  <c r="BU20" i="9"/>
  <c r="AG20" i="9"/>
  <c r="BA32" i="9"/>
  <c r="AX20" i="9"/>
  <c r="BH32" i="9"/>
  <c r="BO32" i="9"/>
  <c r="CZ22" i="9"/>
  <c r="AH32" i="9"/>
  <c r="DN32" i="9"/>
  <c r="C20" i="9"/>
  <c r="DI32" i="9"/>
  <c r="AX32" i="9"/>
  <c r="KL33" i="9"/>
  <c r="KL34" i="9" s="1"/>
  <c r="KD33" i="9"/>
  <c r="KD34" i="9" s="1"/>
  <c r="JV33" i="9"/>
  <c r="JV34" i="9" s="1"/>
  <c r="JN33" i="9"/>
  <c r="JN34" i="9" s="1"/>
  <c r="JF33" i="9"/>
  <c r="JF34" i="9" s="1"/>
  <c r="IX33" i="9"/>
  <c r="IX34" i="9" s="1"/>
  <c r="IP33" i="9"/>
  <c r="IH33" i="9"/>
  <c r="HZ33" i="9"/>
  <c r="HR33" i="9"/>
  <c r="HR34" i="9" s="1"/>
  <c r="HJ33" i="9"/>
  <c r="HJ34" i="9" s="1"/>
  <c r="HB33" i="9"/>
  <c r="HB34" i="9" s="1"/>
  <c r="GT33" i="9"/>
  <c r="GT34" i="9" s="1"/>
  <c r="GL33" i="9"/>
  <c r="GL34" i="9" s="1"/>
  <c r="GD33" i="9"/>
  <c r="GD34" i="9" s="1"/>
  <c r="FV33" i="9"/>
  <c r="FV34" i="9" s="1"/>
  <c r="FN33" i="9"/>
  <c r="FF33" i="9"/>
  <c r="FF34" i="9" s="1"/>
  <c r="EX33" i="9"/>
  <c r="EX34" i="9" s="1"/>
  <c r="EP33" i="9"/>
  <c r="EH33" i="9"/>
  <c r="EH34" i="9" s="1"/>
  <c r="DZ33" i="9"/>
  <c r="DZ34" i="9" s="1"/>
  <c r="DR33" i="9"/>
  <c r="DJ33" i="9"/>
  <c r="DB33" i="9"/>
  <c r="CT33" i="9"/>
  <c r="CL33" i="9"/>
  <c r="CD33" i="9"/>
  <c r="BV33" i="9"/>
  <c r="BV34" i="9" s="1"/>
  <c r="BN33" i="9"/>
  <c r="BF33" i="9"/>
  <c r="AX33" i="9"/>
  <c r="AP33" i="9"/>
  <c r="AH33" i="9"/>
  <c r="Z33" i="9"/>
  <c r="R33" i="9"/>
  <c r="J33" i="9"/>
  <c r="KK33" i="9"/>
  <c r="KK34" i="9" s="1"/>
  <c r="KC33" i="9"/>
  <c r="KC34" i="9" s="1"/>
  <c r="JU33" i="9"/>
  <c r="JU34" i="9" s="1"/>
  <c r="JM33" i="9"/>
  <c r="JE33" i="9"/>
  <c r="JE34" i="9" s="1"/>
  <c r="IW33" i="9"/>
  <c r="IW34" i="9" s="1"/>
  <c r="IO33" i="9"/>
  <c r="IO34" i="9" s="1"/>
  <c r="IG33" i="9"/>
  <c r="IG34" i="9" s="1"/>
  <c r="HY33" i="9"/>
  <c r="HY34" i="9" s="1"/>
  <c r="HQ33" i="9"/>
  <c r="HQ34" i="9" s="1"/>
  <c r="HI33" i="9"/>
  <c r="HI34" i="9" s="1"/>
  <c r="KN33" i="9"/>
  <c r="KN34" i="9" s="1"/>
  <c r="KB33" i="9"/>
  <c r="JR33" i="9"/>
  <c r="JR34" i="9" s="1"/>
  <c r="JH33" i="9"/>
  <c r="JH34" i="9" s="1"/>
  <c r="IV33" i="9"/>
  <c r="IV34" i="9" s="1"/>
  <c r="IL33" i="9"/>
  <c r="IL34" i="9" s="1"/>
  <c r="IB33" i="9"/>
  <c r="HP33" i="9"/>
  <c r="HF33" i="9"/>
  <c r="HF34" i="9" s="1"/>
  <c r="GW33" i="9"/>
  <c r="GW34" i="9" s="1"/>
  <c r="GN33" i="9"/>
  <c r="GN34" i="9" s="1"/>
  <c r="GE33" i="9"/>
  <c r="GE34" i="9" s="1"/>
  <c r="FU33" i="9"/>
  <c r="FU34" i="9" s="1"/>
  <c r="FL33" i="9"/>
  <c r="FL34" i="9" s="1"/>
  <c r="FC33" i="9"/>
  <c r="FC34" i="9" s="1"/>
  <c r="ET33" i="9"/>
  <c r="EK33" i="9"/>
  <c r="EB33" i="9"/>
  <c r="EB34" i="9" s="1"/>
  <c r="DS33" i="9"/>
  <c r="DS34" i="9" s="1"/>
  <c r="DI33" i="9"/>
  <c r="CZ33" i="9"/>
  <c r="CZ34" i="9" s="1"/>
  <c r="CQ33" i="9"/>
  <c r="CH33" i="9"/>
  <c r="BY33" i="9"/>
  <c r="BP33" i="9"/>
  <c r="BG33" i="9"/>
  <c r="AW33" i="9"/>
  <c r="AN33" i="9"/>
  <c r="AE33" i="9"/>
  <c r="AE34" i="9" s="1"/>
  <c r="V33" i="9"/>
  <c r="V34" i="9" s="1"/>
  <c r="M33" i="9"/>
  <c r="D33" i="9"/>
  <c r="KH33" i="9"/>
  <c r="KH34" i="9" s="1"/>
  <c r="JW33" i="9"/>
  <c r="JW34" i="9" s="1"/>
  <c r="JJ33" i="9"/>
  <c r="JJ34" i="9" s="1"/>
  <c r="IY33" i="9"/>
  <c r="IY34" i="9" s="1"/>
  <c r="IK33" i="9"/>
  <c r="IK34" i="9" s="1"/>
  <c r="HX33" i="9"/>
  <c r="HX34" i="9" s="1"/>
  <c r="HM33" i="9"/>
  <c r="HA33" i="9"/>
  <c r="GQ33" i="9"/>
  <c r="GQ34" i="9" s="1"/>
  <c r="GG33" i="9"/>
  <c r="GG34" i="9" s="1"/>
  <c r="FW33" i="9"/>
  <c r="FW34" i="9" s="1"/>
  <c r="FK33" i="9"/>
  <c r="FK34" i="9" s="1"/>
  <c r="FA33" i="9"/>
  <c r="FA34" i="9" s="1"/>
  <c r="EQ33" i="9"/>
  <c r="EQ34" i="9" s="1"/>
  <c r="EF33" i="9"/>
  <c r="EF34" i="9" s="1"/>
  <c r="DV33" i="9"/>
  <c r="DL33" i="9"/>
  <c r="DA33" i="9"/>
  <c r="CP33" i="9"/>
  <c r="CP34" i="9" s="1"/>
  <c r="CF33" i="9"/>
  <c r="BU33" i="9"/>
  <c r="BK33" i="9"/>
  <c r="BA33" i="9"/>
  <c r="AQ33" i="9"/>
  <c r="AF33" i="9"/>
  <c r="U33" i="9"/>
  <c r="K33" i="9"/>
  <c r="KI33" i="9"/>
  <c r="KI34" i="9" s="1"/>
  <c r="JT33" i="9"/>
  <c r="JT34" i="9" s="1"/>
  <c r="JG33" i="9"/>
  <c r="JG34" i="9" s="1"/>
  <c r="IS33" i="9"/>
  <c r="IE33" i="9"/>
  <c r="IE34" i="9" s="1"/>
  <c r="HS33" i="9"/>
  <c r="HS34" i="9" s="1"/>
  <c r="HD33" i="9"/>
  <c r="HD34" i="9" s="1"/>
  <c r="GR33" i="9"/>
  <c r="GR34" i="9" s="1"/>
  <c r="GF33" i="9"/>
  <c r="GF34" i="9" s="1"/>
  <c r="FS33" i="9"/>
  <c r="FS34" i="9" s="1"/>
  <c r="FH33" i="9"/>
  <c r="FH34" i="9" s="1"/>
  <c r="EV33" i="9"/>
  <c r="EV34" i="9" s="1"/>
  <c r="EJ33" i="9"/>
  <c r="DX33" i="9"/>
  <c r="DX34" i="9" s="1"/>
  <c r="DM33" i="9"/>
  <c r="CY33" i="9"/>
  <c r="CN33" i="9"/>
  <c r="CB33" i="9"/>
  <c r="BQ33" i="9"/>
  <c r="BD33" i="9"/>
  <c r="AS33" i="9"/>
  <c r="AG33" i="9"/>
  <c r="T33" i="9"/>
  <c r="H33" i="9"/>
  <c r="KM33" i="9"/>
  <c r="KM34" i="9" s="1"/>
  <c r="JX33" i="9"/>
  <c r="JX34" i="9" s="1"/>
  <c r="JD33" i="9"/>
  <c r="JD34" i="9" s="1"/>
  <c r="IQ33" i="9"/>
  <c r="IQ34" i="9" s="1"/>
  <c r="IA33" i="9"/>
  <c r="IA34" i="9" s="1"/>
  <c r="HK33" i="9"/>
  <c r="HK34" i="9" s="1"/>
  <c r="GV33" i="9"/>
  <c r="GV34" i="9" s="1"/>
  <c r="GI33" i="9"/>
  <c r="FT33" i="9"/>
  <c r="FT34" i="9" s="1"/>
  <c r="FG33" i="9"/>
  <c r="FG34" i="9" s="1"/>
  <c r="ES33" i="9"/>
  <c r="ES34" i="9" s="1"/>
  <c r="EE33" i="9"/>
  <c r="DQ33" i="9"/>
  <c r="DE33" i="9"/>
  <c r="CR33" i="9"/>
  <c r="CR34" i="9" s="1"/>
  <c r="CC33" i="9"/>
  <c r="BO33" i="9"/>
  <c r="BB33" i="9"/>
  <c r="BB34" i="9" s="1"/>
  <c r="AM33" i="9"/>
  <c r="AM34" i="9" s="1"/>
  <c r="AA33" i="9"/>
  <c r="N33" i="9"/>
  <c r="N34" i="9" s="1"/>
  <c r="KI21" i="9"/>
  <c r="KA21" i="9"/>
  <c r="KA22" i="9" s="1"/>
  <c r="JS21" i="9"/>
  <c r="JS22" i="9" s="1"/>
  <c r="JK21" i="9"/>
  <c r="JK22" i="9" s="1"/>
  <c r="JC21" i="9"/>
  <c r="JC22" i="9" s="1"/>
  <c r="IU21" i="9"/>
  <c r="IU22" i="9" s="1"/>
  <c r="IM21" i="9"/>
  <c r="IE21" i="9"/>
  <c r="HW21" i="9"/>
  <c r="HW22" i="9" s="1"/>
  <c r="HO21" i="9"/>
  <c r="HO22" i="9" s="1"/>
  <c r="HG21" i="9"/>
  <c r="HG22" i="9" s="1"/>
  <c r="GY21" i="9"/>
  <c r="GY22" i="9" s="1"/>
  <c r="GQ21" i="9"/>
  <c r="GQ22" i="9" s="1"/>
  <c r="GI21" i="9"/>
  <c r="GI22" i="9" s="1"/>
  <c r="GA21" i="9"/>
  <c r="FS21" i="9"/>
  <c r="FK21" i="9"/>
  <c r="FK22" i="9" s="1"/>
  <c r="FC21" i="9"/>
  <c r="FC22" i="9" s="1"/>
  <c r="EU21" i="9"/>
  <c r="EU22" i="9" s="1"/>
  <c r="EM21" i="9"/>
  <c r="EM22" i="9" s="1"/>
  <c r="EE21" i="9"/>
  <c r="EE22" i="9" s="1"/>
  <c r="DW21" i="9"/>
  <c r="DW22" i="9" s="1"/>
  <c r="DO21" i="9"/>
  <c r="DG21" i="9"/>
  <c r="CY21" i="9"/>
  <c r="CQ21" i="9"/>
  <c r="CQ22" i="9" s="1"/>
  <c r="CI21" i="9"/>
  <c r="CA21" i="9"/>
  <c r="BS21" i="9"/>
  <c r="BK21" i="9"/>
  <c r="BC21" i="9"/>
  <c r="AU21" i="9"/>
  <c r="AM21" i="9"/>
  <c r="AE21" i="9"/>
  <c r="AE22" i="9" s="1"/>
  <c r="W21" i="9"/>
  <c r="O21" i="9"/>
  <c r="G21" i="9"/>
  <c r="KI9" i="9"/>
  <c r="KI10" i="9" s="1"/>
  <c r="KA9" i="9"/>
  <c r="JS9" i="9"/>
  <c r="JK9" i="9"/>
  <c r="JK10" i="9" s="1"/>
  <c r="JC9" i="9"/>
  <c r="JC10" i="9" s="1"/>
  <c r="IU9" i="9"/>
  <c r="IU10" i="9" s="1"/>
  <c r="IM9" i="9"/>
  <c r="IM10" i="9" s="1"/>
  <c r="IE9" i="9"/>
  <c r="IE10" i="9" s="1"/>
  <c r="HW9" i="9"/>
  <c r="HW10" i="9" s="1"/>
  <c r="HO9" i="9"/>
  <c r="KP33" i="9"/>
  <c r="KP34" i="9" s="1"/>
  <c r="JZ33" i="9"/>
  <c r="JZ34" i="9" s="1"/>
  <c r="JK33" i="9"/>
  <c r="JK34" i="9" s="1"/>
  <c r="IT33" i="9"/>
  <c r="IT34" i="9" s="1"/>
  <c r="ID33" i="9"/>
  <c r="ID34" i="9" s="1"/>
  <c r="KJ33" i="9"/>
  <c r="KJ34" i="9" s="1"/>
  <c r="JP33" i="9"/>
  <c r="JP34" i="9" s="1"/>
  <c r="IU33" i="9"/>
  <c r="IU34" i="9" s="1"/>
  <c r="HW33" i="9"/>
  <c r="HW34" i="9" s="1"/>
  <c r="HG33" i="9"/>
  <c r="HG34" i="9" s="1"/>
  <c r="GP33" i="9"/>
  <c r="GP34" i="9" s="1"/>
  <c r="GA33" i="9"/>
  <c r="GA34" i="9" s="1"/>
  <c r="FM33" i="9"/>
  <c r="FM34" i="9" s="1"/>
  <c r="EW33" i="9"/>
  <c r="EW34" i="9" s="1"/>
  <c r="EG33" i="9"/>
  <c r="EG34" i="9" s="1"/>
  <c r="DP33" i="9"/>
  <c r="DC33" i="9"/>
  <c r="CK33" i="9"/>
  <c r="BW33" i="9"/>
  <c r="BH33" i="9"/>
  <c r="AR33" i="9"/>
  <c r="AB33" i="9"/>
  <c r="AB34" i="9" s="1"/>
  <c r="L33" i="9"/>
  <c r="KG33" i="9"/>
  <c r="JO33" i="9"/>
  <c r="JO34" i="9" s="1"/>
  <c r="IR33" i="9"/>
  <c r="IR34" i="9" s="1"/>
  <c r="HV33" i="9"/>
  <c r="HV34" i="9" s="1"/>
  <c r="HE33" i="9"/>
  <c r="HE34" i="9" s="1"/>
  <c r="GO33" i="9"/>
  <c r="GO34" i="9" s="1"/>
  <c r="FZ33" i="9"/>
  <c r="FZ34" i="9" s="1"/>
  <c r="FJ33" i="9"/>
  <c r="FJ34" i="9" s="1"/>
  <c r="EU33" i="9"/>
  <c r="EU34" i="9" s="1"/>
  <c r="ED33" i="9"/>
  <c r="DO33" i="9"/>
  <c r="CX33" i="9"/>
  <c r="CJ33" i="9"/>
  <c r="BT33" i="9"/>
  <c r="BE33" i="9"/>
  <c r="AO33" i="9"/>
  <c r="Y33" i="9"/>
  <c r="I33" i="9"/>
  <c r="KH21" i="9"/>
  <c r="KH22" i="9" s="1"/>
  <c r="JY21" i="9"/>
  <c r="JY22" i="9" s="1"/>
  <c r="JP21" i="9"/>
  <c r="JP22" i="9" s="1"/>
  <c r="JG21" i="9"/>
  <c r="JG22" i="9" s="1"/>
  <c r="IX21" i="9"/>
  <c r="IX22" i="9" s="1"/>
  <c r="IO21" i="9"/>
  <c r="IO22" i="9" s="1"/>
  <c r="IF21" i="9"/>
  <c r="IF22" i="9" s="1"/>
  <c r="HV21" i="9"/>
  <c r="HM21" i="9"/>
  <c r="HM22" i="9" s="1"/>
  <c r="HD21" i="9"/>
  <c r="HD22" i="9" s="1"/>
  <c r="GU21" i="9"/>
  <c r="GU22" i="9" s="1"/>
  <c r="GL21" i="9"/>
  <c r="GL22" i="9" s="1"/>
  <c r="GC21" i="9"/>
  <c r="GC22" i="9" s="1"/>
  <c r="FT21" i="9"/>
  <c r="FT22" i="9" s="1"/>
  <c r="FJ21" i="9"/>
  <c r="FJ22" i="9" s="1"/>
  <c r="FA21" i="9"/>
  <c r="FA22" i="9" s="1"/>
  <c r="ER21" i="9"/>
  <c r="EI21" i="9"/>
  <c r="EI22" i="9" s="1"/>
  <c r="DZ21" i="9"/>
  <c r="DZ22" i="9" s="1"/>
  <c r="DQ21" i="9"/>
  <c r="DH21" i="9"/>
  <c r="DH22" i="9" s="1"/>
  <c r="CX21" i="9"/>
  <c r="CX22" i="9" s="1"/>
  <c r="CO21" i="9"/>
  <c r="CF21" i="9"/>
  <c r="BW21" i="9"/>
  <c r="BN21" i="9"/>
  <c r="BE21" i="9"/>
  <c r="AV21" i="9"/>
  <c r="AL21" i="9"/>
  <c r="AL22" i="9" s="1"/>
  <c r="AC21" i="9"/>
  <c r="AC22" i="9" s="1"/>
  <c r="T21" i="9"/>
  <c r="K21" i="9"/>
  <c r="KP9" i="9"/>
  <c r="KG9" i="9"/>
  <c r="KG10" i="9" s="1"/>
  <c r="JX9" i="9"/>
  <c r="JX10" i="9" s="1"/>
  <c r="JO9" i="9"/>
  <c r="JF9" i="9"/>
  <c r="JF10" i="9" s="1"/>
  <c r="IW9" i="9"/>
  <c r="IW10" i="9" s="1"/>
  <c r="IN9" i="9"/>
  <c r="IN10" i="9" s="1"/>
  <c r="ID9" i="9"/>
  <c r="ID10" i="9" s="1"/>
  <c r="HU9" i="9"/>
  <c r="HU10" i="9" s="1"/>
  <c r="HL9" i="9"/>
  <c r="HL10" i="9" s="1"/>
  <c r="HD9" i="9"/>
  <c r="HD10" i="9" s="1"/>
  <c r="GV9" i="9"/>
  <c r="GV10" i="9" s="1"/>
  <c r="GN9" i="9"/>
  <c r="GN10" i="9" s="1"/>
  <c r="GF9" i="9"/>
  <c r="GF10" i="9" s="1"/>
  <c r="FX9" i="9"/>
  <c r="FX10" i="9" s="1"/>
  <c r="FP9" i="9"/>
  <c r="FP10" i="9" s="1"/>
  <c r="FH9" i="9"/>
  <c r="FH10" i="9" s="1"/>
  <c r="EZ9" i="9"/>
  <c r="EZ10" i="9" s="1"/>
  <c r="ER9" i="9"/>
  <c r="ER10" i="9" s="1"/>
  <c r="EJ9" i="9"/>
  <c r="EJ10" i="9" s="1"/>
  <c r="EB9" i="9"/>
  <c r="EB10" i="9" s="1"/>
  <c r="DT9" i="9"/>
  <c r="DT10" i="9" s="1"/>
  <c r="DL9" i="9"/>
  <c r="DD9" i="9"/>
  <c r="CV9" i="9"/>
  <c r="CN9" i="9"/>
  <c r="CF9" i="9"/>
  <c r="BX9" i="9"/>
  <c r="BP9" i="9"/>
  <c r="BH9" i="9"/>
  <c r="AZ9" i="9"/>
  <c r="AZ10" i="9" s="1"/>
  <c r="AR9" i="9"/>
  <c r="AJ9" i="9"/>
  <c r="AB9" i="9"/>
  <c r="T9" i="9"/>
  <c r="L9" i="9"/>
  <c r="D9" i="9"/>
  <c r="KF33" i="9"/>
  <c r="KF34" i="9" s="1"/>
  <c r="JL33" i="9"/>
  <c r="IN33" i="9"/>
  <c r="HU33" i="9"/>
  <c r="HU34" i="9" s="1"/>
  <c r="HC33" i="9"/>
  <c r="HC34" i="9" s="1"/>
  <c r="GM33" i="9"/>
  <c r="GM34" i="9" s="1"/>
  <c r="FY33" i="9"/>
  <c r="FY34" i="9" s="1"/>
  <c r="FI33" i="9"/>
  <c r="FI34" i="9" s="1"/>
  <c r="ER33" i="9"/>
  <c r="ER34" i="9" s="1"/>
  <c r="EC33" i="9"/>
  <c r="DN33" i="9"/>
  <c r="CW33" i="9"/>
  <c r="CI33" i="9"/>
  <c r="CI34" i="9" s="1"/>
  <c r="BS33" i="9"/>
  <c r="BC33" i="9"/>
  <c r="AL33" i="9"/>
  <c r="X33" i="9"/>
  <c r="X34" i="9" s="1"/>
  <c r="G33" i="9"/>
  <c r="KE33" i="9"/>
  <c r="KE34" i="9" s="1"/>
  <c r="JI33" i="9"/>
  <c r="JI34" i="9" s="1"/>
  <c r="IM33" i="9"/>
  <c r="IM34" i="9" s="1"/>
  <c r="HT33" i="9"/>
  <c r="HT34" i="9" s="1"/>
  <c r="GZ33" i="9"/>
  <c r="GZ34" i="9" s="1"/>
  <c r="GK33" i="9"/>
  <c r="GK34" i="9" s="1"/>
  <c r="FX33" i="9"/>
  <c r="FX34" i="9" s="1"/>
  <c r="FE33" i="9"/>
  <c r="EO33" i="9"/>
  <c r="EA33" i="9"/>
  <c r="EA34" i="9" s="1"/>
  <c r="DK33" i="9"/>
  <c r="CV33" i="9"/>
  <c r="CV34" i="9" s="1"/>
  <c r="CG33" i="9"/>
  <c r="CG34" i="9" s="1"/>
  <c r="BR33" i="9"/>
  <c r="AZ33" i="9"/>
  <c r="AK33" i="9"/>
  <c r="W33" i="9"/>
  <c r="F33" i="9"/>
  <c r="JA33" i="9"/>
  <c r="HL33" i="9"/>
  <c r="HL34" i="9" s="1"/>
  <c r="GC33" i="9"/>
  <c r="GC34" i="9" s="1"/>
  <c r="EZ33" i="9"/>
  <c r="EZ34" i="9" s="1"/>
  <c r="DU33" i="9"/>
  <c r="DU34" i="9" s="1"/>
  <c r="CO33" i="9"/>
  <c r="BJ33" i="9"/>
  <c r="AD33" i="9"/>
  <c r="KL21" i="9"/>
  <c r="KL22" i="9" s="1"/>
  <c r="KB21" i="9"/>
  <c r="KB22" i="9" s="1"/>
  <c r="JQ21" i="9"/>
  <c r="JQ22" i="9" s="1"/>
  <c r="JF21" i="9"/>
  <c r="JF22" i="9" s="1"/>
  <c r="IV21" i="9"/>
  <c r="IV22" i="9" s="1"/>
  <c r="IK21" i="9"/>
  <c r="IK22" i="9" s="1"/>
  <c r="IA21" i="9"/>
  <c r="IA22" i="9" s="1"/>
  <c r="HQ21" i="9"/>
  <c r="HQ22" i="9" s="1"/>
  <c r="HF21" i="9"/>
  <c r="HF22" i="9" s="1"/>
  <c r="GV21" i="9"/>
  <c r="GV22" i="9" s="1"/>
  <c r="GK21" i="9"/>
  <c r="GK22" i="9" s="1"/>
  <c r="FZ21" i="9"/>
  <c r="FZ22" i="9" s="1"/>
  <c r="FP21" i="9"/>
  <c r="FP22" i="9" s="1"/>
  <c r="FF21" i="9"/>
  <c r="FF22" i="9" s="1"/>
  <c r="EV21" i="9"/>
  <c r="EV22" i="9" s="1"/>
  <c r="EK21" i="9"/>
  <c r="EA21" i="9"/>
  <c r="EA22" i="9" s="1"/>
  <c r="DP21" i="9"/>
  <c r="DE21" i="9"/>
  <c r="CU21" i="9"/>
  <c r="CK21" i="9"/>
  <c r="BZ21" i="9"/>
  <c r="BP21" i="9"/>
  <c r="BF21" i="9"/>
  <c r="AT21" i="9"/>
  <c r="AJ21" i="9"/>
  <c r="Z21" i="9"/>
  <c r="P21" i="9"/>
  <c r="E21" i="9"/>
  <c r="KA33" i="9"/>
  <c r="KA34" i="9" s="1"/>
  <c r="II33" i="9"/>
  <c r="GU33" i="9"/>
  <c r="GU34" i="9" s="1"/>
  <c r="FO33" i="9"/>
  <c r="FO34" i="9" s="1"/>
  <c r="DY33" i="9"/>
  <c r="DY34" i="9" s="1"/>
  <c r="CS33" i="9"/>
  <c r="BI33" i="9"/>
  <c r="S33" i="9"/>
  <c r="KG21" i="9"/>
  <c r="KG22" i="9" s="1"/>
  <c r="JV21" i="9"/>
  <c r="JV22" i="9" s="1"/>
  <c r="JJ21" i="9"/>
  <c r="JJ22" i="9" s="1"/>
  <c r="IY21" i="9"/>
  <c r="IY22" i="9" s="1"/>
  <c r="IL21" i="9"/>
  <c r="IL22" i="9" s="1"/>
  <c r="HZ21" i="9"/>
  <c r="HZ22" i="9" s="1"/>
  <c r="HN21" i="9"/>
  <c r="HN22" i="9" s="1"/>
  <c r="HB21" i="9"/>
  <c r="HB22" i="9" s="1"/>
  <c r="GP21" i="9"/>
  <c r="GE21" i="9"/>
  <c r="GE22" i="9" s="1"/>
  <c r="FR21" i="9"/>
  <c r="FR22" i="9" s="1"/>
  <c r="FG21" i="9"/>
  <c r="ET21" i="9"/>
  <c r="ET22" i="9" s="1"/>
  <c r="EH21" i="9"/>
  <c r="EH22" i="9" s="1"/>
  <c r="DV21" i="9"/>
  <c r="DV22" i="9" s="1"/>
  <c r="DK21" i="9"/>
  <c r="DK22" i="9" s="1"/>
  <c r="CZ21" i="9"/>
  <c r="CM21" i="9"/>
  <c r="CB21" i="9"/>
  <c r="BO21" i="9"/>
  <c r="BO22" i="9" s="1"/>
  <c r="BB21" i="9"/>
  <c r="AQ21" i="9"/>
  <c r="AF21" i="9"/>
  <c r="S21" i="9"/>
  <c r="H21" i="9"/>
  <c r="JY33" i="9"/>
  <c r="JY34" i="9" s="1"/>
  <c r="IF33" i="9"/>
  <c r="GS33" i="9"/>
  <c r="GS34" i="9" s="1"/>
  <c r="FD33" i="9"/>
  <c r="FD34" i="9" s="1"/>
  <c r="DW33" i="9"/>
  <c r="DW34" i="9" s="1"/>
  <c r="CM33" i="9"/>
  <c r="AY33" i="9"/>
  <c r="AY34" i="9" s="1"/>
  <c r="Q33" i="9"/>
  <c r="Q34" i="9" s="1"/>
  <c r="KF21" i="9"/>
  <c r="JU21" i="9"/>
  <c r="JI21" i="9"/>
  <c r="JI22" i="9" s="1"/>
  <c r="IW21" i="9"/>
  <c r="IW22" i="9" s="1"/>
  <c r="IJ21" i="9"/>
  <c r="IJ22" i="9" s="1"/>
  <c r="HY21" i="9"/>
  <c r="HY22" i="9" s="1"/>
  <c r="HL21" i="9"/>
  <c r="HL22" i="9" s="1"/>
  <c r="HA21" i="9"/>
  <c r="GO21" i="9"/>
  <c r="GO22" i="9" s="1"/>
  <c r="GD21" i="9"/>
  <c r="GD22" i="9" s="1"/>
  <c r="FQ21" i="9"/>
  <c r="FE21" i="9"/>
  <c r="FE22" i="9" s="1"/>
  <c r="ES21" i="9"/>
  <c r="ES22" i="9" s="1"/>
  <c r="EG21" i="9"/>
  <c r="EG22" i="9" s="1"/>
  <c r="DU21" i="9"/>
  <c r="DU22" i="9" s="1"/>
  <c r="DJ21" i="9"/>
  <c r="CW21" i="9"/>
  <c r="CW22" i="9" s="1"/>
  <c r="JS33" i="9"/>
  <c r="JS34" i="9" s="1"/>
  <c r="IC33" i="9"/>
  <c r="GJ33" i="9"/>
  <c r="GJ34" i="9" s="1"/>
  <c r="FB33" i="9"/>
  <c r="FB34" i="9" s="1"/>
  <c r="DT33" i="9"/>
  <c r="DT34" i="9" s="1"/>
  <c r="CE33" i="9"/>
  <c r="CE34" i="9" s="1"/>
  <c r="AV33" i="9"/>
  <c r="P33" i="9"/>
  <c r="KP21" i="9"/>
  <c r="KP22" i="9" s="1"/>
  <c r="KE21" i="9"/>
  <c r="JT21" i="9"/>
  <c r="JH21" i="9"/>
  <c r="JH22" i="9" s="1"/>
  <c r="IT21" i="9"/>
  <c r="IT22" i="9" s="1"/>
  <c r="II21" i="9"/>
  <c r="II22" i="9" s="1"/>
  <c r="HX21" i="9"/>
  <c r="HX22" i="9" s="1"/>
  <c r="HK21" i="9"/>
  <c r="GZ21" i="9"/>
  <c r="GN21" i="9"/>
  <c r="GN22" i="9" s="1"/>
  <c r="GB21" i="9"/>
  <c r="FO21" i="9"/>
  <c r="FO22" i="9" s="1"/>
  <c r="FD21" i="9"/>
  <c r="FD22" i="9" s="1"/>
  <c r="EQ21" i="9"/>
  <c r="EQ22" i="9" s="1"/>
  <c r="EF21" i="9"/>
  <c r="EF22" i="9" s="1"/>
  <c r="DT21" i="9"/>
  <c r="DI21" i="9"/>
  <c r="CV21" i="9"/>
  <c r="CJ21" i="9"/>
  <c r="BX21" i="9"/>
  <c r="BL21" i="9"/>
  <c r="AZ21" i="9"/>
  <c r="AZ22" i="9" s="1"/>
  <c r="AO21" i="9"/>
  <c r="AB21" i="9"/>
  <c r="Q21" i="9"/>
  <c r="Q22" i="9" s="1"/>
  <c r="D21" i="9"/>
  <c r="D22" i="9" s="1"/>
  <c r="KH9" i="9"/>
  <c r="KH10" i="9" s="1"/>
  <c r="JW9" i="9"/>
  <c r="JW10" i="9" s="1"/>
  <c r="JM9" i="9"/>
  <c r="JM10" i="9" s="1"/>
  <c r="JB9" i="9"/>
  <c r="JB10" i="9" s="1"/>
  <c r="IR9" i="9"/>
  <c r="IH9" i="9"/>
  <c r="IH10" i="9" s="1"/>
  <c r="HX9" i="9"/>
  <c r="HM9" i="9"/>
  <c r="HM10" i="9" s="1"/>
  <c r="HC9" i="9"/>
  <c r="HC10" i="9" s="1"/>
  <c r="GT9" i="9"/>
  <c r="GT10" i="9" s="1"/>
  <c r="GK9" i="9"/>
  <c r="GK10" i="9" s="1"/>
  <c r="GB9" i="9"/>
  <c r="GB10" i="9" s="1"/>
  <c r="FS9" i="9"/>
  <c r="FJ9" i="9"/>
  <c r="FJ10" i="9" s="1"/>
  <c r="FA9" i="9"/>
  <c r="EQ9" i="9"/>
  <c r="EQ10" i="9" s="1"/>
  <c r="EH9" i="9"/>
  <c r="EH10" i="9" s="1"/>
  <c r="DY9" i="9"/>
  <c r="DY10" i="9" s="1"/>
  <c r="DP9" i="9"/>
  <c r="DP10" i="9" s="1"/>
  <c r="DG9" i="9"/>
  <c r="DG10" i="9" s="1"/>
  <c r="CX9" i="9"/>
  <c r="CX10" i="9" s="1"/>
  <c r="CO9" i="9"/>
  <c r="CO10" i="9" s="1"/>
  <c r="CE9" i="9"/>
  <c r="BV9" i="9"/>
  <c r="BV10" i="9" s="1"/>
  <c r="BM9" i="9"/>
  <c r="BD9" i="9"/>
  <c r="AU9" i="9"/>
  <c r="AL9" i="9"/>
  <c r="AL10" i="9" s="1"/>
  <c r="AC9" i="9"/>
  <c r="AC10" i="9" s="1"/>
  <c r="S9" i="9"/>
  <c r="J9" i="9"/>
  <c r="J10" i="9" s="1"/>
  <c r="JQ33" i="9"/>
  <c r="JQ34" i="9" s="1"/>
  <c r="HO33" i="9"/>
  <c r="HO34" i="9" s="1"/>
  <c r="GH33" i="9"/>
  <c r="GH34" i="9" s="1"/>
  <c r="EY33" i="9"/>
  <c r="EY34" i="9" s="1"/>
  <c r="DH33" i="9"/>
  <c r="DH34" i="9" s="1"/>
  <c r="CA33" i="9"/>
  <c r="AU33" i="9"/>
  <c r="O33" i="9"/>
  <c r="O34" i="9" s="1"/>
  <c r="KO21" i="9"/>
  <c r="KO22" i="9" s="1"/>
  <c r="KD21" i="9"/>
  <c r="KD22" i="9" s="1"/>
  <c r="JR21" i="9"/>
  <c r="JR22" i="9" s="1"/>
  <c r="JE21" i="9"/>
  <c r="JE22" i="9" s="1"/>
  <c r="IS21" i="9"/>
  <c r="IS22" i="9" s="1"/>
  <c r="IH21" i="9"/>
  <c r="IH22" i="9" s="1"/>
  <c r="HU21" i="9"/>
  <c r="HU22" i="9" s="1"/>
  <c r="HJ21" i="9"/>
  <c r="HJ22" i="9" s="1"/>
  <c r="GX21" i="9"/>
  <c r="GX22" i="9" s="1"/>
  <c r="GM21" i="9"/>
  <c r="GM22" i="9" s="1"/>
  <c r="FY21" i="9"/>
  <c r="FY22" i="9" s="1"/>
  <c r="FN21" i="9"/>
  <c r="FB21" i="9"/>
  <c r="FB22" i="9" s="1"/>
  <c r="EP21" i="9"/>
  <c r="EP22" i="9" s="1"/>
  <c r="ED21" i="9"/>
  <c r="ED22" i="9" s="1"/>
  <c r="DS21" i="9"/>
  <c r="DS22" i="9" s="1"/>
  <c r="DF21" i="9"/>
  <c r="CT21" i="9"/>
  <c r="CH21" i="9"/>
  <c r="BV21" i="9"/>
  <c r="BV22" i="9" s="1"/>
  <c r="BJ21" i="9"/>
  <c r="BJ22" i="9" s="1"/>
  <c r="AY21" i="9"/>
  <c r="AN21" i="9"/>
  <c r="AA21" i="9"/>
  <c r="N21" i="9"/>
  <c r="C21" i="9"/>
  <c r="JC33" i="9"/>
  <c r="JC34" i="9" s="1"/>
  <c r="GB33" i="9"/>
  <c r="GB34" i="9" s="1"/>
  <c r="DG33" i="9"/>
  <c r="AT33" i="9"/>
  <c r="KK21" i="9"/>
  <c r="KK22" i="9" s="1"/>
  <c r="JM21" i="9"/>
  <c r="JM22" i="9" s="1"/>
  <c r="IP21" i="9"/>
  <c r="IP22" i="9" s="1"/>
  <c r="HR21" i="9"/>
  <c r="HR22" i="9" s="1"/>
  <c r="GS21" i="9"/>
  <c r="GS22" i="9" s="1"/>
  <c r="FV21" i="9"/>
  <c r="FV22" i="9" s="1"/>
  <c r="EX21" i="9"/>
  <c r="EX22" i="9" s="1"/>
  <c r="DY21" i="9"/>
  <c r="DB21" i="9"/>
  <c r="CE21" i="9"/>
  <c r="BM21" i="9"/>
  <c r="AS21" i="9"/>
  <c r="Y21" i="9"/>
  <c r="I21" i="9"/>
  <c r="JB33" i="9"/>
  <c r="JB34" i="9" s="1"/>
  <c r="FR33" i="9"/>
  <c r="FR34" i="9" s="1"/>
  <c r="DF33" i="9"/>
  <c r="AJ33" i="9"/>
  <c r="KJ21" i="9"/>
  <c r="KJ22" i="9" s="1"/>
  <c r="JL21" i="9"/>
  <c r="JL22" i="9" s="1"/>
  <c r="IN21" i="9"/>
  <c r="IN22" i="9" s="1"/>
  <c r="HP21" i="9"/>
  <c r="GR21" i="9"/>
  <c r="GR22" i="9" s="1"/>
  <c r="FU21" i="9"/>
  <c r="FU22" i="9" s="1"/>
  <c r="EW21" i="9"/>
  <c r="EW22" i="9" s="1"/>
  <c r="DX21" i="9"/>
  <c r="DX22" i="9" s="1"/>
  <c r="DA21" i="9"/>
  <c r="CD21" i="9"/>
  <c r="BI21" i="9"/>
  <c r="BI22" i="9" s="1"/>
  <c r="AR21" i="9"/>
  <c r="X21" i="9"/>
  <c r="F21" i="9"/>
  <c r="IZ33" i="9"/>
  <c r="IZ34" i="9" s="1"/>
  <c r="FQ33" i="9"/>
  <c r="FQ34" i="9" s="1"/>
  <c r="DD33" i="9"/>
  <c r="DD34" i="9" s="1"/>
  <c r="AI33" i="9"/>
  <c r="KC21" i="9"/>
  <c r="KC22" i="9" s="1"/>
  <c r="JD21" i="9"/>
  <c r="JD22" i="9" s="1"/>
  <c r="IG21" i="9"/>
  <c r="IG22" i="9" s="1"/>
  <c r="HI21" i="9"/>
  <c r="HI22" i="9" s="1"/>
  <c r="GJ21" i="9"/>
  <c r="GJ22" i="9" s="1"/>
  <c r="FM21" i="9"/>
  <c r="FM22" i="9" s="1"/>
  <c r="EO21" i="9"/>
  <c r="EO22" i="9" s="1"/>
  <c r="DR21" i="9"/>
  <c r="CS21" i="9"/>
  <c r="CC21" i="9"/>
  <c r="BH21" i="9"/>
  <c r="BH22" i="9" s="1"/>
  <c r="AP21" i="9"/>
  <c r="AP22" i="9" s="1"/>
  <c r="V21" i="9"/>
  <c r="IJ33" i="9"/>
  <c r="IJ34" i="9" s="1"/>
  <c r="FP33" i="9"/>
  <c r="FP34" i="9" s="1"/>
  <c r="CU33" i="9"/>
  <c r="CU34" i="9" s="1"/>
  <c r="AC33" i="9"/>
  <c r="JZ21" i="9"/>
  <c r="JZ22" i="9" s="1"/>
  <c r="JB21" i="9"/>
  <c r="JB22" i="9" s="1"/>
  <c r="ID21" i="9"/>
  <c r="ID22" i="9" s="1"/>
  <c r="HH21" i="9"/>
  <c r="HH22" i="9" s="1"/>
  <c r="GH21" i="9"/>
  <c r="GH22" i="9" s="1"/>
  <c r="FL21" i="9"/>
  <c r="FL22" i="9" s="1"/>
  <c r="EN21" i="9"/>
  <c r="EN22" i="9" s="1"/>
  <c r="DN21" i="9"/>
  <c r="CR21" i="9"/>
  <c r="BY21" i="9"/>
  <c r="BG21" i="9"/>
  <c r="AK21" i="9"/>
  <c r="U21" i="9"/>
  <c r="KK9" i="9"/>
  <c r="KK10" i="9" s="1"/>
  <c r="JY9" i="9"/>
  <c r="JY10" i="9" s="1"/>
  <c r="JL9" i="9"/>
  <c r="JL10" i="9" s="1"/>
  <c r="IZ9" i="9"/>
  <c r="IZ10" i="9" s="1"/>
  <c r="IO9" i="9"/>
  <c r="IO10" i="9" s="1"/>
  <c r="IB9" i="9"/>
  <c r="HQ9" i="9"/>
  <c r="HF9" i="9"/>
  <c r="HF10" i="9" s="1"/>
  <c r="GU9" i="9"/>
  <c r="GU10" i="9" s="1"/>
  <c r="GJ9" i="9"/>
  <c r="GJ10" i="9" s="1"/>
  <c r="FZ9" i="9"/>
  <c r="FZ10" i="9" s="1"/>
  <c r="FO9" i="9"/>
  <c r="FO10" i="9" s="1"/>
  <c r="FE9" i="9"/>
  <c r="FE10" i="9" s="1"/>
  <c r="EU9" i="9"/>
  <c r="EU10" i="9" s="1"/>
  <c r="EK9" i="9"/>
  <c r="EK10" i="9" s="1"/>
  <c r="DZ9" i="9"/>
  <c r="DZ10" i="9" s="1"/>
  <c r="DO9" i="9"/>
  <c r="DO10" i="9" s="1"/>
  <c r="DE9" i="9"/>
  <c r="CT9" i="9"/>
  <c r="CT10" i="9" s="1"/>
  <c r="CJ9" i="9"/>
  <c r="BZ9" i="9"/>
  <c r="BZ10" i="9" s="1"/>
  <c r="BO9" i="9"/>
  <c r="BO10" i="9" s="1"/>
  <c r="BE9" i="9"/>
  <c r="BE10" i="9" s="1"/>
  <c r="AT9" i="9"/>
  <c r="AT10" i="9" s="1"/>
  <c r="AI9" i="9"/>
  <c r="Y9" i="9"/>
  <c r="O9" i="9"/>
  <c r="E9" i="9"/>
  <c r="HN33" i="9"/>
  <c r="HN34" i="9" s="1"/>
  <c r="EN33" i="9"/>
  <c r="EN34" i="9" s="1"/>
  <c r="BZ33" i="9"/>
  <c r="E33" i="9"/>
  <c r="HH33" i="9"/>
  <c r="HH34" i="9" s="1"/>
  <c r="EM33" i="9"/>
  <c r="EM34" i="9" s="1"/>
  <c r="BX33" i="9"/>
  <c r="C33" i="9"/>
  <c r="GY33" i="9"/>
  <c r="GY34" i="9" s="1"/>
  <c r="EL33" i="9"/>
  <c r="BM33" i="9"/>
  <c r="KN21" i="9"/>
  <c r="KN22" i="9" s="1"/>
  <c r="JO21" i="9"/>
  <c r="JO22" i="9" s="1"/>
  <c r="IR21" i="9"/>
  <c r="IR22" i="9" s="1"/>
  <c r="HT21" i="9"/>
  <c r="GW21" i="9"/>
  <c r="GW22" i="9" s="1"/>
  <c r="FX21" i="9"/>
  <c r="FX22" i="9" s="1"/>
  <c r="EZ21" i="9"/>
  <c r="EZ22" i="9" s="1"/>
  <c r="EC21" i="9"/>
  <c r="DD21" i="9"/>
  <c r="CL21" i="9"/>
  <c r="CL22" i="9" s="1"/>
  <c r="BR21" i="9"/>
  <c r="AX21" i="9"/>
  <c r="AG21" i="9"/>
  <c r="L21" i="9"/>
  <c r="L22" i="9" s="1"/>
  <c r="GX33" i="9"/>
  <c r="GX34" i="9" s="1"/>
  <c r="IZ21" i="9"/>
  <c r="IZ22" i="9" s="1"/>
  <c r="GG21" i="9"/>
  <c r="GG22" i="9" s="1"/>
  <c r="EB21" i="9"/>
  <c r="EB22" i="9" s="1"/>
  <c r="BT21" i="9"/>
  <c r="BT22" i="9" s="1"/>
  <c r="R21" i="9"/>
  <c r="R22" i="9" s="1"/>
  <c r="KL9" i="9"/>
  <c r="KL10" i="9" s="1"/>
  <c r="JV9" i="9"/>
  <c r="JV10" i="9" s="1"/>
  <c r="JI9" i="9"/>
  <c r="JI10" i="9" s="1"/>
  <c r="IV9" i="9"/>
  <c r="IV10" i="9" s="1"/>
  <c r="II9" i="9"/>
  <c r="II10" i="9" s="1"/>
  <c r="HT9" i="9"/>
  <c r="HT10" i="9" s="1"/>
  <c r="HH9" i="9"/>
  <c r="HH10" i="9" s="1"/>
  <c r="GW9" i="9"/>
  <c r="GW10" i="9" s="1"/>
  <c r="GI9" i="9"/>
  <c r="GI10" i="9" s="1"/>
  <c r="FW9" i="9"/>
  <c r="FW10" i="9" s="1"/>
  <c r="FL9" i="9"/>
  <c r="FL10" i="9" s="1"/>
  <c r="EY9" i="9"/>
  <c r="EY10" i="9" s="1"/>
  <c r="EN9" i="9"/>
  <c r="EN10" i="9" s="1"/>
  <c r="EC9" i="9"/>
  <c r="EC10" i="9" s="1"/>
  <c r="DQ9" i="9"/>
  <c r="DC9" i="9"/>
  <c r="CR9" i="9"/>
  <c r="CR10" i="9" s="1"/>
  <c r="CG9" i="9"/>
  <c r="CG10" i="9" s="1"/>
  <c r="BT9" i="9"/>
  <c r="BI9" i="9"/>
  <c r="AW9" i="9"/>
  <c r="AW10" i="9" s="1"/>
  <c r="AK9" i="9"/>
  <c r="AK10" i="9" s="1"/>
  <c r="X9" i="9"/>
  <c r="M9" i="9"/>
  <c r="EI33" i="9"/>
  <c r="EI34" i="9" s="1"/>
  <c r="IQ21" i="9"/>
  <c r="IQ22" i="9" s="1"/>
  <c r="GF21" i="9"/>
  <c r="DM21" i="9"/>
  <c r="BQ21" i="9"/>
  <c r="M21" i="9"/>
  <c r="KJ9" i="9"/>
  <c r="KJ10" i="9" s="1"/>
  <c r="JU9" i="9"/>
  <c r="JU10" i="9" s="1"/>
  <c r="JH9" i="9"/>
  <c r="JH10" i="9" s="1"/>
  <c r="IT9" i="9"/>
  <c r="IT10" i="9" s="1"/>
  <c r="IG9" i="9"/>
  <c r="IG10" i="9" s="1"/>
  <c r="HS9" i="9"/>
  <c r="HS10" i="9" s="1"/>
  <c r="HG9" i="9"/>
  <c r="HG10" i="9" s="1"/>
  <c r="GS9" i="9"/>
  <c r="GS10" i="9" s="1"/>
  <c r="GH9" i="9"/>
  <c r="GH10" i="9" s="1"/>
  <c r="FV9" i="9"/>
  <c r="FV10" i="9" s="1"/>
  <c r="FK9" i="9"/>
  <c r="FK10" i="9" s="1"/>
  <c r="EX9" i="9"/>
  <c r="EX10" i="9" s="1"/>
  <c r="EM9" i="9"/>
  <c r="EM10" i="9" s="1"/>
  <c r="EA9" i="9"/>
  <c r="EA10" i="9" s="1"/>
  <c r="DN9" i="9"/>
  <c r="DB9" i="9"/>
  <c r="CQ9" i="9"/>
  <c r="CQ10" i="9" s="1"/>
  <c r="CD9" i="9"/>
  <c r="CD10" i="9" s="1"/>
  <c r="BS9" i="9"/>
  <c r="BS10" i="9" s="1"/>
  <c r="BG9" i="9"/>
  <c r="BG10" i="9" s="1"/>
  <c r="AV9" i="9"/>
  <c r="AH9" i="9"/>
  <c r="W9" i="9"/>
  <c r="K9" i="9"/>
  <c r="K10" i="9" s="1"/>
  <c r="BL33" i="9"/>
  <c r="IC21" i="9"/>
  <c r="IC22" i="9" s="1"/>
  <c r="FW21" i="9"/>
  <c r="FW22" i="9" s="1"/>
  <c r="DL21" i="9"/>
  <c r="DL22" i="9" s="1"/>
  <c r="BD21" i="9"/>
  <c r="J21" i="9"/>
  <c r="JW21" i="9"/>
  <c r="JW22" i="9" s="1"/>
  <c r="HE21" i="9"/>
  <c r="HE22" i="9" s="1"/>
  <c r="EY21" i="9"/>
  <c r="EY22" i="9" s="1"/>
  <c r="CN21" i="9"/>
  <c r="AI21" i="9"/>
  <c r="JX21" i="9"/>
  <c r="JX22" i="9" s="1"/>
  <c r="FH21" i="9"/>
  <c r="AW21" i="9"/>
  <c r="KO9" i="9"/>
  <c r="KO10" i="9" s="1"/>
  <c r="JZ9" i="9"/>
  <c r="JZ10" i="9" s="1"/>
  <c r="JE9" i="9"/>
  <c r="JE10" i="9" s="1"/>
  <c r="IL9" i="9"/>
  <c r="IL10" i="9" s="1"/>
  <c r="HV9" i="9"/>
  <c r="HV10" i="9" s="1"/>
  <c r="HB9" i="9"/>
  <c r="HB10" i="9" s="1"/>
  <c r="GO9" i="9"/>
  <c r="GO10" i="9" s="1"/>
  <c r="FY9" i="9"/>
  <c r="FY10" i="9" s="1"/>
  <c r="FG9" i="9"/>
  <c r="FG10" i="9" s="1"/>
  <c r="ES9" i="9"/>
  <c r="ES10" i="9" s="1"/>
  <c r="ED9" i="9"/>
  <c r="ED10" i="9" s="1"/>
  <c r="DK9" i="9"/>
  <c r="CW9" i="9"/>
  <c r="CW10" i="9" s="1"/>
  <c r="CH9" i="9"/>
  <c r="BQ9" i="9"/>
  <c r="BQ10" i="9" s="1"/>
  <c r="BA9" i="9"/>
  <c r="AM9" i="9"/>
  <c r="U9" i="9"/>
  <c r="U10" i="9" s="1"/>
  <c r="F9" i="9"/>
  <c r="JN21" i="9"/>
  <c r="JN22" i="9" s="1"/>
  <c r="EL21" i="9"/>
  <c r="EL22" i="9" s="1"/>
  <c r="AH21" i="9"/>
  <c r="AH22" i="9" s="1"/>
  <c r="KN9" i="9"/>
  <c r="KN10" i="9" s="1"/>
  <c r="JT9" i="9"/>
  <c r="JD9" i="9"/>
  <c r="JD10" i="9" s="1"/>
  <c r="IK9" i="9"/>
  <c r="IK10" i="9" s="1"/>
  <c r="HR9" i="9"/>
  <c r="HR10" i="9" s="1"/>
  <c r="HA9" i="9"/>
  <c r="HA10" i="9" s="1"/>
  <c r="GM9" i="9"/>
  <c r="FU9" i="9"/>
  <c r="FU10" i="9" s="1"/>
  <c r="FF9" i="9"/>
  <c r="FF10" i="9" s="1"/>
  <c r="EP9" i="9"/>
  <c r="EP10" i="9" s="1"/>
  <c r="DX9" i="9"/>
  <c r="DX10" i="9" s="1"/>
  <c r="DJ9" i="9"/>
  <c r="DJ10" i="9" s="1"/>
  <c r="CU9" i="9"/>
  <c r="CU10" i="9" s="1"/>
  <c r="CC9" i="9"/>
  <c r="CC10" i="9" s="1"/>
  <c r="BN9" i="9"/>
  <c r="BN10" i="9" s="1"/>
  <c r="AY9" i="9"/>
  <c r="AY10" i="9" s="1"/>
  <c r="AG9" i="9"/>
  <c r="R9" i="9"/>
  <c r="R10" i="9" s="1"/>
  <c r="C9" i="9"/>
  <c r="JA21" i="9"/>
  <c r="JA22" i="9" s="1"/>
  <c r="EJ21" i="9"/>
  <c r="EJ22" i="9" s="1"/>
  <c r="AD21" i="9"/>
  <c r="KM9" i="9"/>
  <c r="KM10" i="9" s="1"/>
  <c r="JR9" i="9"/>
  <c r="JR10" i="9" s="1"/>
  <c r="JA9" i="9"/>
  <c r="JA10" i="9" s="1"/>
  <c r="IJ9" i="9"/>
  <c r="IJ10" i="9" s="1"/>
  <c r="HP9" i="9"/>
  <c r="GZ9" i="9"/>
  <c r="GZ10" i="9" s="1"/>
  <c r="GL9" i="9"/>
  <c r="GL10" i="9" s="1"/>
  <c r="FT9" i="9"/>
  <c r="FT10" i="9" s="1"/>
  <c r="FD9" i="9"/>
  <c r="FD10" i="9" s="1"/>
  <c r="EO9" i="9"/>
  <c r="EO10" i="9" s="1"/>
  <c r="DW9" i="9"/>
  <c r="DW10" i="9" s="1"/>
  <c r="DI9" i="9"/>
  <c r="DI10" i="9" s="1"/>
  <c r="CS9" i="9"/>
  <c r="CS10" i="9" s="1"/>
  <c r="CB9" i="9"/>
  <c r="BL9" i="9"/>
  <c r="BL10" i="9" s="1"/>
  <c r="AX9" i="9"/>
  <c r="AX10" i="9" s="1"/>
  <c r="AF9" i="9"/>
  <c r="Q9" i="9"/>
  <c r="Q10" i="9" s="1"/>
  <c r="KO33" i="9"/>
  <c r="IB21" i="9"/>
  <c r="IB22" i="9" s="1"/>
  <c r="DC21" i="9"/>
  <c r="KF9" i="9"/>
  <c r="KF10" i="9" s="1"/>
  <c r="JQ9" i="9"/>
  <c r="JQ10" i="9" s="1"/>
  <c r="IY9" i="9"/>
  <c r="IY10" i="9" s="1"/>
  <c r="IF9" i="9"/>
  <c r="IF10" i="9" s="1"/>
  <c r="HN9" i="9"/>
  <c r="HN10" i="9" s="1"/>
  <c r="GY9" i="9"/>
  <c r="GG9" i="9"/>
  <c r="GG10" i="9" s="1"/>
  <c r="FC9" i="9"/>
  <c r="FC10" i="9" s="1"/>
  <c r="EL9" i="9"/>
  <c r="EL10" i="9" s="1"/>
  <c r="DV9" i="9"/>
  <c r="DV10" i="9" s="1"/>
  <c r="DH9" i="9"/>
  <c r="DH10" i="9" s="1"/>
  <c r="CP9" i="9"/>
  <c r="CP10" i="9" s="1"/>
  <c r="CA9" i="9"/>
  <c r="CA10" i="9" s="1"/>
  <c r="BK9" i="9"/>
  <c r="BK10" i="9" s="1"/>
  <c r="AS9" i="9"/>
  <c r="P9" i="9"/>
  <c r="HS21" i="9"/>
  <c r="HS22" i="9" s="1"/>
  <c r="CP21" i="9"/>
  <c r="FR9" i="9"/>
  <c r="FR10" i="9" s="1"/>
  <c r="AE9" i="9"/>
  <c r="AE10" i="9" s="1"/>
  <c r="KM21" i="9"/>
  <c r="KM22" i="9" s="1"/>
  <c r="KB9" i="9"/>
  <c r="IP9" i="9"/>
  <c r="IP10" i="9" s="1"/>
  <c r="HE9" i="9"/>
  <c r="HE10" i="9" s="1"/>
  <c r="GA9" i="9"/>
  <c r="GA10" i="9" s="1"/>
  <c r="ET9" i="9"/>
  <c r="ET10" i="9" s="1"/>
  <c r="DM9" i="9"/>
  <c r="CI9" i="9"/>
  <c r="BB9" i="9"/>
  <c r="BB10" i="9" s="1"/>
  <c r="V9" i="9"/>
  <c r="V10" i="9" s="1"/>
  <c r="HC21" i="9"/>
  <c r="JP9" i="9"/>
  <c r="JP10" i="9" s="1"/>
  <c r="IC9" i="9"/>
  <c r="GX9" i="9"/>
  <c r="GX10" i="9" s="1"/>
  <c r="FQ9" i="9"/>
  <c r="FQ10" i="9" s="1"/>
  <c r="EI9" i="9"/>
  <c r="EI10" i="9" s="1"/>
  <c r="DF9" i="9"/>
  <c r="DF10" i="9" s="1"/>
  <c r="BY9" i="9"/>
  <c r="BY10" i="9" s="1"/>
  <c r="AQ9" i="9"/>
  <c r="N9" i="9"/>
  <c r="GT21" i="9"/>
  <c r="JN9" i="9"/>
  <c r="JN10" i="9" s="1"/>
  <c r="IA9" i="9"/>
  <c r="IA10" i="9" s="1"/>
  <c r="GR9" i="9"/>
  <c r="GR10" i="9" s="1"/>
  <c r="FN9" i="9"/>
  <c r="FN10" i="9" s="1"/>
  <c r="EG9" i="9"/>
  <c r="EG10" i="9" s="1"/>
  <c r="DA9" i="9"/>
  <c r="BW9" i="9"/>
  <c r="AP9" i="9"/>
  <c r="I9" i="9"/>
  <c r="FI21" i="9"/>
  <c r="FI22" i="9" s="1"/>
  <c r="JJ9" i="9"/>
  <c r="JJ10" i="9" s="1"/>
  <c r="HZ9" i="9"/>
  <c r="HZ10" i="9" s="1"/>
  <c r="GQ9" i="9"/>
  <c r="GQ10" i="9" s="1"/>
  <c r="FM9" i="9"/>
  <c r="FM10" i="9" s="1"/>
  <c r="EF9" i="9"/>
  <c r="EF10" i="9" s="1"/>
  <c r="CZ9" i="9"/>
  <c r="BU9" i="9"/>
  <c r="AO9" i="9"/>
  <c r="H9" i="9"/>
  <c r="H10" i="9" s="1"/>
  <c r="CG21" i="9"/>
  <c r="JG9" i="9"/>
  <c r="JG10" i="9" s="1"/>
  <c r="HY9" i="9"/>
  <c r="HY10" i="9" s="1"/>
  <c r="GP9" i="9"/>
  <c r="GP10" i="9" s="1"/>
  <c r="FI9" i="9"/>
  <c r="FI10" i="9" s="1"/>
  <c r="EE9" i="9"/>
  <c r="EE10" i="9" s="1"/>
  <c r="CY9" i="9"/>
  <c r="BR9" i="9"/>
  <c r="AN9" i="9"/>
  <c r="AN10" i="9" s="1"/>
  <c r="G9" i="9"/>
  <c r="BU21" i="9"/>
  <c r="KE9" i="9"/>
  <c r="KE10" i="9" s="1"/>
  <c r="IX9" i="9"/>
  <c r="HK9" i="9"/>
  <c r="HK10" i="9" s="1"/>
  <c r="GE9" i="9"/>
  <c r="GE10" i="9" s="1"/>
  <c r="FB9" i="9"/>
  <c r="FB10" i="9" s="1"/>
  <c r="DU9" i="9"/>
  <c r="DU10" i="9" s="1"/>
  <c r="CM9" i="9"/>
  <c r="BJ9" i="9"/>
  <c r="AD9" i="9"/>
  <c r="AD10" i="9" s="1"/>
  <c r="BA21" i="9"/>
  <c r="BA22" i="9" s="1"/>
  <c r="KD9" i="9"/>
  <c r="KD10" i="9" s="1"/>
  <c r="IS9" i="9"/>
  <c r="IS10" i="9" s="1"/>
  <c r="HJ9" i="9"/>
  <c r="HJ10" i="9" s="1"/>
  <c r="GD9" i="9"/>
  <c r="GD10" i="9" s="1"/>
  <c r="EW9" i="9"/>
  <c r="EW10" i="9" s="1"/>
  <c r="DS9" i="9"/>
  <c r="DS10" i="9" s="1"/>
  <c r="CL9" i="9"/>
  <c r="BF9" i="9"/>
  <c r="BF10" i="9" s="1"/>
  <c r="AA9" i="9"/>
  <c r="KC9" i="9"/>
  <c r="KC10" i="9" s="1"/>
  <c r="IQ9" i="9"/>
  <c r="IQ10" i="9" s="1"/>
  <c r="HI9" i="9"/>
  <c r="HI10" i="9" s="1"/>
  <c r="GC9" i="9"/>
  <c r="GC10" i="9" s="1"/>
  <c r="EV9" i="9"/>
  <c r="DR9" i="9"/>
  <c r="DR10" i="9" s="1"/>
  <c r="CK9" i="9"/>
  <c r="CK10" i="9" s="1"/>
  <c r="BC9" i="9"/>
  <c r="Z9" i="9"/>
  <c r="Z10" i="9" s="1"/>
  <c r="GM10" i="9"/>
  <c r="E35" i="4"/>
  <c r="JA53" i="9" s="1"/>
  <c r="E40" i="4"/>
  <c r="EC22" i="9"/>
  <c r="DO22" i="9"/>
  <c r="DC8" i="9"/>
  <c r="DC10" i="9" s="1"/>
  <c r="BA10" i="9"/>
  <c r="X20" i="9"/>
  <c r="DE8" i="9"/>
  <c r="W20" i="9"/>
  <c r="DD10" i="9"/>
  <c r="IF34" i="9"/>
  <c r="D8" i="9"/>
  <c r="BM8" i="9"/>
  <c r="JO10" i="9"/>
  <c r="IM22" i="9"/>
  <c r="G8" i="9"/>
  <c r="DB8" i="9"/>
  <c r="GY10" i="9"/>
  <c r="BN20" i="9"/>
  <c r="AL32" i="9"/>
  <c r="KP10" i="9"/>
  <c r="L8" i="9"/>
  <c r="BC22" i="9"/>
  <c r="II34" i="9"/>
  <c r="DB20" i="9"/>
  <c r="DB22" i="9" s="1"/>
  <c r="HA34" i="9"/>
  <c r="CA20" i="9"/>
  <c r="BM32" i="9"/>
  <c r="BM34" i="9" s="1"/>
  <c r="BL20" i="9"/>
  <c r="BU32" i="9"/>
  <c r="DE32" i="9"/>
  <c r="BT10" i="9"/>
  <c r="FN22" i="9"/>
  <c r="DF32" i="9"/>
  <c r="DF34" i="9" s="1"/>
  <c r="E32" i="9"/>
  <c r="BM20" i="9"/>
  <c r="DP32" i="9"/>
  <c r="DP34" i="9" s="1"/>
  <c r="T20" i="9"/>
  <c r="T22" i="9" s="1"/>
  <c r="CY20" i="9"/>
  <c r="GF22" i="9"/>
  <c r="DQ32" i="9"/>
  <c r="DQ34" i="9" s="1"/>
  <c r="F32" i="9"/>
  <c r="CW32" i="9"/>
  <c r="KG34" i="9"/>
  <c r="CM32" i="9"/>
  <c r="JT10" i="9"/>
  <c r="DR22" i="9"/>
  <c r="BE32" i="9"/>
  <c r="IN34" i="9"/>
  <c r="AT32" i="9"/>
  <c r="AT34" i="9" s="1"/>
  <c r="EL34" i="9"/>
  <c r="IC34" i="9"/>
  <c r="S20" i="9"/>
  <c r="CE20" i="9"/>
  <c r="HC22" i="9"/>
  <c r="ED34" i="9"/>
  <c r="KO34" i="9"/>
  <c r="BP32" i="9"/>
  <c r="EK34" i="9"/>
  <c r="KB34" i="9"/>
  <c r="BC32" i="9"/>
  <c r="DO32" i="9"/>
  <c r="DO34" i="9" s="1"/>
  <c r="AJ20" i="9"/>
  <c r="CH8" i="9"/>
  <c r="AK20" i="9"/>
  <c r="AK22" i="9" s="1"/>
  <c r="IX10" i="9"/>
  <c r="KI22" i="9"/>
  <c r="FS10" i="9"/>
  <c r="N20" i="9"/>
  <c r="N22" i="9" s="1"/>
  <c r="S8" i="9"/>
  <c r="S10" i="9" s="1"/>
  <c r="DM8" i="9"/>
  <c r="DM10" i="9" s="1"/>
  <c r="CJ20" i="9"/>
  <c r="DT22" i="9"/>
  <c r="BW8" i="9"/>
  <c r="BW10" i="9" s="1"/>
  <c r="H20" i="9"/>
  <c r="GT22" i="9"/>
  <c r="IR10" i="9"/>
  <c r="CC20" i="9"/>
  <c r="CP20" i="9"/>
  <c r="DR34" i="9"/>
  <c r="CB20" i="9"/>
  <c r="CB10" i="9"/>
  <c r="KA10" i="9"/>
  <c r="CI20" i="9"/>
  <c r="AJ32" i="9"/>
  <c r="AJ34" i="9" s="1"/>
  <c r="IS34" i="9"/>
  <c r="BZ20" i="9"/>
  <c r="BZ22" i="9" s="1"/>
  <c r="FQ22" i="9"/>
  <c r="AD20" i="9"/>
  <c r="DJ22" i="9"/>
  <c r="GP22" i="9"/>
  <c r="JU22" i="9"/>
  <c r="EP34" i="9"/>
  <c r="R32" i="9"/>
  <c r="DK32" i="9"/>
  <c r="H32" i="9"/>
  <c r="HP10" i="9"/>
  <c r="KB10" i="9"/>
  <c r="BF20" i="9"/>
  <c r="BQ32" i="9"/>
  <c r="JA34" i="9"/>
  <c r="BF32" i="9"/>
  <c r="BF34" i="9" s="1"/>
  <c r="IP34" i="9"/>
  <c r="AA20" i="9"/>
  <c r="CM22" i="9"/>
  <c r="HK22" i="9"/>
  <c r="BI32" i="9"/>
  <c r="EO34" i="9"/>
  <c r="D32" i="9"/>
  <c r="D34" i="9" s="1"/>
  <c r="BY32" i="9"/>
  <c r="BY34" i="9" s="1"/>
  <c r="ET34" i="9"/>
  <c r="HP34" i="9"/>
  <c r="BK32" i="9"/>
  <c r="GI34" i="9"/>
  <c r="GA22" i="9"/>
  <c r="DN8" i="9"/>
  <c r="CI8" i="9"/>
  <c r="BI8" i="9"/>
  <c r="BI10" i="9" s="1"/>
  <c r="BH8" i="9"/>
  <c r="IC10" i="9"/>
  <c r="AH8" i="9"/>
  <c r="AH10" i="9" s="1"/>
  <c r="CG20" i="9"/>
  <c r="CL8" i="9"/>
  <c r="CL10" i="9" s="1"/>
  <c r="F8" i="9"/>
  <c r="DA10" i="9"/>
  <c r="BD20" i="9"/>
  <c r="BD22" i="9" s="1"/>
  <c r="AG8" i="9"/>
  <c r="IB10" i="9"/>
  <c r="FH22" i="9"/>
  <c r="DM20" i="9"/>
  <c r="DM22" i="9" s="1"/>
  <c r="CF8" i="9"/>
  <c r="FA10" i="9"/>
  <c r="AF20" i="9"/>
  <c r="AF22" i="9" s="1"/>
  <c r="HT22" i="9"/>
  <c r="CY8" i="9"/>
  <c r="DA20" i="9"/>
  <c r="BW32" i="9"/>
  <c r="J22" i="9"/>
  <c r="AZ32" i="9"/>
  <c r="DE20" i="9"/>
  <c r="CR20" i="9"/>
  <c r="HP22" i="9"/>
  <c r="FE34" i="9"/>
  <c r="X8" i="9"/>
  <c r="CJ8" i="9"/>
  <c r="EV10" i="9"/>
  <c r="HO10" i="9"/>
  <c r="CT20" i="9"/>
  <c r="CT22" i="9" s="1"/>
  <c r="BJ32" i="9"/>
  <c r="BJ34" i="9" s="1"/>
  <c r="CK20" i="9"/>
  <c r="GB22" i="9"/>
  <c r="JT22" i="9"/>
  <c r="GZ22" i="9"/>
  <c r="KF22" i="9"/>
  <c r="FN34" i="9"/>
  <c r="AD32" i="9"/>
  <c r="DV34" i="9"/>
  <c r="HM34" i="9"/>
  <c r="T32" i="9"/>
  <c r="DL32" i="9"/>
  <c r="HX10" i="9"/>
  <c r="BP20" i="9"/>
  <c r="BP22" i="9" s="1"/>
  <c r="EK22" i="9"/>
  <c r="CC32" i="9"/>
  <c r="CC34" i="9" s="1"/>
  <c r="JM34" i="9"/>
  <c r="BR32" i="9"/>
  <c r="AI20" i="9"/>
  <c r="CU20" i="9"/>
  <c r="FG22" i="9"/>
  <c r="KE22" i="9"/>
  <c r="BT34" i="9"/>
  <c r="M32" i="9"/>
  <c r="M34" i="9" s="1"/>
  <c r="CH32" i="9"/>
  <c r="G32" i="9"/>
  <c r="G34" i="9" s="1"/>
  <c r="BS32" i="9"/>
  <c r="BS34" i="9" s="1"/>
  <c r="EE34" i="9"/>
  <c r="AM10" i="9" l="1"/>
  <c r="BQ22" i="9"/>
  <c r="U22" i="9"/>
  <c r="AJ10" i="9"/>
  <c r="DN22" i="9"/>
  <c r="BL34" i="9"/>
  <c r="M22" i="9"/>
  <c r="AI10" i="9"/>
  <c r="CV22" i="9"/>
  <c r="AT22" i="9"/>
  <c r="CX34" i="9"/>
  <c r="W10" i="9"/>
  <c r="DD22" i="9"/>
  <c r="AF34" i="9"/>
  <c r="AP34" i="9"/>
  <c r="DB34" i="9"/>
  <c r="AQ10" i="9"/>
  <c r="BZ34" i="9"/>
  <c r="BZ35" i="9" s="1"/>
  <c r="BZ36" i="9" s="1"/>
  <c r="BZ38" i="9" s="1"/>
  <c r="W34" i="9"/>
  <c r="M10" i="9"/>
  <c r="M11" i="9" s="1"/>
  <c r="M12" i="9" s="1"/>
  <c r="M14" i="9" s="1"/>
  <c r="Y22" i="9"/>
  <c r="Y23" i="9" s="1"/>
  <c r="Y24" i="9" s="1"/>
  <c r="Y26" i="9" s="1"/>
  <c r="CH22" i="9"/>
  <c r="Z22" i="9"/>
  <c r="DQ22" i="9"/>
  <c r="O22" i="9"/>
  <c r="O23" i="9" s="1"/>
  <c r="O24" i="9" s="1"/>
  <c r="O26" i="9" s="1"/>
  <c r="CD34" i="9"/>
  <c r="CD35" i="9" s="1"/>
  <c r="CD36" i="9" s="1"/>
  <c r="CD38" i="9" s="1"/>
  <c r="E10" i="9"/>
  <c r="E11" i="9" s="1"/>
  <c r="E12" i="9" s="1"/>
  <c r="E14" i="9" s="1"/>
  <c r="BC10" i="9"/>
  <c r="AA10" i="9"/>
  <c r="BU10" i="9"/>
  <c r="I10" i="9"/>
  <c r="DQ10" i="9"/>
  <c r="DQ11" i="9" s="1"/>
  <c r="DQ12" i="9" s="1"/>
  <c r="DQ14" i="9" s="1"/>
  <c r="BR22" i="9"/>
  <c r="BR23" i="9" s="1"/>
  <c r="BR24" i="9" s="1"/>
  <c r="BR26" i="9" s="1"/>
  <c r="AS22" i="9"/>
  <c r="AS23" i="9" s="1"/>
  <c r="AS24" i="9" s="1"/>
  <c r="AS26" i="9" s="1"/>
  <c r="BE22" i="9"/>
  <c r="BE23" i="9" s="1"/>
  <c r="BE24" i="9" s="1"/>
  <c r="BE26" i="9" s="1"/>
  <c r="CY34" i="9"/>
  <c r="Z34" i="9"/>
  <c r="Z35" i="9" s="1"/>
  <c r="Z36" i="9" s="1"/>
  <c r="Z38" i="9" s="1"/>
  <c r="CL34" i="9"/>
  <c r="CG22" i="9"/>
  <c r="BR10" i="9"/>
  <c r="AU10" i="9"/>
  <c r="AU11" i="9" s="1"/>
  <c r="AU12" i="9" s="1"/>
  <c r="AU14" i="9" s="1"/>
  <c r="AD34" i="9"/>
  <c r="AD35" i="9" s="1"/>
  <c r="AD36" i="9" s="1"/>
  <c r="AD38" i="9" s="1"/>
  <c r="CB22" i="9"/>
  <c r="CB23" i="9" s="1"/>
  <c r="CB24" i="9" s="1"/>
  <c r="CB26" i="9" s="1"/>
  <c r="DE34" i="9"/>
  <c r="DK10" i="9"/>
  <c r="DK11" i="9" s="1"/>
  <c r="DK12" i="9" s="1"/>
  <c r="DK14" i="9" s="1"/>
  <c r="BX34" i="9"/>
  <c r="BX35" i="9" s="1"/>
  <c r="BX36" i="9" s="1"/>
  <c r="BX38" i="9" s="1"/>
  <c r="O10" i="9"/>
  <c r="AC34" i="9"/>
  <c r="BD10" i="9"/>
  <c r="AQ22" i="9"/>
  <c r="CS34" i="9"/>
  <c r="CS35" i="9" s="1"/>
  <c r="CS36" i="9" s="1"/>
  <c r="CS38" i="9" s="1"/>
  <c r="AR34" i="9"/>
  <c r="CN34" i="9"/>
  <c r="DN34" i="9"/>
  <c r="BX22" i="9"/>
  <c r="Y10" i="9"/>
  <c r="CD22" i="9"/>
  <c r="CD23" i="9" s="1"/>
  <c r="CD24" i="9" s="1"/>
  <c r="CD26" i="9" s="1"/>
  <c r="DP22" i="9"/>
  <c r="DP23" i="9" s="1"/>
  <c r="DP24" i="9" s="1"/>
  <c r="DP26" i="9" s="1"/>
  <c r="T10" i="9"/>
  <c r="T11" i="9" s="1"/>
  <c r="T12" i="9" s="1"/>
  <c r="T14" i="9" s="1"/>
  <c r="CJ34" i="9"/>
  <c r="CJ35" i="9" s="1"/>
  <c r="CJ36" i="9" s="1"/>
  <c r="CJ38" i="9" s="1"/>
  <c r="BG34" i="9"/>
  <c r="BG35" i="9" s="1"/>
  <c r="CZ10" i="9"/>
  <c r="CZ11" i="9" s="1"/>
  <c r="CZ12" i="9" s="1"/>
  <c r="CZ14" i="9" s="1"/>
  <c r="CW34" i="9"/>
  <c r="E34" i="9"/>
  <c r="BJ10" i="9"/>
  <c r="BJ11" i="9" s="1"/>
  <c r="BJ12" i="9" s="1"/>
  <c r="BJ14" i="9" s="1"/>
  <c r="P34" i="9"/>
  <c r="P35" i="9" s="1"/>
  <c r="P36" i="9" s="1"/>
  <c r="P38" i="9" s="1"/>
  <c r="AR10" i="9"/>
  <c r="AR11" i="9" s="1"/>
  <c r="AR12" i="9" s="1"/>
  <c r="AR14" i="9" s="1"/>
  <c r="BM22" i="9"/>
  <c r="DC22" i="9"/>
  <c r="T34" i="9"/>
  <c r="T35" i="9" s="1"/>
  <c r="T36" i="9" s="1"/>
  <c r="T38" i="9" s="1"/>
  <c r="DN10" i="9"/>
  <c r="F34" i="9"/>
  <c r="BM10" i="9"/>
  <c r="BM11" i="9" s="1"/>
  <c r="BM12" i="9" s="1"/>
  <c r="BM14" i="9" s="1"/>
  <c r="CM10" i="9"/>
  <c r="CM11" i="9" s="1"/>
  <c r="CM12" i="9" s="1"/>
  <c r="CM14" i="9" s="1"/>
  <c r="AV10" i="9"/>
  <c r="AV11" i="9" s="1"/>
  <c r="AV12" i="9" s="1"/>
  <c r="AV14" i="9" s="1"/>
  <c r="BG22" i="9"/>
  <c r="F22" i="9"/>
  <c r="F23" i="9" s="1"/>
  <c r="AY22" i="9"/>
  <c r="AY23" i="9" s="1"/>
  <c r="AY24" i="9" s="1"/>
  <c r="AY26" i="9" s="1"/>
  <c r="CA34" i="9"/>
  <c r="CO34" i="9"/>
  <c r="CO35" i="9" s="1"/>
  <c r="CO36" i="9" s="1"/>
  <c r="CO38" i="9" s="1"/>
  <c r="CO22" i="9"/>
  <c r="AA34" i="9"/>
  <c r="AA35" i="9" s="1"/>
  <c r="AA36" i="9" s="1"/>
  <c r="AA38" i="9" s="1"/>
  <c r="DA22" i="9"/>
  <c r="DA23" i="9" s="1"/>
  <c r="DA24" i="9" s="1"/>
  <c r="DA26" i="9" s="1"/>
  <c r="CC22" i="9"/>
  <c r="BC34" i="9"/>
  <c r="BU34" i="9"/>
  <c r="BU35" i="9" s="1"/>
  <c r="BU36" i="9" s="1"/>
  <c r="BU38" i="9" s="1"/>
  <c r="BN34" i="9"/>
  <c r="AN22" i="9"/>
  <c r="BU22" i="9"/>
  <c r="AH34" i="9"/>
  <c r="AH35" i="9" s="1"/>
  <c r="AH36" i="9" s="1"/>
  <c r="AH38" i="9" s="1"/>
  <c r="AI34" i="9"/>
  <c r="AI35" i="9" s="1"/>
  <c r="AI36" i="9" s="1"/>
  <c r="AI38" i="9" s="1"/>
  <c r="CN10" i="9"/>
  <c r="BB22" i="9"/>
  <c r="DF22" i="9"/>
  <c r="DF23" i="9" s="1"/>
  <c r="DF24" i="9" s="1"/>
  <c r="DF26" i="9" s="1"/>
  <c r="DI34" i="9"/>
  <c r="AN34" i="9"/>
  <c r="DM34" i="9"/>
  <c r="BN22" i="9"/>
  <c r="BN23" i="9" s="1"/>
  <c r="BN24" i="9" s="1"/>
  <c r="BN26" i="9" s="1"/>
  <c r="AX22" i="9"/>
  <c r="AX23" i="9" s="1"/>
  <c r="AX24" i="9" s="1"/>
  <c r="AX26" i="9" s="1"/>
  <c r="AS34" i="9"/>
  <c r="U34" i="9"/>
  <c r="U35" i="9" s="1"/>
  <c r="U36" i="9" s="1"/>
  <c r="U38" i="9" s="1"/>
  <c r="N10" i="9"/>
  <c r="N11" i="9" s="1"/>
  <c r="N12" i="9" s="1"/>
  <c r="N14" i="9" s="1"/>
  <c r="AR22" i="9"/>
  <c r="F10" i="9"/>
  <c r="CT34" i="9"/>
  <c r="AS10" i="9"/>
  <c r="AS11" i="9" s="1"/>
  <c r="AS12" i="9" s="1"/>
  <c r="AS14" i="9" s="1"/>
  <c r="BW34" i="9"/>
  <c r="BW35" i="9" s="1"/>
  <c r="BW36" i="9" s="1"/>
  <c r="BW38" i="9" s="1"/>
  <c r="CP22" i="9"/>
  <c r="DB10" i="9"/>
  <c r="AP10" i="9"/>
  <c r="AP11" i="9" s="1"/>
  <c r="AP12" i="9" s="1"/>
  <c r="AP14" i="9" s="1"/>
  <c r="AU34" i="9"/>
  <c r="AB22" i="9"/>
  <c r="CN22" i="9"/>
  <c r="CN23" i="9" s="1"/>
  <c r="CN24" i="9" s="1"/>
  <c r="CN26" i="9" s="1"/>
  <c r="Z11" i="9"/>
  <c r="Z12" i="9" s="1"/>
  <c r="Z14" i="9" s="1"/>
  <c r="KC11" i="9"/>
  <c r="KC12" i="9" s="1"/>
  <c r="KC14" i="9" s="1"/>
  <c r="IS11" i="9"/>
  <c r="IS12" i="9" s="1"/>
  <c r="IS14" i="9" s="1"/>
  <c r="GE11" i="9"/>
  <c r="GE12" i="9" s="1"/>
  <c r="GE14" i="9" s="1"/>
  <c r="FI23" i="9"/>
  <c r="FI24" i="9" s="1"/>
  <c r="FI26" i="9" s="1"/>
  <c r="IA11" i="9"/>
  <c r="IA12" i="9" s="1"/>
  <c r="IA14" i="9" s="1"/>
  <c r="FR11" i="9"/>
  <c r="FR12" i="9" s="1"/>
  <c r="IY11" i="9"/>
  <c r="IY12" i="9" s="1"/>
  <c r="IY14" i="9" s="1"/>
  <c r="FT11" i="9"/>
  <c r="FT12" i="9" s="1"/>
  <c r="FT14" i="9" s="1"/>
  <c r="CC11" i="9"/>
  <c r="CC12" i="9" s="1"/>
  <c r="CC14" i="9" s="1"/>
  <c r="JN23" i="9"/>
  <c r="JN24" i="9"/>
  <c r="IC23" i="9"/>
  <c r="IC24" i="9" s="1"/>
  <c r="IC26" i="9" s="1"/>
  <c r="FV11" i="9"/>
  <c r="FV12" i="9"/>
  <c r="FV14" i="9" s="1"/>
  <c r="GW11" i="9"/>
  <c r="GW12" i="9"/>
  <c r="GW14" i="9" s="1"/>
  <c r="R23" i="9"/>
  <c r="R24" i="9" s="1"/>
  <c r="R26" i="9" s="1"/>
  <c r="O11" i="9"/>
  <c r="O12" i="9" s="1"/>
  <c r="O14" i="9" s="1"/>
  <c r="CT11" i="9"/>
  <c r="CT12" i="9" s="1"/>
  <c r="CT14" i="9" s="1"/>
  <c r="DN23" i="9"/>
  <c r="DN24" i="9"/>
  <c r="DN26" i="9" s="1"/>
  <c r="AC35" i="9"/>
  <c r="AC36" i="9" s="1"/>
  <c r="AC38" i="9" s="1"/>
  <c r="KC23" i="9"/>
  <c r="KC24" i="9" s="1"/>
  <c r="KC26" i="9" s="1"/>
  <c r="BI23" i="9"/>
  <c r="BI24" i="9" s="1"/>
  <c r="BI26" i="9" s="1"/>
  <c r="IN23" i="9"/>
  <c r="IN24" i="9" s="1"/>
  <c r="IN26" i="9" s="1"/>
  <c r="GS23" i="9"/>
  <c r="GS24" i="9" s="1"/>
  <c r="GS26" i="9" s="1"/>
  <c r="JC35" i="9"/>
  <c r="JC36" i="9" s="1"/>
  <c r="JC38" i="9" s="1"/>
  <c r="FY23" i="9"/>
  <c r="FY24" i="9" s="1"/>
  <c r="JR23" i="9"/>
  <c r="JR24" i="9" s="1"/>
  <c r="JR26" i="9" s="1"/>
  <c r="BD11" i="9"/>
  <c r="DY11" i="9"/>
  <c r="DY12" i="9" s="1"/>
  <c r="DY14" i="9" s="1"/>
  <c r="JW11" i="9"/>
  <c r="JW12" i="9" s="1"/>
  <c r="JW14" i="9" s="1"/>
  <c r="JH23" i="9"/>
  <c r="JH24" i="9" s="1"/>
  <c r="FB35" i="9"/>
  <c r="FB36" i="9" s="1"/>
  <c r="IJ23" i="9"/>
  <c r="IJ24" i="9" s="1"/>
  <c r="IJ26" i="9" s="1"/>
  <c r="DW35" i="9"/>
  <c r="DW36" i="9" s="1"/>
  <c r="AQ23" i="9"/>
  <c r="AQ24" i="9" s="1"/>
  <c r="AQ26" i="9" s="1"/>
  <c r="HZ23" i="9"/>
  <c r="HZ24" i="9" s="1"/>
  <c r="HZ26" i="9" s="1"/>
  <c r="JQ23" i="9"/>
  <c r="JQ24" i="9" s="1"/>
  <c r="JQ26" i="9" s="1"/>
  <c r="GC35" i="9"/>
  <c r="GC36" i="9" s="1"/>
  <c r="GC38" i="9" s="1"/>
  <c r="CG35" i="9"/>
  <c r="CG36" i="9" s="1"/>
  <c r="CG38" i="9" s="1"/>
  <c r="GZ35" i="9"/>
  <c r="GZ36" i="9" s="1"/>
  <c r="GZ38" i="9" s="1"/>
  <c r="EJ11" i="9"/>
  <c r="EJ12" i="9" s="1"/>
  <c r="EJ14" i="9" s="1"/>
  <c r="GV11" i="9"/>
  <c r="GV12" i="9" s="1"/>
  <c r="GV14" i="9" s="1"/>
  <c r="GL23" i="9"/>
  <c r="GL24" i="9" s="1"/>
  <c r="GL26" i="9" s="1"/>
  <c r="AR35" i="9"/>
  <c r="AR36" i="9" s="1"/>
  <c r="AR38" i="9" s="1"/>
  <c r="EM23" i="9"/>
  <c r="EM24" i="9" s="1"/>
  <c r="EM26" i="9" s="1"/>
  <c r="GY23" i="9"/>
  <c r="GY24" i="9" s="1"/>
  <c r="GY26" i="9" s="1"/>
  <c r="JK23" i="9"/>
  <c r="JK24" i="9" s="1"/>
  <c r="JK26" i="9" s="1"/>
  <c r="KM35" i="9"/>
  <c r="KM36" i="9" s="1"/>
  <c r="KM38" i="9" s="1"/>
  <c r="GF35" i="9"/>
  <c r="GF36" i="9" s="1"/>
  <c r="KI35" i="9"/>
  <c r="KI36" i="9"/>
  <c r="IY35" i="9"/>
  <c r="IY36" i="9" s="1"/>
  <c r="IY38" i="9" s="1"/>
  <c r="JH35" i="9"/>
  <c r="JH36" i="9" s="1"/>
  <c r="IO35" i="9"/>
  <c r="IO36" i="9" s="1"/>
  <c r="IO38" i="9" s="1"/>
  <c r="HB35" i="9"/>
  <c r="HB36" i="9" s="1"/>
  <c r="HB38" i="9" s="1"/>
  <c r="BC11" i="9"/>
  <c r="BC12" i="9"/>
  <c r="BC14" i="9" s="1"/>
  <c r="AA11" i="9"/>
  <c r="AA12" i="9" s="1"/>
  <c r="AA14" i="9" s="1"/>
  <c r="KD11" i="9"/>
  <c r="KD12" i="9" s="1"/>
  <c r="KD14" i="9" s="1"/>
  <c r="EE11" i="9"/>
  <c r="EE12" i="9"/>
  <c r="EE14" i="9" s="1"/>
  <c r="I11" i="9"/>
  <c r="I12" i="9" s="1"/>
  <c r="I14" i="9" s="1"/>
  <c r="JN11" i="9"/>
  <c r="JN12" i="9" s="1"/>
  <c r="GX11" i="9"/>
  <c r="GX12" i="9" s="1"/>
  <c r="GX14" i="9" s="1"/>
  <c r="ET11" i="9"/>
  <c r="ET12" i="9" s="1"/>
  <c r="ET14" i="9" s="1"/>
  <c r="DV11" i="9"/>
  <c r="DV12" i="9" s="1"/>
  <c r="DV14" i="9" s="1"/>
  <c r="JQ11" i="9"/>
  <c r="JQ12" i="9" s="1"/>
  <c r="JQ14" i="9" s="1"/>
  <c r="BL11" i="9"/>
  <c r="BL12" i="9" s="1"/>
  <c r="BL14" i="9" s="1"/>
  <c r="ED11" i="9"/>
  <c r="ED12" i="9" s="1"/>
  <c r="ED14" i="9" s="1"/>
  <c r="CQ11" i="9"/>
  <c r="CQ12" i="9" s="1"/>
  <c r="CQ14" i="9" s="1"/>
  <c r="IR23" i="9"/>
  <c r="IR24" i="9" s="1"/>
  <c r="IR26" i="9" s="1"/>
  <c r="EM35" i="9"/>
  <c r="EM36" i="9" s="1"/>
  <c r="EM38" i="9" s="1"/>
  <c r="Y11" i="9"/>
  <c r="Y12" i="9" s="1"/>
  <c r="Y14" i="9" s="1"/>
  <c r="GJ11" i="9"/>
  <c r="GJ12" i="9" s="1"/>
  <c r="GJ14" i="9" s="1"/>
  <c r="EN23" i="9"/>
  <c r="EN24" i="9" s="1"/>
  <c r="EN26" i="9" s="1"/>
  <c r="JL23" i="9"/>
  <c r="JL24" i="9" s="1"/>
  <c r="JL26" i="9" s="1"/>
  <c r="GM23" i="9"/>
  <c r="GM24" i="9" s="1"/>
  <c r="GM26" i="9" s="1"/>
  <c r="KD23" i="9"/>
  <c r="KD24" i="9" s="1"/>
  <c r="KD26" i="9" s="1"/>
  <c r="HO35" i="9"/>
  <c r="HO36" i="9" s="1"/>
  <c r="HO38" i="9" s="1"/>
  <c r="HC11" i="9"/>
  <c r="HC12" i="9" s="1"/>
  <c r="HC14" i="9" s="1"/>
  <c r="FD35" i="9"/>
  <c r="FD36" i="9" s="1"/>
  <c r="FD38" i="9" s="1"/>
  <c r="IL23" i="9"/>
  <c r="IL24" i="9" s="1"/>
  <c r="DY35" i="9"/>
  <c r="DY36" i="9" s="1"/>
  <c r="DY38" i="9" s="1"/>
  <c r="GV23" i="9"/>
  <c r="GV24" i="9" s="1"/>
  <c r="GV26" i="9" s="1"/>
  <c r="KB23" i="9"/>
  <c r="KB24" i="9" s="1"/>
  <c r="KB26" i="9" s="1"/>
  <c r="HL35" i="9"/>
  <c r="HL36" i="9" s="1"/>
  <c r="CV35" i="9"/>
  <c r="CV36" i="9" s="1"/>
  <c r="CV38" i="9" s="1"/>
  <c r="HT35" i="9"/>
  <c r="HT36" i="9" s="1"/>
  <c r="HT38" i="9" s="1"/>
  <c r="HD11" i="9"/>
  <c r="HD12" i="9" s="1"/>
  <c r="HD14" i="9" s="1"/>
  <c r="DZ23" i="9"/>
  <c r="DZ24" i="9" s="1"/>
  <c r="JP23" i="9"/>
  <c r="JP24" i="9" s="1"/>
  <c r="GA35" i="9"/>
  <c r="GA36" i="9" s="1"/>
  <c r="GA38" i="9" s="1"/>
  <c r="IT35" i="9"/>
  <c r="IT36" i="9" s="1"/>
  <c r="IT38" i="9" s="1"/>
  <c r="EU23" i="9"/>
  <c r="EU24" i="9" s="1"/>
  <c r="EU26" i="9" s="1"/>
  <c r="JS23" i="9"/>
  <c r="JS24" i="9" s="1"/>
  <c r="JS26" i="9" s="1"/>
  <c r="JJ35" i="9"/>
  <c r="JJ36" i="9" s="1"/>
  <c r="JJ38" i="9" s="1"/>
  <c r="DS35" i="9"/>
  <c r="DS36" i="9" s="1"/>
  <c r="DS38" i="9" s="1"/>
  <c r="GN35" i="9"/>
  <c r="GN36" i="9" s="1"/>
  <c r="GN38" i="9" s="1"/>
  <c r="IW35" i="9"/>
  <c r="IW36" i="9" s="1"/>
  <c r="IW38" i="9" s="1"/>
  <c r="CL35" i="9"/>
  <c r="CL36" i="9" s="1"/>
  <c r="CL38" i="9" s="1"/>
  <c r="EX35" i="9"/>
  <c r="EX36" i="9" s="1"/>
  <c r="EX38" i="9" s="1"/>
  <c r="JV35" i="9"/>
  <c r="JV36" i="9" s="1"/>
  <c r="JV38" i="9" s="1"/>
  <c r="CK11" i="9"/>
  <c r="CK12" i="9" s="1"/>
  <c r="CK14" i="9" s="1"/>
  <c r="FI11" i="9"/>
  <c r="FI12" i="9" s="1"/>
  <c r="FI14" i="9" s="1"/>
  <c r="GA11" i="9"/>
  <c r="GA12" i="9" s="1"/>
  <c r="EL11" i="9"/>
  <c r="EL12" i="9" s="1"/>
  <c r="DJ11" i="9"/>
  <c r="DJ12" i="9" s="1"/>
  <c r="DJ14" i="9" s="1"/>
  <c r="AK11" i="9"/>
  <c r="AK12" i="9"/>
  <c r="AK14" i="9" s="1"/>
  <c r="CL23" i="9"/>
  <c r="CL24" i="9" s="1"/>
  <c r="CL26" i="9" s="1"/>
  <c r="AI11" i="9"/>
  <c r="AI12" i="9" s="1"/>
  <c r="AI14" i="9" s="1"/>
  <c r="DO11" i="9"/>
  <c r="DO12" i="9" s="1"/>
  <c r="DO14" i="9" s="1"/>
  <c r="EO23" i="9"/>
  <c r="EO24" i="9" s="1"/>
  <c r="DD35" i="9"/>
  <c r="DD36" i="9"/>
  <c r="DD38" i="9" s="1"/>
  <c r="KJ23" i="9"/>
  <c r="KJ24" i="9" s="1"/>
  <c r="KJ26" i="9" s="1"/>
  <c r="IP23" i="9"/>
  <c r="IP24" i="9" s="1"/>
  <c r="IP26" i="9" s="1"/>
  <c r="BV11" i="9"/>
  <c r="BV12" i="9" s="1"/>
  <c r="BV14" i="9" s="1"/>
  <c r="CV23" i="9"/>
  <c r="CV24" i="9" s="1"/>
  <c r="CV26" i="9" s="1"/>
  <c r="JI23" i="9"/>
  <c r="JI24" i="9" s="1"/>
  <c r="JI26" i="9" s="1"/>
  <c r="BO23" i="9"/>
  <c r="BO24" i="9" s="1"/>
  <c r="BO26" i="9" s="1"/>
  <c r="FO35" i="9"/>
  <c r="FO36" i="9" s="1"/>
  <c r="HL11" i="9"/>
  <c r="HL12" i="9" s="1"/>
  <c r="HL14" i="9" s="1"/>
  <c r="CX35" i="9"/>
  <c r="CX36" i="9" s="1"/>
  <c r="CX38" i="9" s="1"/>
  <c r="HV35" i="9"/>
  <c r="HV36" i="9" s="1"/>
  <c r="HV38" i="9" s="1"/>
  <c r="CQ23" i="9"/>
  <c r="CQ24" i="9" s="1"/>
  <c r="CQ26" i="9" s="1"/>
  <c r="KA23" i="9"/>
  <c r="KA24" i="9" s="1"/>
  <c r="KA26" i="9" s="1"/>
  <c r="GG35" i="9"/>
  <c r="GG36" i="9" s="1"/>
  <c r="GG38" i="9" s="1"/>
  <c r="FF35" i="9"/>
  <c r="FF36" i="9" s="1"/>
  <c r="HR35" i="9"/>
  <c r="HR36" i="9" s="1"/>
  <c r="HR38" i="9" s="1"/>
  <c r="DR11" i="9"/>
  <c r="DR12" i="9" s="1"/>
  <c r="DR14" i="9" s="1"/>
  <c r="AD11" i="9"/>
  <c r="AD12" i="9" s="1"/>
  <c r="AD14" i="9" s="1"/>
  <c r="EF11" i="9"/>
  <c r="EF12" i="9" s="1"/>
  <c r="EF14" i="9" s="1"/>
  <c r="JP11" i="9"/>
  <c r="JP12" i="9" s="1"/>
  <c r="JP14" i="9" s="1"/>
  <c r="HE11" i="9"/>
  <c r="HE12" i="9" s="1"/>
  <c r="HE14" i="9" s="1"/>
  <c r="FC11" i="9"/>
  <c r="FC12" i="9" s="1"/>
  <c r="FC14" i="9" s="1"/>
  <c r="CS11" i="9"/>
  <c r="CS12" i="9" s="1"/>
  <c r="CS14" i="9" s="1"/>
  <c r="W11" i="9"/>
  <c r="W12" i="9" s="1"/>
  <c r="W14" i="9" s="1"/>
  <c r="HG11" i="9"/>
  <c r="HG12" i="9"/>
  <c r="BQ23" i="9"/>
  <c r="BQ24" i="9" s="1"/>
  <c r="BQ26" i="9" s="1"/>
  <c r="AW11" i="9"/>
  <c r="AW12" i="9" s="1"/>
  <c r="AW14" i="9" s="1"/>
  <c r="GG23" i="9"/>
  <c r="GG24" i="9" s="1"/>
  <c r="GG26" i="9" s="1"/>
  <c r="DD23" i="9"/>
  <c r="DD24" i="9" s="1"/>
  <c r="DD26" i="9" s="1"/>
  <c r="KN23" i="9"/>
  <c r="KN24" i="9"/>
  <c r="KN26" i="9" s="1"/>
  <c r="FM23" i="9"/>
  <c r="FM24" i="9" s="1"/>
  <c r="HJ23" i="9"/>
  <c r="HJ24" i="9" s="1"/>
  <c r="HJ26" i="9" s="1"/>
  <c r="O35" i="9"/>
  <c r="O36" i="9" s="1"/>
  <c r="O38" i="9" s="1"/>
  <c r="Q23" i="9"/>
  <c r="Q24" i="9" s="1"/>
  <c r="Q26" i="9" s="1"/>
  <c r="KP23" i="9"/>
  <c r="KP24" i="9" s="1"/>
  <c r="KP26" i="9" s="1"/>
  <c r="JS35" i="9"/>
  <c r="JS36" i="9" s="1"/>
  <c r="JS38" i="9" s="1"/>
  <c r="GD23" i="9"/>
  <c r="GD24" i="9" s="1"/>
  <c r="GD26" i="9" s="1"/>
  <c r="FR23" i="9"/>
  <c r="FR24" i="9" s="1"/>
  <c r="FR26" i="9" s="1"/>
  <c r="JJ23" i="9"/>
  <c r="JJ24" i="9" s="1"/>
  <c r="JJ26" i="9" s="1"/>
  <c r="JI35" i="9"/>
  <c r="JI36" i="9" s="1"/>
  <c r="HU35" i="9"/>
  <c r="HU36" i="9" s="1"/>
  <c r="HU38" i="9" s="1"/>
  <c r="AJ11" i="9"/>
  <c r="AJ12" i="9" s="1"/>
  <c r="AJ14" i="9" s="1"/>
  <c r="FH11" i="9"/>
  <c r="FH12" i="9" s="1"/>
  <c r="HM23" i="9"/>
  <c r="HM24" i="9"/>
  <c r="KH23" i="9"/>
  <c r="KH24" i="9" s="1"/>
  <c r="KH26" i="9" s="1"/>
  <c r="HG35" i="9"/>
  <c r="HG36" i="9" s="1"/>
  <c r="HG38" i="9" s="1"/>
  <c r="JK11" i="9"/>
  <c r="JK12" i="9" s="1"/>
  <c r="HK35" i="9"/>
  <c r="HK36" i="9" s="1"/>
  <c r="HK38" i="9" s="1"/>
  <c r="DX35" i="9"/>
  <c r="DX36" i="9" s="1"/>
  <c r="DX38" i="9" s="1"/>
  <c r="HS35" i="9"/>
  <c r="HS36" i="9" s="1"/>
  <c r="HS38" i="9" s="1"/>
  <c r="AF35" i="9"/>
  <c r="AF36" i="9" s="1"/>
  <c r="AF38" i="9" s="1"/>
  <c r="HF35" i="9"/>
  <c r="HF36" i="9" s="1"/>
  <c r="HF38" i="9" s="1"/>
  <c r="KN35" i="9"/>
  <c r="KN36" i="9" s="1"/>
  <c r="AP35" i="9"/>
  <c r="AP36" i="9" s="1"/>
  <c r="AP38" i="9" s="1"/>
  <c r="DB35" i="9"/>
  <c r="DB36" i="9" s="1"/>
  <c r="DB38" i="9" s="1"/>
  <c r="GG11" i="9"/>
  <c r="GG12" i="9" s="1"/>
  <c r="GG14" i="9" s="1"/>
  <c r="IV11" i="9"/>
  <c r="IV12" i="9" s="1"/>
  <c r="IV14" i="9" s="1"/>
  <c r="KK23" i="9"/>
  <c r="KK24" i="9" s="1"/>
  <c r="KK26" i="9" s="1"/>
  <c r="EV23" i="9"/>
  <c r="EV24" i="9" s="1"/>
  <c r="EV26" i="9" s="1"/>
  <c r="ID11" i="9"/>
  <c r="ID12" i="9" s="1"/>
  <c r="ID14" i="9" s="1"/>
  <c r="JO35" i="9"/>
  <c r="JO36" i="9" s="1"/>
  <c r="JO38" i="9" s="1"/>
  <c r="EW11" i="9"/>
  <c r="EW12" i="9" s="1"/>
  <c r="EW14" i="9" s="1"/>
  <c r="JG11" i="9"/>
  <c r="JG12" i="9" s="1"/>
  <c r="JG14" i="9" s="1"/>
  <c r="GQ11" i="9"/>
  <c r="GQ12" i="9" s="1"/>
  <c r="EG11" i="9"/>
  <c r="EG12" i="9" s="1"/>
  <c r="EG14" i="9" s="1"/>
  <c r="BK11" i="9"/>
  <c r="BK12" i="9" s="1"/>
  <c r="BK14" i="9" s="1"/>
  <c r="DW11" i="9"/>
  <c r="DW12" i="9" s="1"/>
  <c r="DW14" i="9" s="1"/>
  <c r="KN11" i="9"/>
  <c r="KN12" i="9" s="1"/>
  <c r="BQ11" i="9"/>
  <c r="BQ12" i="9" s="1"/>
  <c r="BQ14" i="9" s="1"/>
  <c r="EM11" i="9"/>
  <c r="EM12" i="9" s="1"/>
  <c r="EM14" i="9" s="1"/>
  <c r="IG11" i="9"/>
  <c r="IG12" i="9" s="1"/>
  <c r="IG14" i="9" s="1"/>
  <c r="FL11" i="9"/>
  <c r="FL12" i="9" s="1"/>
  <c r="FL14" i="9" s="1"/>
  <c r="GX35" i="9"/>
  <c r="GX36" i="9" s="1"/>
  <c r="GX38" i="9" s="1"/>
  <c r="BO11" i="9"/>
  <c r="BO12" i="9" s="1"/>
  <c r="BO14" i="9" s="1"/>
  <c r="AP23" i="9"/>
  <c r="AP24" i="9" s="1"/>
  <c r="AP26" i="9" s="1"/>
  <c r="HI23" i="9"/>
  <c r="HI24" i="9" s="1"/>
  <c r="HI26" i="9" s="1"/>
  <c r="FU23" i="9"/>
  <c r="FU24" i="9" s="1"/>
  <c r="FR35" i="9"/>
  <c r="FR36" i="9" s="1"/>
  <c r="FR38" i="9" s="1"/>
  <c r="IH23" i="9"/>
  <c r="IH24" i="9" s="1"/>
  <c r="IH26" i="9" s="1"/>
  <c r="CA35" i="9"/>
  <c r="CA36" i="9" s="1"/>
  <c r="CA38" i="9" s="1"/>
  <c r="AC11" i="9"/>
  <c r="AC12" i="9" s="1"/>
  <c r="AC14" i="9" s="1"/>
  <c r="CX11" i="9"/>
  <c r="CX12" i="9" s="1"/>
  <c r="CX14" i="9" s="1"/>
  <c r="HX23" i="9"/>
  <c r="HX24" i="9" s="1"/>
  <c r="HX26" i="9" s="1"/>
  <c r="Q35" i="9"/>
  <c r="Q36" i="9" s="1"/>
  <c r="Q38" i="9" s="1"/>
  <c r="FF23" i="9"/>
  <c r="FF24" i="9" s="1"/>
  <c r="FF26" i="9" s="1"/>
  <c r="IK23" i="9"/>
  <c r="IK24" i="9" s="1"/>
  <c r="FX11" i="9"/>
  <c r="FX12" i="9" s="1"/>
  <c r="FX14" i="9" s="1"/>
  <c r="CO23" i="9"/>
  <c r="CO24" i="9" s="1"/>
  <c r="CO26" i="9" s="1"/>
  <c r="FJ23" i="9"/>
  <c r="FJ24" i="9" s="1"/>
  <c r="FJ26" i="9" s="1"/>
  <c r="IF23" i="9"/>
  <c r="IF24" i="9" s="1"/>
  <c r="IU35" i="9"/>
  <c r="IU36" i="9" s="1"/>
  <c r="IU38" i="9" s="1"/>
  <c r="IQ35" i="9"/>
  <c r="IQ36" i="9" s="1"/>
  <c r="IQ38" i="9" s="1"/>
  <c r="EF35" i="9"/>
  <c r="EF36" i="9" s="1"/>
  <c r="EF38" i="9" s="1"/>
  <c r="FC35" i="9"/>
  <c r="FC36" i="9" s="1"/>
  <c r="FC38" i="9" s="1"/>
  <c r="HQ35" i="9"/>
  <c r="HQ36" i="9" s="1"/>
  <c r="HQ38" i="9" s="1"/>
  <c r="GD35" i="9"/>
  <c r="GD36" i="9" s="1"/>
  <c r="GD38" i="9" s="1"/>
  <c r="HI11" i="9"/>
  <c r="HI12" i="9" s="1"/>
  <c r="GD11" i="9"/>
  <c r="GD12" i="9" s="1"/>
  <c r="GD14" i="9" s="1"/>
  <c r="DU11" i="9"/>
  <c r="DU12" i="9" s="1"/>
  <c r="DU14" i="9" s="1"/>
  <c r="AN11" i="9"/>
  <c r="AN12" i="9" s="1"/>
  <c r="AN14" i="9" s="1"/>
  <c r="HZ11" i="9"/>
  <c r="HZ12" i="9" s="1"/>
  <c r="HZ14" i="9" s="1"/>
  <c r="FN11" i="9"/>
  <c r="FN12" i="9" s="1"/>
  <c r="FN14" i="9" s="1"/>
  <c r="DF11" i="9"/>
  <c r="DF12" i="9" s="1"/>
  <c r="DF14" i="9" s="1"/>
  <c r="BB11" i="9"/>
  <c r="BB12" i="9" s="1"/>
  <c r="BB14" i="9" s="1"/>
  <c r="KM23" i="9"/>
  <c r="KM24" i="9" s="1"/>
  <c r="KM26" i="9" s="1"/>
  <c r="CA11" i="9"/>
  <c r="CA12" i="9" s="1"/>
  <c r="CA14" i="9" s="1"/>
  <c r="HN11" i="9"/>
  <c r="HN12" i="9" s="1"/>
  <c r="HN14" i="9" s="1"/>
  <c r="Q11" i="9"/>
  <c r="Q12" i="9" s="1"/>
  <c r="Q14" i="9" s="1"/>
  <c r="JR11" i="9"/>
  <c r="JR12" i="9" s="1"/>
  <c r="AY11" i="9"/>
  <c r="AY12" i="9" s="1"/>
  <c r="AY14" i="9" s="1"/>
  <c r="FU11" i="9"/>
  <c r="FU12" i="9" s="1"/>
  <c r="FU14" i="9" s="1"/>
  <c r="AH23" i="9"/>
  <c r="AH24" i="9" s="1"/>
  <c r="AH26" i="9" s="1"/>
  <c r="HB11" i="9"/>
  <c r="HB12" i="9" s="1"/>
  <c r="HB14" i="9" s="1"/>
  <c r="JX23" i="9"/>
  <c r="JX24" i="9" s="1"/>
  <c r="DL23" i="9"/>
  <c r="DL24" i="9" s="1"/>
  <c r="DL26" i="9" s="1"/>
  <c r="BG11" i="9"/>
  <c r="BG12" i="9" s="1"/>
  <c r="BG14" i="9" s="1"/>
  <c r="EX11" i="9"/>
  <c r="EX12" i="9" s="1"/>
  <c r="EX14" i="9" s="1"/>
  <c r="IQ23" i="9"/>
  <c r="IQ24" i="9" s="1"/>
  <c r="CG11" i="9"/>
  <c r="CG12" i="9" s="1"/>
  <c r="CG14" i="9" s="1"/>
  <c r="FW11" i="9"/>
  <c r="FW12" i="9" s="1"/>
  <c r="FW14" i="9" s="1"/>
  <c r="JV11" i="9"/>
  <c r="JV12" i="9" s="1"/>
  <c r="JV14" i="9" s="1"/>
  <c r="L23" i="9"/>
  <c r="L24" i="9"/>
  <c r="L26" i="9" s="1"/>
  <c r="GY35" i="9"/>
  <c r="GY36" i="9" s="1"/>
  <c r="GY38" i="9" s="1"/>
  <c r="HN35" i="9"/>
  <c r="HN36" i="9" s="1"/>
  <c r="FE11" i="9"/>
  <c r="FE12" i="9" s="1"/>
  <c r="FE14" i="9" s="1"/>
  <c r="IO11" i="9"/>
  <c r="IO12" i="9" s="1"/>
  <c r="IO14" i="9" s="1"/>
  <c r="JB23" i="9"/>
  <c r="JB24" i="9" s="1"/>
  <c r="JB26" i="9" s="1"/>
  <c r="BH23" i="9"/>
  <c r="BH24" i="9" s="1"/>
  <c r="BH26" i="9" s="1"/>
  <c r="IG23" i="9"/>
  <c r="IG24" i="9" s="1"/>
  <c r="IG26" i="9" s="1"/>
  <c r="GR23" i="9"/>
  <c r="GR24" i="9" s="1"/>
  <c r="GR26" i="9" s="1"/>
  <c r="EX23" i="9"/>
  <c r="EX24" i="9" s="1"/>
  <c r="EX26" i="9" s="1"/>
  <c r="BJ23" i="9"/>
  <c r="BJ24" i="9" s="1"/>
  <c r="BJ26" i="9" s="1"/>
  <c r="FB23" i="9"/>
  <c r="FB24" i="9" s="1"/>
  <c r="FB26" i="9" s="1"/>
  <c r="IS23" i="9"/>
  <c r="IS24" i="9" s="1"/>
  <c r="IS26" i="9" s="1"/>
  <c r="DH35" i="9"/>
  <c r="DH36" i="9" s="1"/>
  <c r="DH38" i="9" s="1"/>
  <c r="AL11" i="9"/>
  <c r="AL12" i="9" s="1"/>
  <c r="AL14" i="9" s="1"/>
  <c r="DG11" i="9"/>
  <c r="DG12" i="9" s="1"/>
  <c r="DG14" i="9" s="1"/>
  <c r="GB11" i="9"/>
  <c r="GB12" i="9" s="1"/>
  <c r="GB14" i="9" s="1"/>
  <c r="JB11" i="9"/>
  <c r="JB12" i="9" s="1"/>
  <c r="JB14" i="9" s="1"/>
  <c r="AZ23" i="9"/>
  <c r="AZ24" i="9" s="1"/>
  <c r="AZ26" i="9" s="1"/>
  <c r="EQ23" i="9"/>
  <c r="EQ24" i="9" s="1"/>
  <c r="EQ26" i="9" s="1"/>
  <c r="II23" i="9"/>
  <c r="II24" i="9" s="1"/>
  <c r="II26" i="9" s="1"/>
  <c r="CE35" i="9"/>
  <c r="CE36" i="9" s="1"/>
  <c r="CE38" i="9" s="1"/>
  <c r="DU23" i="9"/>
  <c r="DU24" i="9" s="1"/>
  <c r="DU26" i="9" s="1"/>
  <c r="AY35" i="9"/>
  <c r="AY36" i="9"/>
  <c r="AY38" i="9" s="1"/>
  <c r="DK23" i="9"/>
  <c r="DK24" i="9" s="1"/>
  <c r="DK26" i="9" s="1"/>
  <c r="HB23" i="9"/>
  <c r="HB24" i="9" s="1"/>
  <c r="HB26" i="9" s="1"/>
  <c r="IV23" i="9"/>
  <c r="IV24" i="9" s="1"/>
  <c r="IV26" i="9" s="1"/>
  <c r="DU35" i="9"/>
  <c r="DU36" i="9" s="1"/>
  <c r="DU38" i="9" s="1"/>
  <c r="FX35" i="9"/>
  <c r="FX36" i="9" s="1"/>
  <c r="FX38" i="9" s="1"/>
  <c r="X35" i="9"/>
  <c r="X36" i="9" s="1"/>
  <c r="X38" i="9" s="1"/>
  <c r="ER35" i="9"/>
  <c r="ER36" i="9" s="1"/>
  <c r="KF35" i="9"/>
  <c r="KF36" i="9" s="1"/>
  <c r="KF38" i="9" s="1"/>
  <c r="GF11" i="9"/>
  <c r="GF12" i="9" s="1"/>
  <c r="GF14" i="9" s="1"/>
  <c r="IW11" i="9"/>
  <c r="IW12" i="9" s="1"/>
  <c r="IW14" i="9" s="1"/>
  <c r="AC23" i="9"/>
  <c r="AC24" i="9" s="1"/>
  <c r="AC26" i="9" s="1"/>
  <c r="CX23" i="9"/>
  <c r="CX24" i="9" s="1"/>
  <c r="CX26" i="9" s="1"/>
  <c r="FT23" i="9"/>
  <c r="FT24" i="9" s="1"/>
  <c r="FT26" i="9" s="1"/>
  <c r="IO23" i="9"/>
  <c r="IO24" i="9" s="1"/>
  <c r="IO26" i="9" s="1"/>
  <c r="FJ35" i="9"/>
  <c r="FJ36" i="9" s="1"/>
  <c r="FJ38" i="9" s="1"/>
  <c r="EG35" i="9"/>
  <c r="EG36" i="9" s="1"/>
  <c r="EG38" i="9" s="1"/>
  <c r="JP35" i="9"/>
  <c r="JP36" i="9" s="1"/>
  <c r="HW11" i="9"/>
  <c r="HW12" i="9" s="1"/>
  <c r="HW14" i="9" s="1"/>
  <c r="KI11" i="9"/>
  <c r="KI12" i="9" s="1"/>
  <c r="DW23" i="9"/>
  <c r="DW24" i="9" s="1"/>
  <c r="DW26" i="9" s="1"/>
  <c r="GI23" i="9"/>
  <c r="GI24" i="9" s="1"/>
  <c r="GI26" i="9" s="1"/>
  <c r="IU23" i="9"/>
  <c r="IU24" i="9" s="1"/>
  <c r="IU26" i="9" s="1"/>
  <c r="AM35" i="9"/>
  <c r="AM36" i="9" s="1"/>
  <c r="AM38" i="9" s="1"/>
  <c r="ES35" i="9"/>
  <c r="ES36" i="9" s="1"/>
  <c r="JD35" i="9"/>
  <c r="JD36" i="9" s="1"/>
  <c r="JD38" i="9" s="1"/>
  <c r="FH35" i="9"/>
  <c r="FH36" i="9" s="1"/>
  <c r="FH38" i="9" s="1"/>
  <c r="JG35" i="9"/>
  <c r="JG36" i="9" s="1"/>
  <c r="EQ35" i="9"/>
  <c r="EQ36" i="9" s="1"/>
  <c r="HX35" i="9"/>
  <c r="HX36" i="9" s="1"/>
  <c r="HX38" i="9" s="1"/>
  <c r="V35" i="9"/>
  <c r="V36" i="9" s="1"/>
  <c r="V38" i="9" s="1"/>
  <c r="FL35" i="9"/>
  <c r="FL36" i="9" s="1"/>
  <c r="FL38" i="9" s="1"/>
  <c r="IL35" i="9"/>
  <c r="IL36" i="9" s="1"/>
  <c r="HY35" i="9"/>
  <c r="HY36" i="9" s="1"/>
  <c r="HY38" i="9" s="1"/>
  <c r="BN35" i="9"/>
  <c r="BN36" i="9" s="1"/>
  <c r="BN38" i="9" s="1"/>
  <c r="DZ35" i="9"/>
  <c r="DZ36" i="9" s="1"/>
  <c r="DZ38" i="9" s="1"/>
  <c r="GL35" i="9"/>
  <c r="GL36" i="9" s="1"/>
  <c r="GL38" i="9" s="1"/>
  <c r="IX35" i="9"/>
  <c r="IX36" i="9" s="1"/>
  <c r="IX38" i="9" s="1"/>
  <c r="IQ11" i="9"/>
  <c r="IQ12" i="9" s="1"/>
  <c r="IQ14" i="9" s="1"/>
  <c r="HJ11" i="9"/>
  <c r="HJ12" i="9" s="1"/>
  <c r="HJ14" i="9" s="1"/>
  <c r="FB11" i="9"/>
  <c r="FB12" i="9" s="1"/>
  <c r="FB14" i="9" s="1"/>
  <c r="H11" i="9"/>
  <c r="H12" i="9" s="1"/>
  <c r="H14" i="9" s="1"/>
  <c r="JJ11" i="9"/>
  <c r="JJ12" i="9" s="1"/>
  <c r="JJ14" i="9" s="1"/>
  <c r="GR11" i="9"/>
  <c r="GR12" i="9" s="1"/>
  <c r="GR14" i="9" s="1"/>
  <c r="EI11" i="9"/>
  <c r="EI12" i="9" s="1"/>
  <c r="EI14" i="9" s="1"/>
  <c r="AE11" i="9"/>
  <c r="AE12" i="9" s="1"/>
  <c r="AE14" i="9" s="1"/>
  <c r="CP11" i="9"/>
  <c r="CP12" i="9" s="1"/>
  <c r="CP14" i="9" s="1"/>
  <c r="IF11" i="9"/>
  <c r="IF12" i="9" s="1"/>
  <c r="IF14" i="9" s="1"/>
  <c r="FD11" i="9"/>
  <c r="FD12" i="9" s="1"/>
  <c r="FD14" i="9" s="1"/>
  <c r="BN11" i="9"/>
  <c r="BN12" i="9" s="1"/>
  <c r="BN14" i="9" s="1"/>
  <c r="EL23" i="9"/>
  <c r="EL24" i="9" s="1"/>
  <c r="EL26" i="9" s="1"/>
  <c r="CW11" i="9"/>
  <c r="CW12" i="9" s="1"/>
  <c r="CW14" i="9" s="1"/>
  <c r="HV11" i="9"/>
  <c r="HV12" i="9" s="1"/>
  <c r="HV14" i="9" s="1"/>
  <c r="FW23" i="9"/>
  <c r="FW24" i="9" s="1"/>
  <c r="FK11" i="9"/>
  <c r="FK12" i="9" s="1"/>
  <c r="FK14" i="9" s="1"/>
  <c r="JH11" i="9"/>
  <c r="JH12" i="9" s="1"/>
  <c r="EI35" i="9"/>
  <c r="EI36" i="9" s="1"/>
  <c r="EI38" i="9" s="1"/>
  <c r="CR11" i="9"/>
  <c r="CR12" i="9" s="1"/>
  <c r="CR14" i="9" s="1"/>
  <c r="GI11" i="9"/>
  <c r="GI12" i="9" s="1"/>
  <c r="GI14" i="9" s="1"/>
  <c r="KL11" i="9"/>
  <c r="KL12" i="9" s="1"/>
  <c r="KL14" i="9" s="1"/>
  <c r="GW23" i="9"/>
  <c r="GW24" i="9" s="1"/>
  <c r="GW26" i="9" s="1"/>
  <c r="IZ11" i="9"/>
  <c r="IZ12" i="9" s="1"/>
  <c r="IZ14" i="9" s="1"/>
  <c r="JD23" i="9"/>
  <c r="JD24" i="9" s="1"/>
  <c r="FV23" i="9"/>
  <c r="FV24" i="9" s="1"/>
  <c r="GB35" i="9"/>
  <c r="GB36" i="9" s="1"/>
  <c r="GB38" i="9" s="1"/>
  <c r="JE23" i="9"/>
  <c r="JE24" i="9" s="1"/>
  <c r="JE26" i="9" s="1"/>
  <c r="DP11" i="9"/>
  <c r="DP12" i="9" s="1"/>
  <c r="DP14" i="9" s="1"/>
  <c r="GK11" i="9"/>
  <c r="GK12" i="9" s="1"/>
  <c r="GK14" i="9" s="1"/>
  <c r="JM11" i="9"/>
  <c r="JM12" i="9" s="1"/>
  <c r="JM14" i="9" s="1"/>
  <c r="FD23" i="9"/>
  <c r="FD24" i="9" s="1"/>
  <c r="FD26" i="9" s="1"/>
  <c r="IT23" i="9"/>
  <c r="IT24" i="9" s="1"/>
  <c r="IT26" i="9" s="1"/>
  <c r="DT35" i="9"/>
  <c r="DT36" i="9" s="1"/>
  <c r="DT38" i="9" s="1"/>
  <c r="EG23" i="9"/>
  <c r="EG24" i="9" s="1"/>
  <c r="EG26" i="9" s="1"/>
  <c r="HY23" i="9"/>
  <c r="HY24" i="9" s="1"/>
  <c r="HY26" i="9" s="1"/>
  <c r="DV23" i="9"/>
  <c r="DV24" i="9" s="1"/>
  <c r="DV26" i="9" s="1"/>
  <c r="FZ23" i="9"/>
  <c r="FZ24" i="9" s="1"/>
  <c r="FZ26" i="9" s="1"/>
  <c r="JF23" i="9"/>
  <c r="JF24" i="9" s="1"/>
  <c r="JF26" i="9" s="1"/>
  <c r="EZ35" i="9"/>
  <c r="EZ36" i="9" s="1"/>
  <c r="GK35" i="9"/>
  <c r="GK36" i="9" s="1"/>
  <c r="GK38" i="9" s="1"/>
  <c r="FI35" i="9"/>
  <c r="FI36" i="9"/>
  <c r="FI38" i="9" s="1"/>
  <c r="EB11" i="9"/>
  <c r="EB12" i="9" s="1"/>
  <c r="GN11" i="9"/>
  <c r="GN12" i="9" s="1"/>
  <c r="JF11" i="9"/>
  <c r="JF12" i="9" s="1"/>
  <c r="AL23" i="9"/>
  <c r="AL24" i="9" s="1"/>
  <c r="AL26" i="9" s="1"/>
  <c r="DH23" i="9"/>
  <c r="DH24" i="9" s="1"/>
  <c r="DH26" i="9" s="1"/>
  <c r="GC23" i="9"/>
  <c r="GC24" i="9" s="1"/>
  <c r="GC26" i="9" s="1"/>
  <c r="IX23" i="9"/>
  <c r="IX24" i="9" s="1"/>
  <c r="IX26" i="9" s="1"/>
  <c r="FZ35" i="9"/>
  <c r="FZ36" i="9" s="1"/>
  <c r="FZ38" i="9" s="1"/>
  <c r="AB35" i="9"/>
  <c r="AB36" i="9" s="1"/>
  <c r="AB38" i="9" s="1"/>
  <c r="EW35" i="9"/>
  <c r="EW36" i="9" s="1"/>
  <c r="EW38" i="9" s="1"/>
  <c r="KJ35" i="9"/>
  <c r="KJ36" i="9" s="1"/>
  <c r="KJ38" i="9" s="1"/>
  <c r="IE11" i="9"/>
  <c r="IE12" i="9" s="1"/>
  <c r="IE14" i="9" s="1"/>
  <c r="EE23" i="9"/>
  <c r="EE24" i="9" s="1"/>
  <c r="EE26" i="9" s="1"/>
  <c r="GQ23" i="9"/>
  <c r="GQ24" i="9" s="1"/>
  <c r="GQ26" i="9" s="1"/>
  <c r="BB35" i="9"/>
  <c r="BB36" i="9" s="1"/>
  <c r="BB38" i="9" s="1"/>
  <c r="FG35" i="9"/>
  <c r="FG36" i="9" s="1"/>
  <c r="FG38" i="9" s="1"/>
  <c r="JX35" i="9"/>
  <c r="JX36" i="9" s="1"/>
  <c r="JX38" i="9" s="1"/>
  <c r="FS35" i="9"/>
  <c r="FS36" i="9" s="1"/>
  <c r="JT35" i="9"/>
  <c r="JT36" i="9" s="1"/>
  <c r="JT38" i="9" s="1"/>
  <c r="FA35" i="9"/>
  <c r="FA36" i="9" s="1"/>
  <c r="IK35" i="9"/>
  <c r="IK36" i="9" s="1"/>
  <c r="IK38" i="9" s="1"/>
  <c r="AE35" i="9"/>
  <c r="AE36" i="9" s="1"/>
  <c r="AE38" i="9" s="1"/>
  <c r="CZ35" i="9"/>
  <c r="CZ36" i="9" s="1"/>
  <c r="CZ38" i="9" s="1"/>
  <c r="FU35" i="9"/>
  <c r="FU36" i="9" s="1"/>
  <c r="FU38" i="9" s="1"/>
  <c r="IV35" i="9"/>
  <c r="IV36" i="9" s="1"/>
  <c r="IV38" i="9" s="1"/>
  <c r="IG35" i="9"/>
  <c r="IG36" i="9" s="1"/>
  <c r="IG38" i="9" s="1"/>
  <c r="BV35" i="9"/>
  <c r="BV36" i="9" s="1"/>
  <c r="BV38" i="9" s="1"/>
  <c r="EH35" i="9"/>
  <c r="EH36" i="9" s="1"/>
  <c r="EH38" i="9" s="1"/>
  <c r="GT35" i="9"/>
  <c r="GT36" i="9" s="1"/>
  <c r="GT38" i="9" s="1"/>
  <c r="JF35" i="9"/>
  <c r="JF36" i="9"/>
  <c r="IU11" i="9"/>
  <c r="IU12" i="9" s="1"/>
  <c r="IU14" i="9" s="1"/>
  <c r="IY23" i="9"/>
  <c r="IY24" i="9" s="1"/>
  <c r="EZ11" i="9"/>
  <c r="EZ12" i="9" s="1"/>
  <c r="EB35" i="9"/>
  <c r="EB36" i="9" s="1"/>
  <c r="EB38" i="9" s="1"/>
  <c r="EI23" i="9"/>
  <c r="EI24" i="9" s="1"/>
  <c r="EI26" i="9" s="1"/>
  <c r="AS35" i="9"/>
  <c r="AS36" i="9" s="1"/>
  <c r="AS38" i="9" s="1"/>
  <c r="KP35" i="9"/>
  <c r="KP36" i="9" s="1"/>
  <c r="KP38" i="9" s="1"/>
  <c r="ES11" i="9"/>
  <c r="ES12" i="9" s="1"/>
  <c r="ES14" i="9" s="1"/>
  <c r="KL35" i="9"/>
  <c r="KL36" i="9" s="1"/>
  <c r="KL38" i="9" s="1"/>
  <c r="FL23" i="9"/>
  <c r="FL24" i="9" s="1"/>
  <c r="FL26" i="9" s="1"/>
  <c r="HV23" i="9"/>
  <c r="HV24" i="9" s="1"/>
  <c r="HV26" i="9" s="1"/>
  <c r="GJ23" i="9"/>
  <c r="GJ24" i="9" s="1"/>
  <c r="GJ26" i="9" s="1"/>
  <c r="AQ11" i="9"/>
  <c r="AQ12" i="9" s="1"/>
  <c r="AQ14" i="9" s="1"/>
  <c r="GS35" i="9"/>
  <c r="GS36" i="9" s="1"/>
  <c r="GS38" i="9" s="1"/>
  <c r="FM11" i="9"/>
  <c r="FM12" i="9" s="1"/>
  <c r="JK35" i="9"/>
  <c r="JK36" i="9" s="1"/>
  <c r="E22" i="9"/>
  <c r="D23" i="9"/>
  <c r="D24" i="9" s="1"/>
  <c r="D26" i="9" s="1"/>
  <c r="AQ35" i="9"/>
  <c r="AQ36" i="9" s="1"/>
  <c r="AQ38" i="9" s="1"/>
  <c r="GO23" i="9"/>
  <c r="GO24" i="9" s="1"/>
  <c r="GO26" i="9" s="1"/>
  <c r="DG23" i="9"/>
  <c r="DG24" i="9" s="1"/>
  <c r="DG26" i="9" s="1"/>
  <c r="IP11" i="9"/>
  <c r="IP12" i="9" s="1"/>
  <c r="IP14" i="9" s="1"/>
  <c r="DZ25" i="9"/>
  <c r="FX13" i="9"/>
  <c r="GU13" i="9"/>
  <c r="FS25" i="9"/>
  <c r="HI13" i="9"/>
  <c r="EA13" i="9"/>
  <c r="HP13" i="9"/>
  <c r="HQ13" i="9"/>
  <c r="FO13" i="9"/>
  <c r="IO13" i="9"/>
  <c r="HT13" i="9"/>
  <c r="EV13" i="9"/>
  <c r="IZ13" i="9"/>
  <c r="GY25" i="9"/>
  <c r="ET13" i="9"/>
  <c r="IL13" i="9"/>
  <c r="JL25" i="9"/>
  <c r="GP13" i="9"/>
  <c r="JW13" i="9"/>
  <c r="DV25" i="9"/>
  <c r="HF25" i="9"/>
  <c r="EB25" i="9"/>
  <c r="HR25" i="9"/>
  <c r="FY13" i="9"/>
  <c r="IT13" i="9"/>
  <c r="EC25" i="9"/>
  <c r="HU25" i="9"/>
  <c r="ED25" i="9"/>
  <c r="HW25" i="9"/>
  <c r="EU13" i="9"/>
  <c r="HG13" i="9"/>
  <c r="JS13" i="9"/>
  <c r="EP25" i="9"/>
  <c r="HV25" i="9"/>
  <c r="BK53" i="9"/>
  <c r="JB37" i="9"/>
  <c r="EX25" i="9"/>
  <c r="HT25" i="9"/>
  <c r="KO25" i="9"/>
  <c r="GT37" i="9"/>
  <c r="IE37" i="9"/>
  <c r="EI25" i="9"/>
  <c r="GU25" i="9"/>
  <c r="JG25" i="9"/>
  <c r="JD37" i="9"/>
  <c r="FM53" i="9"/>
  <c r="IQ37" i="9"/>
  <c r="IY53" i="9"/>
  <c r="IT37" i="9"/>
  <c r="JB53" i="9"/>
  <c r="JM53" i="9"/>
  <c r="GK37" i="9"/>
  <c r="KE37" i="9"/>
  <c r="HA53" i="9"/>
  <c r="FN37" i="9"/>
  <c r="JG37" i="9"/>
  <c r="DW53" i="9"/>
  <c r="HY37" i="9"/>
  <c r="AZ53" i="9"/>
  <c r="JW53" i="9"/>
  <c r="FR37" i="9"/>
  <c r="IX37" i="9"/>
  <c r="CU53" i="9"/>
  <c r="EB37" i="9"/>
  <c r="GN37" i="9"/>
  <c r="IZ37" i="9"/>
  <c r="AP53" i="9"/>
  <c r="FR53" i="9"/>
  <c r="ES37" i="9"/>
  <c r="HE37" i="9"/>
  <c r="JQ37" i="9"/>
  <c r="BZ53" i="9"/>
  <c r="HN53" i="9"/>
  <c r="AT53" i="9"/>
  <c r="EN53" i="9"/>
  <c r="JL53" i="9"/>
  <c r="CI53" i="9"/>
  <c r="GE53" i="9"/>
  <c r="S53" i="9"/>
  <c r="CN53" i="9"/>
  <c r="FJ53" i="9"/>
  <c r="JF53" i="9"/>
  <c r="BE53" i="9"/>
  <c r="DZ53" i="9"/>
  <c r="HI53" i="9"/>
  <c r="FS53" i="9"/>
  <c r="IE53" i="9"/>
  <c r="KJ53" i="9"/>
  <c r="HD53" i="9"/>
  <c r="JP53" i="9"/>
  <c r="AK53" i="9"/>
  <c r="CW53" i="9"/>
  <c r="FI53" i="9"/>
  <c r="HU53" i="9"/>
  <c r="KG53" i="9"/>
  <c r="HS23" i="9"/>
  <c r="HS24" i="9" s="1"/>
  <c r="HS26" i="9" s="1"/>
  <c r="KF23" i="9"/>
  <c r="KF24" i="9" s="1"/>
  <c r="JQ35" i="9"/>
  <c r="JQ36" i="9" s="1"/>
  <c r="EV11" i="9"/>
  <c r="EV12" i="9" s="1"/>
  <c r="EV14" i="9" s="1"/>
  <c r="CF10" i="9"/>
  <c r="AG10" i="9"/>
  <c r="D35" i="9"/>
  <c r="D36" i="9" s="1"/>
  <c r="D38" i="9" s="1"/>
  <c r="AA22" i="9"/>
  <c r="H34" i="9"/>
  <c r="AD22" i="9"/>
  <c r="U11" i="9"/>
  <c r="U12" i="9" s="1"/>
  <c r="U14" i="9" s="1"/>
  <c r="HC23" i="9"/>
  <c r="HC24" i="9" s="1"/>
  <c r="HC26" i="9" s="1"/>
  <c r="JW35" i="9"/>
  <c r="JW36" i="9" s="1"/>
  <c r="G10" i="9"/>
  <c r="W22" i="9"/>
  <c r="GS11" i="9"/>
  <c r="GS12" i="9" s="1"/>
  <c r="GS14" i="9" s="1"/>
  <c r="HT11" i="9"/>
  <c r="HT12" i="9" s="1"/>
  <c r="HT14" i="9" s="1"/>
  <c r="EQ11" i="9"/>
  <c r="EQ12" i="9" s="1"/>
  <c r="EQ14" i="9" s="1"/>
  <c r="BW22" i="9"/>
  <c r="IZ23" i="9"/>
  <c r="IZ24" i="9" s="1"/>
  <c r="CB34" i="9"/>
  <c r="BX10" i="9"/>
  <c r="BS22" i="9"/>
  <c r="AK34" i="9"/>
  <c r="ED23" i="9"/>
  <c r="ED24" i="9" s="1"/>
  <c r="ED26" i="9" s="1"/>
  <c r="CS22" i="9"/>
  <c r="FV35" i="9"/>
  <c r="FV36" i="9" s="1"/>
  <c r="FV38" i="9" s="1"/>
  <c r="IA35" i="9"/>
  <c r="IA36" i="9" s="1"/>
  <c r="IA38" i="9" s="1"/>
  <c r="HU23" i="9"/>
  <c r="HU24" i="9" s="1"/>
  <c r="HU26" i="9" s="1"/>
  <c r="CW23" i="9"/>
  <c r="CW24" i="9" s="1"/>
  <c r="CW26" i="9" s="1"/>
  <c r="HY11" i="9"/>
  <c r="HY12" i="9" s="1"/>
  <c r="HY14" i="9" s="1"/>
  <c r="FJ11" i="9"/>
  <c r="FJ12" i="9" s="1"/>
  <c r="FJ14" i="9" s="1"/>
  <c r="ER13" i="9"/>
  <c r="IY13" i="9"/>
  <c r="JJ13" i="9"/>
  <c r="IP13" i="9"/>
  <c r="FH13" i="9"/>
  <c r="IS13" i="9"/>
  <c r="KD13" i="9"/>
  <c r="II13" i="9"/>
  <c r="GJ13" i="9"/>
  <c r="HX25" i="9"/>
  <c r="JF13" i="9"/>
  <c r="FE25" i="9"/>
  <c r="EB13" i="9"/>
  <c r="IH13" i="9"/>
  <c r="EH25" i="9"/>
  <c r="EJ25" i="9"/>
  <c r="EV25" i="9"/>
  <c r="FI13" i="9"/>
  <c r="JO13" i="9"/>
  <c r="IZ25" i="9"/>
  <c r="EK25" i="9"/>
  <c r="DW37" i="9"/>
  <c r="FF13" i="9"/>
  <c r="IX13" i="9"/>
  <c r="DX25" i="9"/>
  <c r="FD37" i="9"/>
  <c r="DY25" i="9"/>
  <c r="FE37" i="9"/>
  <c r="DU13" i="9"/>
  <c r="HB13" i="9"/>
  <c r="KG13" i="9"/>
  <c r="EL25" i="9"/>
  <c r="HQ25" i="9"/>
  <c r="EM25" i="9"/>
  <c r="IE25" i="9"/>
  <c r="EF37" i="9"/>
  <c r="GH13" i="9"/>
  <c r="JD13" i="9"/>
  <c r="EN25" i="9"/>
  <c r="IG25" i="9"/>
  <c r="EG37" i="9"/>
  <c r="ER25" i="9"/>
  <c r="IH25" i="9"/>
  <c r="EX37" i="9"/>
  <c r="EW37" i="9"/>
  <c r="FC13" i="9"/>
  <c r="HO13" i="9"/>
  <c r="KA13" i="9"/>
  <c r="FA25" i="9"/>
  <c r="IF25" i="9"/>
  <c r="GL53" i="9"/>
  <c r="BO53" i="9"/>
  <c r="FH25" i="9"/>
  <c r="IC25" i="9"/>
  <c r="IG37" i="9"/>
  <c r="JC37" i="9"/>
  <c r="EQ25" i="9"/>
  <c r="HC25" i="9"/>
  <c r="JO25" i="9"/>
  <c r="KB37" i="9"/>
  <c r="IW53" i="9"/>
  <c r="DY37" i="9"/>
  <c r="JM37" i="9"/>
  <c r="EA37" i="9"/>
  <c r="JN37" i="9"/>
  <c r="JJ53" i="9"/>
  <c r="GY37" i="9"/>
  <c r="V53" i="9"/>
  <c r="ID53" i="9"/>
  <c r="GA37" i="9"/>
  <c r="JU37" i="9"/>
  <c r="EU53" i="9"/>
  <c r="IL37" i="9"/>
  <c r="CB53" i="9"/>
  <c r="GB37" i="9"/>
  <c r="JJ37" i="9"/>
  <c r="DN53" i="9"/>
  <c r="EJ37" i="9"/>
  <c r="GV37" i="9"/>
  <c r="JH37" i="9"/>
  <c r="BF53" i="9"/>
  <c r="GM53" i="9"/>
  <c r="FA37" i="9"/>
  <c r="HM37" i="9"/>
  <c r="JY37" i="9"/>
  <c r="CM53" i="9"/>
  <c r="IL53" i="9"/>
  <c r="BG53" i="9"/>
  <c r="EY53" i="9"/>
  <c r="KB53" i="9"/>
  <c r="CT53" i="9"/>
  <c r="GZ53" i="9"/>
  <c r="AB53" i="9"/>
  <c r="CX53" i="9"/>
  <c r="FU53" i="9"/>
  <c r="JT53" i="9"/>
  <c r="BN53" i="9"/>
  <c r="EI53" i="9"/>
  <c r="HV53" i="9"/>
  <c r="GA53" i="9"/>
  <c r="IM53" i="9"/>
  <c r="KK53" i="9"/>
  <c r="HL53" i="9"/>
  <c r="JX53" i="9"/>
  <c r="AS53" i="9"/>
  <c r="DE53" i="9"/>
  <c r="FQ53" i="9"/>
  <c r="IC53" i="9"/>
  <c r="KO53" i="9"/>
  <c r="GQ35" i="9"/>
  <c r="GQ36" i="9" s="1"/>
  <c r="ID35" i="9"/>
  <c r="ID36" i="9" s="1"/>
  <c r="ID38" i="9" s="1"/>
  <c r="JB35" i="9"/>
  <c r="JB36" i="9" s="1"/>
  <c r="JB38" i="9" s="1"/>
  <c r="EK23" i="9"/>
  <c r="EK24" i="9" s="1"/>
  <c r="EK26" i="9" s="1"/>
  <c r="HM35" i="9"/>
  <c r="HM36" i="9" s="1"/>
  <c r="FP35" i="9"/>
  <c r="FP36" i="9" s="1"/>
  <c r="FP38" i="9" s="1"/>
  <c r="GK23" i="9"/>
  <c r="GK24" i="9" s="1"/>
  <c r="GK26" i="9" s="1"/>
  <c r="FY35" i="9"/>
  <c r="FY36" i="9" s="1"/>
  <c r="FY38" i="9" s="1"/>
  <c r="EH23" i="9"/>
  <c r="EH24" i="9"/>
  <c r="EH26" i="9" s="1"/>
  <c r="HT23" i="9"/>
  <c r="HT24" i="9" s="1"/>
  <c r="DM23" i="9"/>
  <c r="DM24" i="9"/>
  <c r="DM26" i="9" s="1"/>
  <c r="F11" i="9"/>
  <c r="F12" i="9" s="1"/>
  <c r="F14" i="9" s="1"/>
  <c r="CG23" i="9"/>
  <c r="CG24" i="9" s="1"/>
  <c r="CG26" i="9" s="1"/>
  <c r="KM11" i="9"/>
  <c r="KM12" i="9" s="1"/>
  <c r="KM14" i="9" s="1"/>
  <c r="KK35" i="9"/>
  <c r="KK36" i="9" s="1"/>
  <c r="KK38" i="9" s="1"/>
  <c r="JW23" i="9"/>
  <c r="JW24" i="9" s="1"/>
  <c r="JW26" i="9" s="1"/>
  <c r="JA35" i="9"/>
  <c r="JA36" i="9"/>
  <c r="HP11" i="9"/>
  <c r="HP12" i="9" s="1"/>
  <c r="EP35" i="9"/>
  <c r="EP36" i="9" s="1"/>
  <c r="EP38" i="9" s="1"/>
  <c r="BZ23" i="9"/>
  <c r="BZ24" i="9" s="1"/>
  <c r="BZ26" i="9" s="1"/>
  <c r="HF11" i="9"/>
  <c r="HF12" i="9" s="1"/>
  <c r="DR35" i="9"/>
  <c r="DR36" i="9" s="1"/>
  <c r="DR38" i="9" s="1"/>
  <c r="CC23" i="9"/>
  <c r="CC24" i="9" s="1"/>
  <c r="CC26" i="9" s="1"/>
  <c r="ER11" i="9"/>
  <c r="ER12" i="9" s="1"/>
  <c r="ER14" i="9" s="1"/>
  <c r="DM11" i="9"/>
  <c r="DM12" i="9" s="1"/>
  <c r="DM14" i="9" s="1"/>
  <c r="BZ11" i="9"/>
  <c r="BZ12" i="9" s="1"/>
  <c r="BZ14" i="9" s="1"/>
  <c r="CE11" i="9"/>
  <c r="CE12" i="9" s="1"/>
  <c r="CE14" i="9" s="1"/>
  <c r="HJ35" i="9"/>
  <c r="HJ36" i="9" s="1"/>
  <c r="HJ38" i="9" s="1"/>
  <c r="IC35" i="9"/>
  <c r="IC36" i="9"/>
  <c r="DR23" i="9"/>
  <c r="DR24" i="9" s="1"/>
  <c r="DR26" i="9" s="1"/>
  <c r="GP35" i="9"/>
  <c r="GP36" i="9" s="1"/>
  <c r="GP38" i="9" s="1"/>
  <c r="DP35" i="9"/>
  <c r="DP36" i="9" s="1"/>
  <c r="DP38" i="9" s="1"/>
  <c r="FN23" i="9"/>
  <c r="FN24" i="9" s="1"/>
  <c r="FN26" i="9" s="1"/>
  <c r="DB23" i="9"/>
  <c r="DB24" i="9"/>
  <c r="DB26" i="9" s="1"/>
  <c r="FX23" i="9"/>
  <c r="FX24" i="9" s="1"/>
  <c r="FX26" i="9" s="1"/>
  <c r="IM23" i="9"/>
  <c r="IM24" i="9" s="1"/>
  <c r="IM26" i="9" s="1"/>
  <c r="IF35" i="9"/>
  <c r="IF36" i="9" s="1"/>
  <c r="IF38" i="9" s="1"/>
  <c r="FP23" i="9"/>
  <c r="FP24" i="9" s="1"/>
  <c r="FP26" i="9" s="1"/>
  <c r="DC11" i="9"/>
  <c r="DC12" i="9" s="1"/>
  <c r="DC14" i="9" s="1"/>
  <c r="EO11" i="9"/>
  <c r="EO12" i="9" s="1"/>
  <c r="IT11" i="9"/>
  <c r="IT12" i="9" s="1"/>
  <c r="IT14" i="9" s="1"/>
  <c r="HL23" i="9"/>
  <c r="HL24" i="9" s="1"/>
  <c r="HL26" i="9" s="1"/>
  <c r="DT11" i="9"/>
  <c r="DT12" i="9" s="1"/>
  <c r="DT14" i="9" s="1"/>
  <c r="FK35" i="9"/>
  <c r="FK36" i="9"/>
  <c r="GO35" i="9"/>
  <c r="GO36" i="9" s="1"/>
  <c r="GO38" i="9" s="1"/>
  <c r="HE35" i="9"/>
  <c r="HE36" i="9" s="1"/>
  <c r="HE38" i="9" s="1"/>
  <c r="CZ23" i="9"/>
  <c r="CZ24" i="9" s="1"/>
  <c r="CZ26" i="9" s="1"/>
  <c r="FQ35" i="9"/>
  <c r="FQ36" i="9" s="1"/>
  <c r="FQ38" i="9" s="1"/>
  <c r="BL35" i="9"/>
  <c r="BL36" i="9" s="1"/>
  <c r="BL38" i="9" s="1"/>
  <c r="EP23" i="9"/>
  <c r="EP24" i="9" s="1"/>
  <c r="EP26" i="9" s="1"/>
  <c r="JZ23" i="9"/>
  <c r="JZ24" i="9" s="1"/>
  <c r="JZ26" i="9" s="1"/>
  <c r="BU23" i="9"/>
  <c r="DY23" i="9"/>
  <c r="DY24" i="9" s="1"/>
  <c r="DY26" i="9" s="1"/>
  <c r="U23" i="9"/>
  <c r="U24" i="9" s="1"/>
  <c r="U26" i="9" s="1"/>
  <c r="ER23" i="9"/>
  <c r="ER24" i="9" s="1"/>
  <c r="GU11" i="9"/>
  <c r="GU12" i="9" s="1"/>
  <c r="GU14" i="9" s="1"/>
  <c r="V11" i="9"/>
  <c r="V12" i="9" s="1"/>
  <c r="V14" i="9" s="1"/>
  <c r="AU35" i="9"/>
  <c r="AU36" i="9" s="1"/>
  <c r="AU38" i="9" s="1"/>
  <c r="AN35" i="9"/>
  <c r="AN36" i="9" s="1"/>
  <c r="AN38" i="9" s="1"/>
  <c r="JL11" i="9"/>
  <c r="JL12" i="9" s="1"/>
  <c r="JL14" i="9" s="1"/>
  <c r="KC35" i="9"/>
  <c r="KC36" i="9" s="1"/>
  <c r="KC38" i="9" s="1"/>
  <c r="ES23" i="9"/>
  <c r="ES24" i="9" s="1"/>
  <c r="JI11" i="9"/>
  <c r="JI12" i="9" s="1"/>
  <c r="JI14" i="9" s="1"/>
  <c r="AU23" i="9"/>
  <c r="AU24" i="9" s="1"/>
  <c r="AU26" i="9" s="1"/>
  <c r="HW23" i="9"/>
  <c r="HW24" i="9" s="1"/>
  <c r="HW26" i="9" s="1"/>
  <c r="HA11" i="9"/>
  <c r="HA12" i="9" s="1"/>
  <c r="HA14" i="9" s="1"/>
  <c r="GL11" i="9"/>
  <c r="GL12" i="9" s="1"/>
  <c r="GL14" i="9" s="1"/>
  <c r="EU11" i="9"/>
  <c r="EU12" i="9" s="1"/>
  <c r="EU14" i="9" s="1"/>
  <c r="GE35" i="9"/>
  <c r="GE36" i="9" s="1"/>
  <c r="GE38" i="9" s="1"/>
  <c r="GE23" i="9"/>
  <c r="GE24" i="9" s="1"/>
  <c r="GE26" i="9" s="1"/>
  <c r="DM35" i="9"/>
  <c r="DM36" i="9"/>
  <c r="DM38" i="9" s="1"/>
  <c r="IE23" i="9"/>
  <c r="IE24" i="9" s="1"/>
  <c r="IE26" i="9" s="1"/>
  <c r="EN35" i="9"/>
  <c r="EN36" i="9" s="1"/>
  <c r="EN38" i="9" s="1"/>
  <c r="DH11" i="9"/>
  <c r="DH12" i="9" s="1"/>
  <c r="DH14" i="9" s="1"/>
  <c r="FA23" i="9"/>
  <c r="FA24" i="9" s="1"/>
  <c r="FA26" i="9" s="1"/>
  <c r="HD23" i="9"/>
  <c r="HD24" i="9" s="1"/>
  <c r="HD26" i="9" s="1"/>
  <c r="CU35" i="9"/>
  <c r="CU36" i="9" s="1"/>
  <c r="CU38" i="9" s="1"/>
  <c r="EU35" i="9"/>
  <c r="EU36" i="9" s="1"/>
  <c r="EU38" i="9" s="1"/>
  <c r="FT35" i="9"/>
  <c r="FT36" i="9" s="1"/>
  <c r="FT38" i="9" s="1"/>
  <c r="GH35" i="9"/>
  <c r="GH36" i="9"/>
  <c r="GH38" i="9" s="1"/>
  <c r="CH23" i="9"/>
  <c r="CH24" i="9" s="1"/>
  <c r="CH26" i="9" s="1"/>
  <c r="L34" i="9"/>
  <c r="DQ23" i="9"/>
  <c r="DQ24" i="9" s="1"/>
  <c r="DQ26" i="9" s="1"/>
  <c r="AR23" i="9"/>
  <c r="AR24" i="9" s="1"/>
  <c r="AR26" i="9" s="1"/>
  <c r="BX23" i="9"/>
  <c r="BX24" i="9" s="1"/>
  <c r="BX26" i="9" s="1"/>
  <c r="JC23" i="9"/>
  <c r="JC24" i="9" s="1"/>
  <c r="JC26" i="9" s="1"/>
  <c r="AT23" i="9"/>
  <c r="AT24" i="9" s="1"/>
  <c r="AT26" i="9" s="1"/>
  <c r="AZ11" i="9"/>
  <c r="AZ12" i="9" s="1"/>
  <c r="AZ14" i="9" s="1"/>
  <c r="BR11" i="9"/>
  <c r="BR12" i="9" s="1"/>
  <c r="BR14" i="9" s="1"/>
  <c r="IH35" i="9"/>
  <c r="IH36" i="9" s="1"/>
  <c r="IA23" i="9"/>
  <c r="IA24" i="9" s="1"/>
  <c r="IA26" i="9" s="1"/>
  <c r="HM11" i="9"/>
  <c r="HM12" i="9" s="1"/>
  <c r="HM14" i="9" s="1"/>
  <c r="FF11" i="9"/>
  <c r="FF12" i="9" s="1"/>
  <c r="FF14" i="9" s="1"/>
  <c r="II11" i="9"/>
  <c r="II12" i="9" s="1"/>
  <c r="II14" i="9" s="1"/>
  <c r="FO23" i="9"/>
  <c r="FO24" i="9" s="1"/>
  <c r="FO26" i="9" s="1"/>
  <c r="HO23" i="9"/>
  <c r="HO24" i="9" s="1"/>
  <c r="HO26" i="9" s="1"/>
  <c r="AG35" i="9"/>
  <c r="AG36" i="9" s="1"/>
  <c r="AG38" i="9" s="1"/>
  <c r="KO23" i="9"/>
  <c r="KO24" i="9" s="1"/>
  <c r="KO26" i="9" s="1"/>
  <c r="GJ35" i="9"/>
  <c r="GJ36" i="9" s="1"/>
  <c r="GJ38" i="9" s="1"/>
  <c r="JV23" i="9"/>
  <c r="JV24" i="9" s="1"/>
  <c r="JV26" i="9" s="1"/>
  <c r="AM11" i="9"/>
  <c r="AM12" i="9" s="1"/>
  <c r="AM14" i="9" s="1"/>
  <c r="HE13" i="9"/>
  <c r="EG25" i="9"/>
  <c r="JG13" i="9"/>
  <c r="KF13" i="9"/>
  <c r="HH13" i="9"/>
  <c r="DZ13" i="9"/>
  <c r="JQ13" i="9"/>
  <c r="EK13" i="9"/>
  <c r="HX13" i="9"/>
  <c r="FN13" i="9"/>
  <c r="JE13" i="9"/>
  <c r="GL13" i="9"/>
  <c r="HZ25" i="9"/>
  <c r="GE13" i="9"/>
  <c r="KK13" i="9"/>
  <c r="FO37" i="9"/>
  <c r="GS37" i="9"/>
  <c r="HK13" i="9"/>
  <c r="IK25" i="9"/>
  <c r="HC13" i="9"/>
  <c r="GN25" i="9"/>
  <c r="HO25" i="9"/>
  <c r="HP25" i="9"/>
  <c r="FL13" i="9"/>
  <c r="IQ13" i="9"/>
  <c r="HY25" i="9"/>
  <c r="FV25" i="9"/>
  <c r="JN25" i="9"/>
  <c r="ED53" i="9"/>
  <c r="GJ25" i="9"/>
  <c r="KA25" i="9"/>
  <c r="EX13" i="9"/>
  <c r="HS13" i="9"/>
  <c r="KN13" i="9"/>
  <c r="GK25" i="9"/>
  <c r="KB25" i="9"/>
  <c r="GL25" i="9"/>
  <c r="KC25" i="9"/>
  <c r="CH53" i="9"/>
  <c r="DW13" i="9"/>
  <c r="GI13" i="9"/>
  <c r="IU13" i="9"/>
  <c r="GP25" i="9"/>
  <c r="JU25" i="9"/>
  <c r="GU37" i="9"/>
  <c r="EI37" i="9"/>
  <c r="KK37" i="9"/>
  <c r="DW25" i="9"/>
  <c r="GR25" i="9"/>
  <c r="JM25" i="9"/>
  <c r="HX53" i="9"/>
  <c r="FK37" i="9"/>
  <c r="EO53" i="9"/>
  <c r="FW25" i="9"/>
  <c r="II25" i="9"/>
  <c r="GH37" i="9"/>
  <c r="HZ53" i="9"/>
  <c r="GP37" i="9"/>
  <c r="DJ53" i="9"/>
  <c r="GQ37" i="9"/>
  <c r="DK53" i="9"/>
  <c r="EA53" i="9"/>
  <c r="FB37" i="9"/>
  <c r="IU37" i="9"/>
  <c r="DR53" i="9"/>
  <c r="EE37" i="9"/>
  <c r="HX37" i="9"/>
  <c r="AY53" i="9"/>
  <c r="JR53" i="9"/>
  <c r="KI37" i="9"/>
  <c r="FZ53" i="9"/>
  <c r="EL37" i="9"/>
  <c r="HR37" i="9"/>
  <c r="AG53" i="9"/>
  <c r="HQ53" i="9"/>
  <c r="FP37" i="9"/>
  <c r="IB37" i="9"/>
  <c r="KN37" i="9"/>
  <c r="DT53" i="9"/>
  <c r="JZ53" i="9"/>
  <c r="DU37" i="9"/>
  <c r="GG37" i="9"/>
  <c r="IS37" i="9"/>
  <c r="AA53" i="9"/>
  <c r="FC53" i="9"/>
  <c r="I53" i="9"/>
  <c r="DC53" i="9"/>
  <c r="HK53" i="9"/>
  <c r="AX53" i="9"/>
  <c r="EP53" i="9"/>
  <c r="JN53" i="9"/>
  <c r="BM53" i="9"/>
  <c r="EH53" i="9"/>
  <c r="HS53" i="9"/>
  <c r="AD53" i="9"/>
  <c r="CY53" i="9"/>
  <c r="FV53" i="9"/>
  <c r="JU53" i="9"/>
  <c r="HG53" i="9"/>
  <c r="JS53" i="9"/>
  <c r="GF53" i="9"/>
  <c r="IR53" i="9"/>
  <c r="M53" i="9"/>
  <c r="BY53" i="9"/>
  <c r="EK53" i="9"/>
  <c r="GW53" i="9"/>
  <c r="JI53" i="9"/>
  <c r="EE35" i="9"/>
  <c r="EE36" i="9" s="1"/>
  <c r="EE38" i="9" s="1"/>
  <c r="EY35" i="9"/>
  <c r="EY36" i="9" s="1"/>
  <c r="EY38" i="9" s="1"/>
  <c r="BP23" i="9"/>
  <c r="BP24" i="9" s="1"/>
  <c r="BP26" i="9" s="1"/>
  <c r="DV35" i="9"/>
  <c r="DV36" i="9" s="1"/>
  <c r="DV38" i="9" s="1"/>
  <c r="JT23" i="9"/>
  <c r="JT24" i="9" s="1"/>
  <c r="JT26" i="9" s="1"/>
  <c r="CT23" i="9"/>
  <c r="CT24" i="9" s="1"/>
  <c r="CT26" i="9" s="1"/>
  <c r="HP23" i="9"/>
  <c r="HP24" i="9" s="1"/>
  <c r="HP26" i="9" s="1"/>
  <c r="J23" i="9"/>
  <c r="J24" i="9" s="1"/>
  <c r="J26" i="9" s="1"/>
  <c r="AF23" i="9"/>
  <c r="AF24" i="9" s="1"/>
  <c r="AF26" i="9" s="1"/>
  <c r="FH23" i="9"/>
  <c r="FH24" i="9" s="1"/>
  <c r="FH26" i="9" s="1"/>
  <c r="KO11" i="9"/>
  <c r="KO12" i="9" s="1"/>
  <c r="KO14" i="9" s="1"/>
  <c r="AH11" i="9"/>
  <c r="AH12" i="9" s="1"/>
  <c r="AH14" i="9" s="1"/>
  <c r="DN11" i="9"/>
  <c r="DN12" i="9" s="1"/>
  <c r="DN14" i="9" s="1"/>
  <c r="HP35" i="9"/>
  <c r="HP36" i="9" s="1"/>
  <c r="HP38" i="9" s="1"/>
  <c r="HK23" i="9"/>
  <c r="HK24" i="9" s="1"/>
  <c r="HK26" i="9" s="1"/>
  <c r="KH35" i="9"/>
  <c r="KH36" i="9" s="1"/>
  <c r="JU23" i="9"/>
  <c r="JU24" i="9" s="1"/>
  <c r="JU26" i="9" s="1"/>
  <c r="IS35" i="9"/>
  <c r="IS36" i="9" s="1"/>
  <c r="IS38" i="9" s="1"/>
  <c r="EN11" i="9"/>
  <c r="EN12" i="9" s="1"/>
  <c r="HN23" i="9"/>
  <c r="HN24" i="9"/>
  <c r="IR11" i="9"/>
  <c r="IR12" i="9" s="1"/>
  <c r="BW11" i="9"/>
  <c r="BW12" i="9" s="1"/>
  <c r="BW14" i="9" s="1"/>
  <c r="S11" i="9"/>
  <c r="S12" i="9" s="1"/>
  <c r="S14" i="9" s="1"/>
  <c r="KI23" i="9"/>
  <c r="KI24" i="9" s="1"/>
  <c r="KI26" i="9" s="1"/>
  <c r="DO35" i="9"/>
  <c r="DO36" i="9" s="1"/>
  <c r="DO38" i="9" s="1"/>
  <c r="ED35" i="9"/>
  <c r="ED36" i="9" s="1"/>
  <c r="ED38" i="9" s="1"/>
  <c r="EL35" i="9"/>
  <c r="EL36" i="9" s="1"/>
  <c r="EL38" i="9" s="1"/>
  <c r="AW23" i="9"/>
  <c r="AW24" i="9" s="1"/>
  <c r="AW26" i="9" s="1"/>
  <c r="CW35" i="9"/>
  <c r="CW36" i="9" s="1"/>
  <c r="CW38" i="9" s="1"/>
  <c r="BV23" i="9"/>
  <c r="BV24" i="9" s="1"/>
  <c r="BV26" i="9" s="1"/>
  <c r="II35" i="9"/>
  <c r="II36" i="9" s="1"/>
  <c r="KP11" i="9"/>
  <c r="KP12" i="9" s="1"/>
  <c r="KP14" i="9" s="1"/>
  <c r="JO11" i="9"/>
  <c r="JO12" i="9" s="1"/>
  <c r="JO14" i="9" s="1"/>
  <c r="CD11" i="9"/>
  <c r="CD12" i="9" s="1"/>
  <c r="CD14" i="9" s="1"/>
  <c r="DO23" i="9"/>
  <c r="DO24" i="9" s="1"/>
  <c r="DO26" i="9" s="1"/>
  <c r="GM11" i="9"/>
  <c r="GM12" i="9" s="1"/>
  <c r="GM14" i="9" s="1"/>
  <c r="BS11" i="9"/>
  <c r="BS12" i="9" s="1"/>
  <c r="BS14" i="9" s="1"/>
  <c r="FO11" i="9"/>
  <c r="FO12" i="9" s="1"/>
  <c r="FO14" i="9" s="1"/>
  <c r="CY35" i="9"/>
  <c r="CY36" i="9" s="1"/>
  <c r="CY38" i="9" s="1"/>
  <c r="DI35" i="9"/>
  <c r="DI36" i="9" s="1"/>
  <c r="DI38" i="9" s="1"/>
  <c r="DN35" i="9"/>
  <c r="DN36" i="9" s="1"/>
  <c r="DN38" i="9" s="1"/>
  <c r="AE23" i="9"/>
  <c r="AE24" i="9" s="1"/>
  <c r="AE26" i="9" s="1"/>
  <c r="EC35" i="9"/>
  <c r="EC36" i="9"/>
  <c r="KE11" i="9"/>
  <c r="KE12" i="9" s="1"/>
  <c r="KE14" i="9" s="1"/>
  <c r="IL11" i="9"/>
  <c r="IL12" i="9" s="1"/>
  <c r="HQ11" i="9"/>
  <c r="HQ12" i="9" s="1"/>
  <c r="HQ14" i="9" s="1"/>
  <c r="JR35" i="9"/>
  <c r="JR36" i="9" s="1"/>
  <c r="JR38" i="9" s="1"/>
  <c r="JG23" i="9"/>
  <c r="JG24" i="9" s="1"/>
  <c r="JG26" i="9" s="1"/>
  <c r="IB35" i="9"/>
  <c r="IB36" i="9"/>
  <c r="GZ11" i="9"/>
  <c r="GZ12" i="9" s="1"/>
  <c r="GZ14" i="9" s="1"/>
  <c r="CT35" i="9"/>
  <c r="CT36" i="9" s="1"/>
  <c r="CT38" i="9" s="1"/>
  <c r="BB23" i="9"/>
  <c r="BB24" i="9" s="1"/>
  <c r="BB26" i="9" s="1"/>
  <c r="N35" i="9"/>
  <c r="N36" i="9" s="1"/>
  <c r="N38" i="9" s="1"/>
  <c r="DZ11" i="9"/>
  <c r="DZ12" i="9"/>
  <c r="CN11" i="9"/>
  <c r="CN12" i="9"/>
  <c r="CN14" i="9" s="1"/>
  <c r="AT11" i="9"/>
  <c r="AT12" i="9" s="1"/>
  <c r="AT14" i="9" s="1"/>
  <c r="DJ35" i="9"/>
  <c r="DJ36" i="9" s="1"/>
  <c r="DJ38" i="9" s="1"/>
  <c r="DS23" i="9"/>
  <c r="DS24" i="9" s="1"/>
  <c r="DS26" i="9" s="1"/>
  <c r="EV35" i="9"/>
  <c r="EV36" i="9" s="1"/>
  <c r="EV38" i="9" s="1"/>
  <c r="EZ23" i="9"/>
  <c r="EZ24" i="9" s="1"/>
  <c r="IR35" i="9"/>
  <c r="IR36" i="9" s="1"/>
  <c r="HH35" i="9"/>
  <c r="HH36" i="9" s="1"/>
  <c r="HH38" i="9" s="1"/>
  <c r="EA11" i="9"/>
  <c r="EA12" i="9" s="1"/>
  <c r="EA14" i="9" s="1"/>
  <c r="HR23" i="9"/>
  <c r="HR24" i="9" s="1"/>
  <c r="HR26" i="9" s="1"/>
  <c r="IM11" i="9"/>
  <c r="IM12" i="9" s="1"/>
  <c r="GH11" i="9"/>
  <c r="GH12" i="9" s="1"/>
  <c r="GH14" i="9" s="1"/>
  <c r="GC11" i="9"/>
  <c r="GC12" i="9" s="1"/>
  <c r="CI35" i="9"/>
  <c r="CI36" i="9" s="1"/>
  <c r="CI38" i="9" s="1"/>
  <c r="CN35" i="9"/>
  <c r="CN36" i="9"/>
  <c r="CN38" i="9" s="1"/>
  <c r="CP35" i="9"/>
  <c r="CP36" i="9" s="1"/>
  <c r="CP38" i="9" s="1"/>
  <c r="M23" i="9"/>
  <c r="M24" i="9" s="1"/>
  <c r="M26" i="9" s="1"/>
  <c r="HA23" i="9"/>
  <c r="HA24" i="9" s="1"/>
  <c r="HA26" i="9" s="1"/>
  <c r="Z23" i="9"/>
  <c r="Z24" i="9" s="1"/>
  <c r="Z26" i="9" s="1"/>
  <c r="DX23" i="9"/>
  <c r="DX24" i="9" s="1"/>
  <c r="DX26" i="9" s="1"/>
  <c r="Y35" i="9"/>
  <c r="Y36" i="9" s="1"/>
  <c r="Y38" i="9" s="1"/>
  <c r="JA11" i="9"/>
  <c r="JA12" i="9" s="1"/>
  <c r="JA14" i="9" s="1"/>
  <c r="JE11" i="9"/>
  <c r="JE12" i="9" s="1"/>
  <c r="JE14" i="9" s="1"/>
  <c r="FZ11" i="9"/>
  <c r="FZ12" i="9" s="1"/>
  <c r="FZ14" i="9" s="1"/>
  <c r="JS11" i="9"/>
  <c r="JS12" i="9" s="1"/>
  <c r="FM35" i="9"/>
  <c r="FM36" i="9" s="1"/>
  <c r="FM38" i="9" s="1"/>
  <c r="DC23" i="9"/>
  <c r="DC24" i="9" s="1"/>
  <c r="DC26" i="9" s="1"/>
  <c r="DL11" i="9"/>
  <c r="DL12" i="9" s="1"/>
  <c r="DL14" i="9" s="1"/>
  <c r="AO11" i="9"/>
  <c r="AO12" i="9" s="1"/>
  <c r="AO14" i="9" s="1"/>
  <c r="JN35" i="9"/>
  <c r="JN36" i="9" s="1"/>
  <c r="JN38" i="9" s="1"/>
  <c r="ET23" i="9"/>
  <c r="ET24" i="9" s="1"/>
  <c r="ET26" i="9" s="1"/>
  <c r="HZ35" i="9"/>
  <c r="HZ36" i="9" s="1"/>
  <c r="GU35" i="9"/>
  <c r="GU36" i="9" s="1"/>
  <c r="GU38" i="9" s="1"/>
  <c r="GX23" i="9"/>
  <c r="GX24" i="9" s="1"/>
  <c r="GX26" i="9" s="1"/>
  <c r="EW23" i="9"/>
  <c r="EW24" i="9" s="1"/>
  <c r="EW26" i="9" s="1"/>
  <c r="IW23" i="9"/>
  <c r="IW24" i="9" s="1"/>
  <c r="IW26" i="9" s="1"/>
  <c r="EJ23" i="9"/>
  <c r="EJ24" i="9"/>
  <c r="EJ26" i="9" s="1"/>
  <c r="KJ13" i="9"/>
  <c r="ES13" i="9"/>
  <c r="IF13" i="9"/>
  <c r="FE13" i="9"/>
  <c r="FJ13" i="9"/>
  <c r="IW13" i="9"/>
  <c r="GG13" i="9"/>
  <c r="HD25" i="9"/>
  <c r="ED13" i="9"/>
  <c r="JT13" i="9"/>
  <c r="HD13" i="9"/>
  <c r="GT13" i="9"/>
  <c r="DS13" i="9"/>
  <c r="HY13" i="9"/>
  <c r="JJ25" i="9"/>
  <c r="DX13" i="9"/>
  <c r="HN13" i="9"/>
  <c r="HN25" i="9"/>
  <c r="IN25" i="9"/>
  <c r="IV25" i="9"/>
  <c r="FV13" i="9"/>
  <c r="JA13" i="9"/>
  <c r="IW25" i="9"/>
  <c r="GH25" i="9"/>
  <c r="JZ25" i="9"/>
  <c r="GV25" i="9"/>
  <c r="KL25" i="9"/>
  <c r="FG13" i="9"/>
  <c r="IB13" i="9"/>
  <c r="GW25" i="9"/>
  <c r="KN25" i="9"/>
  <c r="GX25" i="9"/>
  <c r="KP25" i="9"/>
  <c r="EE13" i="9"/>
  <c r="GQ13" i="9"/>
  <c r="JC13" i="9"/>
  <c r="DU25" i="9"/>
  <c r="GZ25" i="9"/>
  <c r="KG25" i="9"/>
  <c r="IP37" i="9"/>
  <c r="FU37" i="9"/>
  <c r="BL53" i="9"/>
  <c r="EF25" i="9"/>
  <c r="HA25" i="9"/>
  <c r="JV25" i="9"/>
  <c r="EU37" i="9"/>
  <c r="GE37" i="9"/>
  <c r="HY53" i="9"/>
  <c r="DS25" i="9"/>
  <c r="GE25" i="9"/>
  <c r="IQ25" i="9"/>
  <c r="HC37" i="9"/>
  <c r="AO53" i="9"/>
  <c r="HF37" i="9"/>
  <c r="EW53" i="9"/>
  <c r="HG37" i="9"/>
  <c r="FE53" i="9"/>
  <c r="FH53" i="9"/>
  <c r="FM37" i="9"/>
  <c r="JF37" i="9"/>
  <c r="ET53" i="9"/>
  <c r="EP37" i="9"/>
  <c r="II37" i="9"/>
  <c r="BT53" i="9"/>
  <c r="HA37" i="9"/>
  <c r="D53" i="9"/>
  <c r="HC53" i="9"/>
  <c r="EV37" i="9"/>
  <c r="ID37" i="9"/>
  <c r="BB53" i="9"/>
  <c r="IP53" i="9"/>
  <c r="FX37" i="9"/>
  <c r="IJ37" i="9"/>
  <c r="H53" i="9"/>
  <c r="EJ53" i="9"/>
  <c r="EC37" i="9"/>
  <c r="GO37" i="9"/>
  <c r="JA37" i="9"/>
  <c r="AQ53" i="9"/>
  <c r="FT53" i="9"/>
  <c r="W53" i="9"/>
  <c r="DO53" i="9"/>
  <c r="IA53" i="9"/>
  <c r="BJ53" i="9"/>
  <c r="FD53" i="9"/>
  <c r="KD53" i="9"/>
  <c r="BV53" i="9"/>
  <c r="EQ53" i="9"/>
  <c r="IG53" i="9"/>
  <c r="AM53" i="9"/>
  <c r="DH53" i="9"/>
  <c r="GJ53" i="9"/>
  <c r="KH53" i="9"/>
  <c r="HO53" i="9"/>
  <c r="KA53" i="9"/>
  <c r="GN53" i="9"/>
  <c r="IZ53" i="9"/>
  <c r="U53" i="9"/>
  <c r="CG53" i="9"/>
  <c r="ES53" i="9"/>
  <c r="HE53" i="9"/>
  <c r="JQ53" i="9"/>
  <c r="BS35" i="9"/>
  <c r="BS36" i="9" s="1"/>
  <c r="BS38" i="9" s="1"/>
  <c r="BT35" i="9"/>
  <c r="BT36" i="9" s="1"/>
  <c r="BT38" i="9" s="1"/>
  <c r="BR34" i="9"/>
  <c r="KJ11" i="9"/>
  <c r="KJ12" i="9" s="1"/>
  <c r="KJ14" i="9" s="1"/>
  <c r="GB23" i="9"/>
  <c r="GB24" i="9" s="1"/>
  <c r="GB26" i="9" s="1"/>
  <c r="KK11" i="9"/>
  <c r="KK12" i="9" s="1"/>
  <c r="CR22" i="9"/>
  <c r="IB11" i="9"/>
  <c r="IB12" i="9" s="1"/>
  <c r="IB14" i="9" s="1"/>
  <c r="IC11" i="9"/>
  <c r="IC12" i="9" s="1"/>
  <c r="IC14" i="9" s="1"/>
  <c r="GA23" i="9"/>
  <c r="GA24" i="9" s="1"/>
  <c r="GA26" i="9" s="1"/>
  <c r="ET35" i="9"/>
  <c r="ET36" i="9"/>
  <c r="EY23" i="9"/>
  <c r="EY24" i="9" s="1"/>
  <c r="EY26" i="9" s="1"/>
  <c r="BQ34" i="9"/>
  <c r="GR35" i="9"/>
  <c r="GR36" i="9" s="1"/>
  <c r="GR38" i="9" s="1"/>
  <c r="GP23" i="9"/>
  <c r="GP24" i="9" s="1"/>
  <c r="GP26" i="9" s="1"/>
  <c r="AJ35" i="9"/>
  <c r="AJ36" i="9" s="1"/>
  <c r="AJ38" i="9" s="1"/>
  <c r="CB11" i="9"/>
  <c r="CB12" i="9" s="1"/>
  <c r="CB14" i="9" s="1"/>
  <c r="CP23" i="9"/>
  <c r="CP24" i="9" s="1"/>
  <c r="CP26" i="9" s="1"/>
  <c r="N23" i="9"/>
  <c r="N24" i="9" s="1"/>
  <c r="N26" i="9" s="1"/>
  <c r="IX11" i="9"/>
  <c r="IX12" i="9" s="1"/>
  <c r="IX14" i="9" s="1"/>
  <c r="CH10" i="9"/>
  <c r="BC35" i="9"/>
  <c r="BC36" i="9" s="1"/>
  <c r="BC38" i="9" s="1"/>
  <c r="AT35" i="9"/>
  <c r="AT36" i="9" s="1"/>
  <c r="AT38" i="9" s="1"/>
  <c r="JT11" i="9"/>
  <c r="JT12" i="9" s="1"/>
  <c r="JT14" i="9" s="1"/>
  <c r="F35" i="9"/>
  <c r="F36" i="9" s="1"/>
  <c r="F38" i="9" s="1"/>
  <c r="FE23" i="9"/>
  <c r="FE24" i="9" s="1"/>
  <c r="BL22" i="9"/>
  <c r="HK11" i="9"/>
  <c r="HK12" i="9" s="1"/>
  <c r="HK14" i="9" s="1"/>
  <c r="GY11" i="9"/>
  <c r="GY12" i="9" s="1"/>
  <c r="GY14" i="9" s="1"/>
  <c r="FG11" i="9"/>
  <c r="FG12" i="9" s="1"/>
  <c r="FG14" i="9" s="1"/>
  <c r="KH11" i="9"/>
  <c r="KH12" i="9" s="1"/>
  <c r="BA11" i="9"/>
  <c r="BA12" i="9" s="1"/>
  <c r="BA14" i="9" s="1"/>
  <c r="EC11" i="9"/>
  <c r="EC12" i="9"/>
  <c r="FQ11" i="9"/>
  <c r="FQ12" i="9" s="1"/>
  <c r="FQ14" i="9" s="1"/>
  <c r="AX11" i="9"/>
  <c r="AX12" i="9" s="1"/>
  <c r="AX14" i="9" s="1"/>
  <c r="JU11" i="9"/>
  <c r="JU12" i="9" s="1"/>
  <c r="JU14" i="9" s="1"/>
  <c r="GT11" i="9"/>
  <c r="GT12" i="9"/>
  <c r="JD11" i="9"/>
  <c r="JD12" i="9" s="1"/>
  <c r="JD14" i="9" s="1"/>
  <c r="JE35" i="9"/>
  <c r="JE36" i="9" s="1"/>
  <c r="JE38" i="9" s="1"/>
  <c r="AG22" i="9"/>
  <c r="GP11" i="9"/>
  <c r="GP12" i="9" s="1"/>
  <c r="GP14" i="9" s="1"/>
  <c r="FY11" i="9"/>
  <c r="FY12" i="9" s="1"/>
  <c r="FY14" i="9" s="1"/>
  <c r="EH11" i="9"/>
  <c r="EH12" i="9" s="1"/>
  <c r="JM23" i="9"/>
  <c r="JM24" i="9"/>
  <c r="JM26" i="9" s="1"/>
  <c r="GW35" i="9"/>
  <c r="GW36" i="9" s="1"/>
  <c r="GU23" i="9"/>
  <c r="GU24" i="9" s="1"/>
  <c r="GU26" i="9" s="1"/>
  <c r="EJ35" i="9"/>
  <c r="EJ36" i="9" s="1"/>
  <c r="EJ38" i="9" s="1"/>
  <c r="JL35" i="9"/>
  <c r="JL36" i="9" s="1"/>
  <c r="JL38" i="9" s="1"/>
  <c r="JA23" i="9"/>
  <c r="JA24" i="9" s="1"/>
  <c r="GM35" i="9"/>
  <c r="GM36" i="9" s="1"/>
  <c r="DX11" i="9"/>
  <c r="DX12" i="9" s="1"/>
  <c r="DX14" i="9" s="1"/>
  <c r="GH23" i="9"/>
  <c r="GH24" i="9"/>
  <c r="GH26" i="9" s="1"/>
  <c r="BE11" i="9"/>
  <c r="BE12" i="9" s="1"/>
  <c r="BE14" i="9" s="1"/>
  <c r="KA35" i="9"/>
  <c r="KA36" i="9" s="1"/>
  <c r="KA38" i="9" s="1"/>
  <c r="AO34" i="9"/>
  <c r="BG23" i="9"/>
  <c r="BG24" i="9" s="1"/>
  <c r="BG26" i="9" s="1"/>
  <c r="BD35" i="9"/>
  <c r="BD36" i="9" s="1"/>
  <c r="BD38" i="9" s="1"/>
  <c r="BT23" i="9"/>
  <c r="BT24" i="9" s="1"/>
  <c r="BT26" i="9" s="1"/>
  <c r="IJ35" i="9"/>
  <c r="IJ36" i="9" s="1"/>
  <c r="IJ38" i="9" s="1"/>
  <c r="AV35" i="9"/>
  <c r="AV36" i="9" s="1"/>
  <c r="AV38" i="9" s="1"/>
  <c r="BF11" i="9"/>
  <c r="BF12" i="9" s="1"/>
  <c r="BF14" i="9" s="1"/>
  <c r="AB23" i="9"/>
  <c r="AB24" i="9" s="1"/>
  <c r="AB26" i="9" s="1"/>
  <c r="EK11" i="9"/>
  <c r="EK12" i="9" s="1"/>
  <c r="EK14" i="9" s="1"/>
  <c r="BY11" i="9"/>
  <c r="BY12" i="9" s="1"/>
  <c r="BY14" i="9" s="1"/>
  <c r="W35" i="9"/>
  <c r="I35" i="9"/>
  <c r="I36" i="9" s="1"/>
  <c r="I38" i="9" s="1"/>
  <c r="IN11" i="9"/>
  <c r="IN12" i="9" s="1"/>
  <c r="HI35" i="9"/>
  <c r="HI36" i="9" s="1"/>
  <c r="HI38" i="9" s="1"/>
  <c r="IH11" i="9"/>
  <c r="IH12" i="9" s="1"/>
  <c r="IH14" i="9" s="1"/>
  <c r="JZ35" i="9"/>
  <c r="JZ36" i="9" s="1"/>
  <c r="JZ38" i="9" s="1"/>
  <c r="J11" i="9"/>
  <c r="J12" i="9" s="1"/>
  <c r="J14" i="9" s="1"/>
  <c r="CR35" i="9"/>
  <c r="CR36" i="9" s="1"/>
  <c r="CR38" i="9" s="1"/>
  <c r="R11" i="9"/>
  <c r="R12" i="9" s="1"/>
  <c r="R14" i="9" s="1"/>
  <c r="EF23" i="9"/>
  <c r="EF24" i="9" s="1"/>
  <c r="EF26" i="9" s="1"/>
  <c r="FW35" i="9"/>
  <c r="FW36" i="9" s="1"/>
  <c r="FW38" i="9" s="1"/>
  <c r="BY22" i="9"/>
  <c r="KG23" i="9"/>
  <c r="KG24" i="9" s="1"/>
  <c r="KG26" i="9" s="1"/>
  <c r="ID23" i="9"/>
  <c r="ID24" i="9" s="1"/>
  <c r="ID26" i="9" s="1"/>
  <c r="BA23" i="9"/>
  <c r="BA24" i="9" s="1"/>
  <c r="BA26" i="9" s="1"/>
  <c r="HE23" i="9"/>
  <c r="HE24" i="9" s="1"/>
  <c r="HE26" i="9" s="1"/>
  <c r="IC13" i="9"/>
  <c r="JN13" i="9"/>
  <c r="GC13" i="9"/>
  <c r="JH25" i="9"/>
  <c r="GN13" i="9"/>
  <c r="KC13" i="9"/>
  <c r="GX13" i="9"/>
  <c r="EY13" i="9"/>
  <c r="KM13" i="9"/>
  <c r="HU13" i="9"/>
  <c r="HF13" i="9"/>
  <c r="EH13" i="9"/>
  <c r="IN13" i="9"/>
  <c r="EW25" i="9"/>
  <c r="KJ25" i="9"/>
  <c r="EI13" i="9"/>
  <c r="HZ13" i="9"/>
  <c r="IM25" i="9"/>
  <c r="JS25" i="9"/>
  <c r="JX25" i="9"/>
  <c r="GF13" i="9"/>
  <c r="JL13" i="9"/>
  <c r="JT25" i="9"/>
  <c r="GT25" i="9"/>
  <c r="KK25" i="9"/>
  <c r="HG25" i="9"/>
  <c r="FP13" i="9"/>
  <c r="IK13" i="9"/>
  <c r="HH25" i="9"/>
  <c r="HI25" i="9"/>
  <c r="EM13" i="9"/>
  <c r="GY13" i="9"/>
  <c r="JK13" i="9"/>
  <c r="EE25" i="9"/>
  <c r="HL25" i="9"/>
  <c r="KM37" i="9"/>
  <c r="HI37" i="9"/>
  <c r="GB53" i="9"/>
  <c r="EO25" i="9"/>
  <c r="HJ25" i="9"/>
  <c r="KF25" i="9"/>
  <c r="FT37" i="9"/>
  <c r="HB37" i="9"/>
  <c r="EA25" i="9"/>
  <c r="GM25" i="9"/>
  <c r="IY25" i="9"/>
  <c r="IF37" i="9"/>
  <c r="DA53" i="9"/>
  <c r="HZ37" i="9"/>
  <c r="GR53" i="9"/>
  <c r="IA37" i="9"/>
  <c r="GX53" i="9"/>
  <c r="HR53" i="9"/>
  <c r="FZ37" i="9"/>
  <c r="JS37" i="9"/>
  <c r="FO53" i="9"/>
  <c r="FC37" i="9"/>
  <c r="IV37" i="9"/>
  <c r="CV53" i="9"/>
  <c r="HN37" i="9"/>
  <c r="AE53" i="9"/>
  <c r="IO53" i="9"/>
  <c r="FF37" i="9"/>
  <c r="IN37" i="9"/>
  <c r="CA53" i="9"/>
  <c r="JV53" i="9"/>
  <c r="DT37" i="9"/>
  <c r="GF37" i="9"/>
  <c r="IR37" i="9"/>
  <c r="Z53" i="9"/>
  <c r="EX53" i="9"/>
  <c r="EK37" i="9"/>
  <c r="GW37" i="9"/>
  <c r="JI37" i="9"/>
  <c r="BH53" i="9"/>
  <c r="GP53" i="9"/>
  <c r="AH53" i="9"/>
  <c r="EB53" i="9"/>
  <c r="IQ53" i="9"/>
  <c r="BU53" i="9"/>
  <c r="FP53" i="9"/>
  <c r="J53" i="9"/>
  <c r="CE53" i="9"/>
  <c r="EZ53" i="9"/>
  <c r="IT53" i="9"/>
  <c r="AV53" i="9"/>
  <c r="DQ53" i="9"/>
  <c r="GU53" i="9"/>
  <c r="FK53" i="9"/>
  <c r="HW53" i="9"/>
  <c r="KI53" i="9"/>
  <c r="GV53" i="9"/>
  <c r="JH53" i="9"/>
  <c r="AC53" i="9"/>
  <c r="CO53" i="9"/>
  <c r="FA53" i="9"/>
  <c r="HM53" i="9"/>
  <c r="KE23" i="9"/>
  <c r="KE24" i="9" s="1"/>
  <c r="KE26" i="9" s="1"/>
  <c r="HX11" i="9"/>
  <c r="HX12" i="9" s="1"/>
  <c r="HX14" i="9" s="1"/>
  <c r="CK22" i="9"/>
  <c r="CL11" i="9"/>
  <c r="CL12" i="9" s="1"/>
  <c r="CL14" i="9" s="1"/>
  <c r="BY35" i="9"/>
  <c r="BY36" i="9" s="1"/>
  <c r="BY38" i="9" s="1"/>
  <c r="DJ23" i="9"/>
  <c r="DJ24" i="9" s="1"/>
  <c r="DJ26" i="9" s="1"/>
  <c r="P11" i="9"/>
  <c r="P12" i="9" s="1"/>
  <c r="P14" i="9" s="1"/>
  <c r="DT23" i="9"/>
  <c r="DT24" i="9"/>
  <c r="DT26" i="9" s="1"/>
  <c r="KB35" i="9"/>
  <c r="KB36" i="9" s="1"/>
  <c r="KB38" i="9" s="1"/>
  <c r="HH11" i="9"/>
  <c r="HH12" i="9" s="1"/>
  <c r="HH14" i="9" s="1"/>
  <c r="BM23" i="9"/>
  <c r="BM24" i="9" s="1"/>
  <c r="BM26" i="9" s="1"/>
  <c r="BC23" i="9"/>
  <c r="BC24" i="9" s="1"/>
  <c r="BC26" i="9" s="1"/>
  <c r="BU11" i="9"/>
  <c r="BU12" i="9" s="1"/>
  <c r="BU14" i="9" s="1"/>
  <c r="HR11" i="9"/>
  <c r="HR12" i="9" s="1"/>
  <c r="JY11" i="9"/>
  <c r="JY12" i="9" s="1"/>
  <c r="JY14" i="9" s="1"/>
  <c r="FG23" i="9"/>
  <c r="FG24" i="9" s="1"/>
  <c r="GZ23" i="9"/>
  <c r="GZ24" i="9" s="1"/>
  <c r="GZ26" i="9" s="1"/>
  <c r="CJ10" i="9"/>
  <c r="BD23" i="9"/>
  <c r="BD24" i="9" s="1"/>
  <c r="BD26" i="9" s="1"/>
  <c r="GI35" i="9"/>
  <c r="GI36" i="9" s="1"/>
  <c r="GI38" i="9" s="1"/>
  <c r="IP35" i="9"/>
  <c r="IP36" i="9" s="1"/>
  <c r="IP38" i="9" s="1"/>
  <c r="EB23" i="9"/>
  <c r="EB24" i="9" s="1"/>
  <c r="EB26" i="9" s="1"/>
  <c r="GT23" i="9"/>
  <c r="GT24" i="9" s="1"/>
  <c r="GT26" i="9" s="1"/>
  <c r="CJ22" i="9"/>
  <c r="KL23" i="9"/>
  <c r="KL24" i="9" s="1"/>
  <c r="KL26" i="9" s="1"/>
  <c r="AK23" i="9"/>
  <c r="AK24" i="9" s="1"/>
  <c r="AK26" i="9" s="1"/>
  <c r="AJ22" i="9"/>
  <c r="EK35" i="9"/>
  <c r="EK36" i="9" s="1"/>
  <c r="EK38" i="9" s="1"/>
  <c r="BE34" i="9"/>
  <c r="GF23" i="9"/>
  <c r="GF24" i="9" s="1"/>
  <c r="GF26" i="9" s="1"/>
  <c r="E35" i="9"/>
  <c r="E36" i="9" s="1"/>
  <c r="E38" i="9" s="1"/>
  <c r="BT11" i="9"/>
  <c r="BT12" i="9"/>
  <c r="BT14" i="9" s="1"/>
  <c r="CA22" i="9"/>
  <c r="AL34" i="9"/>
  <c r="IK11" i="9"/>
  <c r="IK12" i="9" s="1"/>
  <c r="IK14" i="9" s="1"/>
  <c r="DE10" i="9"/>
  <c r="CV11" i="9"/>
  <c r="CV12" i="9" s="1"/>
  <c r="CV14" i="9" s="1"/>
  <c r="FK23" i="9"/>
  <c r="FK24" i="9" s="1"/>
  <c r="FK26" i="9" s="1"/>
  <c r="HQ23" i="9"/>
  <c r="HQ24" i="9" s="1"/>
  <c r="HQ26" i="9" s="1"/>
  <c r="EA23" i="9"/>
  <c r="EA24" i="9" s="1"/>
  <c r="EA26" i="9" s="1"/>
  <c r="JC11" i="9"/>
  <c r="JC12" i="9" s="1"/>
  <c r="IE35" i="9"/>
  <c r="IE36" i="9" s="1"/>
  <c r="IE38" i="9" s="1"/>
  <c r="KE35" i="9"/>
  <c r="KE36" i="9"/>
  <c r="KE38" i="9" s="1"/>
  <c r="K23" i="9"/>
  <c r="K24" i="9" s="1"/>
  <c r="K26" i="9" s="1"/>
  <c r="I22" i="9"/>
  <c r="CF34" i="9"/>
  <c r="HH23" i="9"/>
  <c r="HH24" i="9" s="1"/>
  <c r="HH26" i="9" s="1"/>
  <c r="C10" i="9"/>
  <c r="BP10" i="9"/>
  <c r="CQ34" i="9"/>
  <c r="DC35" i="9"/>
  <c r="DC36" i="9" s="1"/>
  <c r="DC38" i="9" s="1"/>
  <c r="V23" i="9"/>
  <c r="V24" i="9" s="1"/>
  <c r="V26" i="9" s="1"/>
  <c r="EY11" i="9"/>
  <c r="EY12" i="9" s="1"/>
  <c r="EY14" i="9" s="1"/>
  <c r="DA34" i="9"/>
  <c r="J34" i="9"/>
  <c r="CO11" i="9"/>
  <c r="CO12" i="9" s="1"/>
  <c r="CO14" i="9" s="1"/>
  <c r="IA13" i="9"/>
  <c r="DY13" i="9"/>
  <c r="JP13" i="9"/>
  <c r="GM13" i="9"/>
  <c r="JZ13" i="9"/>
  <c r="EL13" i="9"/>
  <c r="JB13" i="9"/>
  <c r="GZ13" i="9"/>
  <c r="EJ13" i="9"/>
  <c r="JY13" i="9"/>
  <c r="HE25" i="9"/>
  <c r="EP13" i="9"/>
  <c r="IV13" i="9"/>
  <c r="GB25" i="9"/>
  <c r="GD25" i="9"/>
  <c r="GS25" i="9"/>
  <c r="FW13" i="9"/>
  <c r="KB13" i="9"/>
  <c r="HV37" i="9"/>
  <c r="FI25" i="9"/>
  <c r="JW37" i="9"/>
  <c r="FR13" i="9"/>
  <c r="JI13" i="9"/>
  <c r="DT25" i="9"/>
  <c r="EY37" i="9"/>
  <c r="ET25" i="9"/>
  <c r="KL37" i="9"/>
  <c r="EU25" i="9"/>
  <c r="DI53" i="9"/>
  <c r="EG13" i="9"/>
  <c r="HL13" i="9"/>
  <c r="FF25" i="9"/>
  <c r="HQ37" i="9"/>
  <c r="ID25" i="9"/>
  <c r="DX37" i="9"/>
  <c r="EZ25" i="9"/>
  <c r="IR25" i="9"/>
  <c r="GI37" i="9"/>
  <c r="DV13" i="9"/>
  <c r="GR13" i="9"/>
  <c r="JM13" i="9"/>
  <c r="FC25" i="9"/>
  <c r="GM37" i="9"/>
  <c r="JE53" i="9"/>
  <c r="N53" i="9"/>
  <c r="HP53" i="9"/>
  <c r="DG53" i="9"/>
  <c r="GH53" i="9"/>
  <c r="KE53" i="9"/>
  <c r="BW53" i="9"/>
  <c r="ER53" i="9"/>
  <c r="IH53" i="9"/>
  <c r="GI53" i="9"/>
  <c r="IU53" i="9"/>
  <c r="KL53" i="9"/>
  <c r="HT53" i="9"/>
  <c r="KF53" i="9"/>
  <c r="BA53" i="9"/>
  <c r="DM53" i="9"/>
  <c r="FY53" i="9"/>
  <c r="IK53" i="9"/>
  <c r="FB25" i="9"/>
  <c r="IS25" i="9"/>
  <c r="GJ37" i="9"/>
  <c r="IT25" i="9"/>
  <c r="GR37" i="9"/>
  <c r="GC37" i="9"/>
  <c r="FK13" i="9"/>
  <c r="HW13" i="9"/>
  <c r="KI13" i="9"/>
  <c r="FK25" i="9"/>
  <c r="IP25" i="9"/>
  <c r="HF53" i="9"/>
  <c r="FQ25" i="9"/>
  <c r="IL25" i="9"/>
  <c r="JO37" i="9"/>
  <c r="KA37" i="9"/>
  <c r="EY25" i="9"/>
  <c r="HK25" i="9"/>
  <c r="JW25" i="9"/>
  <c r="DV37" i="9"/>
  <c r="AF53" i="9"/>
  <c r="EQ37" i="9"/>
  <c r="KC37" i="9"/>
  <c r="ET37" i="9"/>
  <c r="KJ37" i="9"/>
  <c r="G53" i="9"/>
  <c r="HJ37" i="9"/>
  <c r="AW53" i="9"/>
  <c r="JO53" i="9"/>
  <c r="KH37" i="9"/>
  <c r="FW53" i="9"/>
  <c r="IW37" i="9"/>
  <c r="CZ53" i="9"/>
  <c r="GL37" i="9"/>
  <c r="JT37" i="9"/>
  <c r="EM53" i="9"/>
  <c r="ER37" i="9"/>
  <c r="HD37" i="9"/>
  <c r="JP37" i="9"/>
  <c r="BX53" i="9"/>
  <c r="HJ53" i="9"/>
  <c r="FI37" i="9"/>
  <c r="HU37" i="9"/>
  <c r="KG37" i="9"/>
  <c r="DD53" i="9"/>
  <c r="BS53" i="9"/>
  <c r="FN53" i="9"/>
  <c r="DF53" i="9"/>
  <c r="AL53" i="9"/>
  <c r="KP53" i="9"/>
  <c r="CH34" i="9"/>
  <c r="CU22" i="9"/>
  <c r="DL34" i="9"/>
  <c r="X10" i="9"/>
  <c r="AZ34" i="9"/>
  <c r="CY10" i="9"/>
  <c r="EO35" i="9"/>
  <c r="EO36" i="9" s="1"/>
  <c r="EO38" i="9" s="1"/>
  <c r="BF22" i="9"/>
  <c r="DK34" i="9"/>
  <c r="CI22" i="9"/>
  <c r="H22" i="9"/>
  <c r="BP34" i="9"/>
  <c r="CE22" i="9"/>
  <c r="CM34" i="9"/>
  <c r="CY22" i="9"/>
  <c r="DF35" i="9"/>
  <c r="DF36" i="9" s="1"/>
  <c r="DF38" i="9" s="1"/>
  <c r="HA35" i="9"/>
  <c r="HA36" i="9" s="1"/>
  <c r="HA38" i="9" s="1"/>
  <c r="X22" i="9"/>
  <c r="DS11" i="9"/>
  <c r="DS12" i="9" s="1"/>
  <c r="DS14" i="9" s="1"/>
  <c r="IB23" i="9"/>
  <c r="IB24" i="9" s="1"/>
  <c r="EP11" i="9"/>
  <c r="EP12" i="9" s="1"/>
  <c r="EP14" i="9" s="1"/>
  <c r="HS11" i="9"/>
  <c r="HS12" i="9" s="1"/>
  <c r="HS14" i="9" s="1"/>
  <c r="FP11" i="9"/>
  <c r="FP12" i="9" s="1"/>
  <c r="FP14" i="9" s="1"/>
  <c r="AX34" i="9"/>
  <c r="BO34" i="9"/>
  <c r="BH34" i="9"/>
  <c r="AV22" i="9"/>
  <c r="DI22" i="9"/>
  <c r="CK34" i="9"/>
  <c r="AM22" i="9"/>
  <c r="S34" i="9"/>
  <c r="K34" i="9"/>
  <c r="P22" i="9"/>
  <c r="C34" i="9"/>
  <c r="G22" i="9"/>
  <c r="FU13" i="9"/>
  <c r="DT13" i="9"/>
  <c r="FB13" i="9"/>
  <c r="FT25" i="9"/>
  <c r="HM13" i="9"/>
  <c r="FM13" i="9"/>
  <c r="FD25" i="9"/>
  <c r="EC13" i="9"/>
  <c r="JR13" i="9"/>
  <c r="HR13" i="9"/>
  <c r="EZ13" i="9"/>
  <c r="KP13" i="9"/>
  <c r="JI25" i="9"/>
  <c r="FD13" i="9"/>
  <c r="JH13" i="9"/>
  <c r="IB25" i="9"/>
  <c r="IJ25" i="9"/>
  <c r="IX25" i="9"/>
  <c r="GK13" i="9"/>
  <c r="KO13" i="9"/>
  <c r="GG25" i="9"/>
  <c r="GD13" i="9"/>
  <c r="JU13" i="9"/>
  <c r="ES25" i="9"/>
  <c r="JZ37" i="9"/>
  <c r="FP25" i="9"/>
  <c r="F53" i="9"/>
  <c r="FR25" i="9"/>
  <c r="EQ13" i="9"/>
  <c r="HV13" i="9"/>
  <c r="GC25" i="9"/>
  <c r="Q53" i="9"/>
  <c r="IO25" i="9"/>
  <c r="GD37" i="9"/>
  <c r="FL25" i="9"/>
  <c r="JC25" i="9"/>
  <c r="IO37" i="9"/>
  <c r="EF13" i="9"/>
  <c r="HA13" i="9"/>
  <c r="JV13" i="9"/>
  <c r="FM25" i="9"/>
  <c r="JE25" i="9"/>
  <c r="JL37" i="9"/>
  <c r="FN25" i="9"/>
  <c r="JF25" i="9"/>
  <c r="JR37" i="9"/>
  <c r="HO37" i="9"/>
  <c r="FS13" i="9"/>
  <c r="IE13" i="9"/>
  <c r="FU25" i="9"/>
  <c r="JA25" i="9"/>
  <c r="EH37" i="9"/>
  <c r="HP37" i="9"/>
  <c r="FZ25" i="9"/>
  <c r="IU25" i="9"/>
  <c r="P53" i="9"/>
  <c r="DS37" i="9"/>
  <c r="R53" i="9"/>
  <c r="FG25" i="9"/>
  <c r="HS25" i="9"/>
  <c r="KE25" i="9"/>
  <c r="EN37" i="9"/>
  <c r="CQ53" i="9"/>
  <c r="FG37" i="9"/>
  <c r="AI53" i="9"/>
  <c r="FJ37" i="9"/>
  <c r="AN53" i="9"/>
  <c r="AR53" i="9"/>
  <c r="ED37" i="9"/>
  <c r="HW37" i="9"/>
  <c r="BR53" i="9"/>
  <c r="GZ37" i="9"/>
  <c r="C53" i="9"/>
  <c r="HB53" i="9"/>
  <c r="JK37" i="9"/>
  <c r="DX53" i="9"/>
  <c r="GX37" i="9"/>
  <c r="KD37" i="9"/>
  <c r="FG53" i="9"/>
  <c r="EZ37" i="9"/>
  <c r="HL37" i="9"/>
  <c r="JX37" i="9"/>
  <c r="CL53" i="9"/>
  <c r="II53" i="9"/>
  <c r="FQ37" i="9"/>
  <c r="IC37" i="9"/>
  <c r="KO37" i="9"/>
  <c r="DV53" i="9"/>
  <c r="KC53" i="9"/>
  <c r="CD53" i="9"/>
  <c r="GC53" i="9"/>
  <c r="Y53" i="9"/>
  <c r="DS53" i="9"/>
  <c r="IF53" i="9"/>
  <c r="AU53" i="9"/>
  <c r="DP53" i="9"/>
  <c r="GT53" i="9"/>
  <c r="K53" i="9"/>
  <c r="CF53" i="9"/>
  <c r="FB53" i="9"/>
  <c r="IV53" i="9"/>
  <c r="GQ53" i="9"/>
  <c r="JC53" i="9"/>
  <c r="KM53" i="9"/>
  <c r="IB53" i="9"/>
  <c r="KN53" i="9"/>
  <c r="BI53" i="9"/>
  <c r="DU53" i="9"/>
  <c r="GG53" i="9"/>
  <c r="IS53" i="9"/>
  <c r="G35" i="9"/>
  <c r="G36" i="9" s="1"/>
  <c r="G38" i="9" s="1"/>
  <c r="JM35" i="9"/>
  <c r="JM36" i="9" s="1"/>
  <c r="JM38" i="9" s="1"/>
  <c r="FN35" i="9"/>
  <c r="FN36" i="9" s="1"/>
  <c r="FN38" i="9" s="1"/>
  <c r="HO11" i="9"/>
  <c r="HO12" i="9" s="1"/>
  <c r="HO14" i="9" s="1"/>
  <c r="FA11" i="9"/>
  <c r="FA12" i="9" s="1"/>
  <c r="FA14" i="9" s="1"/>
  <c r="BH10" i="9"/>
  <c r="CM23" i="9"/>
  <c r="CM24" i="9" s="1"/>
  <c r="CM26" i="9" s="1"/>
  <c r="JO23" i="9"/>
  <c r="JO24" i="9" s="1"/>
  <c r="JO26" i="9" s="1"/>
  <c r="IN35" i="9"/>
  <c r="IN36" i="9" s="1"/>
  <c r="IN38" i="9" s="1"/>
  <c r="DQ35" i="9"/>
  <c r="DQ36" i="9" s="1"/>
  <c r="DQ38" i="9" s="1"/>
  <c r="BM35" i="9"/>
  <c r="BM36" i="9" s="1"/>
  <c r="BM38" i="9" s="1"/>
  <c r="DB11" i="9"/>
  <c r="DB12" i="9" s="1"/>
  <c r="DB14" i="9" s="1"/>
  <c r="DD11" i="9"/>
  <c r="DD12" i="9" s="1"/>
  <c r="DD14" i="9" s="1"/>
  <c r="EC23" i="9"/>
  <c r="EC24" i="9" s="1"/>
  <c r="EC26" i="9" s="1"/>
  <c r="CU11" i="9"/>
  <c r="CU12" i="9" s="1"/>
  <c r="CU14" i="9" s="1"/>
  <c r="JX11" i="9"/>
  <c r="JX12" i="9" s="1"/>
  <c r="JX14" i="9" s="1"/>
  <c r="CC35" i="9"/>
  <c r="CC36" i="9" s="1"/>
  <c r="CC38" i="9" s="1"/>
  <c r="HC35" i="9"/>
  <c r="HC36" i="9"/>
  <c r="BJ35" i="9"/>
  <c r="BJ36" i="9" s="1"/>
  <c r="BJ38" i="9" s="1"/>
  <c r="DE22" i="9"/>
  <c r="K11" i="9"/>
  <c r="K12" i="9" s="1"/>
  <c r="K14" i="9" s="1"/>
  <c r="BI11" i="9"/>
  <c r="BI12" i="9" s="1"/>
  <c r="BI14" i="9" s="1"/>
  <c r="M35" i="9"/>
  <c r="M36" i="9" s="1"/>
  <c r="M38" i="9" s="1"/>
  <c r="AI22" i="9"/>
  <c r="HF23" i="9"/>
  <c r="HF24" i="9" s="1"/>
  <c r="HF26" i="9" s="1"/>
  <c r="AO23" i="9"/>
  <c r="AO24" i="9" s="1"/>
  <c r="AO26" i="9" s="1"/>
  <c r="FE35" i="9"/>
  <c r="FE36" i="9" s="1"/>
  <c r="FE38" i="9" s="1"/>
  <c r="EA35" i="9"/>
  <c r="EA36" i="9" s="1"/>
  <c r="EA38" i="9" s="1"/>
  <c r="DA11" i="9"/>
  <c r="DA12" i="9"/>
  <c r="DA14" i="9" s="1"/>
  <c r="CI10" i="9"/>
  <c r="BK34" i="9"/>
  <c r="BI34" i="9"/>
  <c r="BF35" i="9"/>
  <c r="BF36" i="9" s="1"/>
  <c r="BF38" i="9" s="1"/>
  <c r="KB11" i="9"/>
  <c r="KB12" i="9" s="1"/>
  <c r="R34" i="9"/>
  <c r="FQ23" i="9"/>
  <c r="FQ24" i="9"/>
  <c r="FQ26" i="9" s="1"/>
  <c r="KA11" i="9"/>
  <c r="KA12" i="9" s="1"/>
  <c r="KA14" i="9" s="1"/>
  <c r="HU11" i="9"/>
  <c r="HU12" i="9" s="1"/>
  <c r="HU14" i="9" s="1"/>
  <c r="FS11" i="9"/>
  <c r="FS12" i="9" s="1"/>
  <c r="FS14" i="9" s="1"/>
  <c r="IM35" i="9"/>
  <c r="IM36" i="9"/>
  <c r="IM38" i="9" s="1"/>
  <c r="KO35" i="9"/>
  <c r="KO36" i="9" s="1"/>
  <c r="KO38" i="9" s="1"/>
  <c r="S22" i="9"/>
  <c r="GN23" i="9"/>
  <c r="GN24" i="9" s="1"/>
  <c r="KG35" i="9"/>
  <c r="KG36" i="9" s="1"/>
  <c r="KG38" i="9" s="1"/>
  <c r="T23" i="9"/>
  <c r="T24" i="9" s="1"/>
  <c r="T26" i="9" s="1"/>
  <c r="DE35" i="9"/>
  <c r="DE36" i="9" s="1"/>
  <c r="DE38" i="9" s="1"/>
  <c r="L10" i="9"/>
  <c r="D10" i="9"/>
  <c r="JZ11" i="9"/>
  <c r="JZ12" i="9" s="1"/>
  <c r="JZ14" i="9" s="1"/>
  <c r="GO11" i="9"/>
  <c r="GO12" i="9" s="1"/>
  <c r="GO14" i="9" s="1"/>
  <c r="HW35" i="9"/>
  <c r="HW36" i="9" s="1"/>
  <c r="HW38" i="9" s="1"/>
  <c r="JU35" i="9"/>
  <c r="JU36" i="9" s="1"/>
  <c r="JU38" i="9" s="1"/>
  <c r="C22" i="9"/>
  <c r="BA34" i="9"/>
  <c r="GV35" i="9"/>
  <c r="GV36" i="9" s="1"/>
  <c r="GV38" i="9" s="1"/>
  <c r="HG23" i="9"/>
  <c r="HG24" i="9" s="1"/>
  <c r="HG26" i="9" s="1"/>
  <c r="DG34" i="9"/>
  <c r="AN23" i="9"/>
  <c r="AN24" i="9" s="1"/>
  <c r="AN26" i="9" s="1"/>
  <c r="BK22" i="9"/>
  <c r="FS23" i="9"/>
  <c r="FS24" i="9" s="1"/>
  <c r="FS26" i="9" s="1"/>
  <c r="KF11" i="9"/>
  <c r="KF12" i="9" s="1"/>
  <c r="KF14" i="9" s="1"/>
  <c r="IZ35" i="9"/>
  <c r="IZ36" i="9" s="1"/>
  <c r="IZ38" i="9" s="1"/>
  <c r="HD35" i="9"/>
  <c r="HD36" i="9"/>
  <c r="HD38" i="9" s="1"/>
  <c r="AW34" i="9"/>
  <c r="JY23" i="9"/>
  <c r="JY24" i="9" s="1"/>
  <c r="JY26" i="9" s="1"/>
  <c r="KG11" i="9"/>
  <c r="KG12" i="9" s="1"/>
  <c r="KG14" i="9" s="1"/>
  <c r="AB11" i="9"/>
  <c r="AB12" i="9" s="1"/>
  <c r="AB14" i="9" s="1"/>
  <c r="JY35" i="9"/>
  <c r="JY36" i="9" s="1"/>
  <c r="FC23" i="9"/>
  <c r="FC24" i="9" s="1"/>
  <c r="FC26" i="9" s="1"/>
  <c r="KD35" i="9"/>
  <c r="KD36" i="9" s="1"/>
  <c r="KD38" i="9" s="1"/>
  <c r="IJ11" i="9"/>
  <c r="IJ12" i="9" s="1"/>
  <c r="IJ14" i="9" s="1"/>
  <c r="CF23" i="9"/>
  <c r="CF24" i="9"/>
  <c r="CF26" i="9" s="1"/>
  <c r="AF10" i="9"/>
  <c r="DI11" i="9"/>
  <c r="DI12" i="9" s="1"/>
  <c r="DI14" i="9" s="1"/>
  <c r="EN13" i="9"/>
  <c r="ID13" i="9"/>
  <c r="FZ13" i="9"/>
  <c r="GV13" i="9"/>
  <c r="GB13" i="9"/>
  <c r="IR13" i="9"/>
  <c r="JY25" i="9"/>
  <c r="GS13" i="9"/>
  <c r="KD25" i="9"/>
  <c r="EW13" i="9"/>
  <c r="KL13" i="9"/>
  <c r="IJ13" i="9"/>
  <c r="FT13" i="9"/>
  <c r="FQ13" i="9"/>
  <c r="JX13" i="9"/>
  <c r="KH25" i="9"/>
  <c r="KI25" i="9"/>
  <c r="HS37" i="9"/>
  <c r="GW13" i="9"/>
  <c r="HM25" i="9"/>
  <c r="GO13" i="9"/>
  <c r="KH13" i="9"/>
  <c r="FJ25" i="9"/>
  <c r="GO25" i="9"/>
  <c r="GQ25" i="9"/>
  <c r="FA13" i="9"/>
  <c r="IG13" i="9"/>
  <c r="HB25" i="9"/>
  <c r="BC53" i="9"/>
  <c r="JB25" i="9"/>
  <c r="IM37" i="9"/>
  <c r="FX25" i="9"/>
  <c r="JP25" i="9"/>
  <c r="EF53" i="9"/>
  <c r="EO13" i="9"/>
  <c r="HJ13" i="9"/>
  <c r="KE13" i="9"/>
  <c r="FY25" i="9"/>
  <c r="JQ25" i="9"/>
  <c r="EG53" i="9"/>
  <c r="GA25" i="9"/>
  <c r="JR25" i="9"/>
  <c r="GD53" i="9"/>
  <c r="JE37" i="9"/>
  <c r="GA13" i="9"/>
  <c r="IM13" i="9"/>
  <c r="GF25" i="9"/>
  <c r="JK25" i="9"/>
  <c r="FS37" i="9"/>
  <c r="IY37" i="9"/>
  <c r="GI25" i="9"/>
  <c r="JD25" i="9"/>
  <c r="DL53" i="9"/>
  <c r="EM37" i="9"/>
  <c r="CK53" i="9"/>
  <c r="FO25" i="9"/>
  <c r="IA25" i="9"/>
  <c r="KM25" i="9"/>
  <c r="FL37" i="9"/>
  <c r="FF53" i="9"/>
  <c r="FV37" i="9"/>
  <c r="BP53" i="9"/>
  <c r="FW37" i="9"/>
  <c r="CC53" i="9"/>
  <c r="CJ53" i="9"/>
  <c r="EO37" i="9"/>
  <c r="IH37" i="9"/>
  <c r="CS53" i="9"/>
  <c r="HK37" i="9"/>
  <c r="X53" i="9"/>
  <c r="IN53" i="9"/>
  <c r="JV37" i="9"/>
  <c r="EV53" i="9"/>
  <c r="DZ37" i="9"/>
  <c r="HH37" i="9"/>
  <c r="O53" i="9"/>
  <c r="GK53" i="9"/>
  <c r="FH37" i="9"/>
  <c r="HT37" i="9"/>
  <c r="KF37" i="9"/>
  <c r="DB53" i="9"/>
  <c r="JD53" i="9"/>
  <c r="FY37" i="9"/>
  <c r="IK37" i="9"/>
  <c r="L53" i="9"/>
  <c r="EL53" i="9"/>
  <c r="KP37" i="9"/>
  <c r="CR53" i="9"/>
  <c r="GS53" i="9"/>
  <c r="AJ53" i="9"/>
  <c r="EE53" i="9"/>
  <c r="IX53" i="9"/>
  <c r="BD53" i="9"/>
  <c r="DY53" i="9"/>
  <c r="HH53" i="9"/>
  <c r="T53" i="9"/>
  <c r="CP53" i="9"/>
  <c r="FL53" i="9"/>
  <c r="JG53" i="9"/>
  <c r="GY53" i="9"/>
  <c r="JK53" i="9"/>
  <c r="FX53" i="9"/>
  <c r="IJ53" i="9"/>
  <c r="E53" i="9"/>
  <c r="BQ53" i="9"/>
  <c r="EC53" i="9"/>
  <c r="GO53" i="9"/>
  <c r="W36" i="9" l="1"/>
  <c r="W38" i="9" s="1"/>
  <c r="BD12" i="9"/>
  <c r="BD14" i="9" s="1"/>
  <c r="BU24" i="9"/>
  <c r="BU26" i="9" s="1"/>
  <c r="BG36" i="9"/>
  <c r="BG38" i="9" s="1"/>
  <c r="F24" i="9"/>
  <c r="F26" i="9" s="1"/>
  <c r="CB35" i="9"/>
  <c r="CB36" i="9" s="1"/>
  <c r="CB38" i="9" s="1"/>
  <c r="CF11" i="9"/>
  <c r="CF12" i="9" s="1"/>
  <c r="CF14" i="9" s="1"/>
  <c r="BK23" i="9"/>
  <c r="BK24" i="9" s="1"/>
  <c r="BK26" i="9" s="1"/>
  <c r="X23" i="9"/>
  <c r="X24" i="9" s="1"/>
  <c r="X26" i="9" s="1"/>
  <c r="C11" i="9"/>
  <c r="C12" i="9" s="1"/>
  <c r="FG26" i="9"/>
  <c r="IM14" i="9"/>
  <c r="EC38" i="9"/>
  <c r="IZ26" i="9"/>
  <c r="FA38" i="9"/>
  <c r="AF11" i="9"/>
  <c r="AF12" i="9" s="1"/>
  <c r="AF14" i="9" s="1"/>
  <c r="DE23" i="9"/>
  <c r="DE24" i="9" s="1"/>
  <c r="DE26" i="9" s="1"/>
  <c r="S35" i="9"/>
  <c r="S36" i="9" s="1"/>
  <c r="S38" i="9" s="1"/>
  <c r="CM35" i="9"/>
  <c r="CM36" i="9" s="1"/>
  <c r="CM38" i="9" s="1"/>
  <c r="J35" i="9"/>
  <c r="J36" i="9" s="1"/>
  <c r="J38" i="9" s="1"/>
  <c r="CQ35" i="9"/>
  <c r="CQ36" i="9"/>
  <c r="CQ38" i="9" s="1"/>
  <c r="CK23" i="9"/>
  <c r="CK24" i="9" s="1"/>
  <c r="CK26" i="9" s="1"/>
  <c r="BY23" i="9"/>
  <c r="BY24" i="9"/>
  <c r="BY26" i="9" s="1"/>
  <c r="AG23" i="9"/>
  <c r="AG24" i="9" s="1"/>
  <c r="AG26" i="9" s="1"/>
  <c r="CR23" i="9"/>
  <c r="CR24" i="9" s="1"/>
  <c r="CR26" i="9" s="1"/>
  <c r="BX11" i="9"/>
  <c r="BX12" i="9" s="1"/>
  <c r="BX14" i="9" s="1"/>
  <c r="AG11" i="9"/>
  <c r="AG12" i="9" s="1"/>
  <c r="AG14" i="9" s="1"/>
  <c r="EB14" i="9"/>
  <c r="DZ26" i="9"/>
  <c r="JY38" i="9"/>
  <c r="AI23" i="9"/>
  <c r="AI24" i="9" s="1"/>
  <c r="AI26" i="9" s="1"/>
  <c r="AM23" i="9"/>
  <c r="AM24" i="9" s="1"/>
  <c r="AM26" i="9" s="1"/>
  <c r="CE23" i="9"/>
  <c r="CE24" i="9" s="1"/>
  <c r="CE26" i="9" s="1"/>
  <c r="CY11" i="9"/>
  <c r="CY12" i="9"/>
  <c r="CY14" i="9" s="1"/>
  <c r="DA35" i="9"/>
  <c r="DA36" i="9" s="1"/>
  <c r="DA38" i="9" s="1"/>
  <c r="BP11" i="9"/>
  <c r="BP12" i="9" s="1"/>
  <c r="BP14" i="9" s="1"/>
  <c r="DE11" i="9"/>
  <c r="DE12" i="9" s="1"/>
  <c r="DE14" i="9" s="1"/>
  <c r="IN14" i="9"/>
  <c r="KH14" i="9"/>
  <c r="BL23" i="9"/>
  <c r="BL24" i="9" s="1"/>
  <c r="BL26" i="9" s="1"/>
  <c r="KK14" i="9"/>
  <c r="BR35" i="9"/>
  <c r="BR36" i="9" s="1"/>
  <c r="BR38" i="9" s="1"/>
  <c r="BA35" i="9"/>
  <c r="BA36" i="9" s="1"/>
  <c r="BA38" i="9" s="1"/>
  <c r="BI35" i="9"/>
  <c r="BI36" i="9" s="1"/>
  <c r="BI38" i="9" s="1"/>
  <c r="CK35" i="9"/>
  <c r="CK36" i="9" s="1"/>
  <c r="CK38" i="9" s="1"/>
  <c r="BP35" i="9"/>
  <c r="BP36" i="9" s="1"/>
  <c r="BP38" i="9" s="1"/>
  <c r="AZ35" i="9"/>
  <c r="AZ36" i="9" s="1"/>
  <c r="AZ38" i="9" s="1"/>
  <c r="EH14" i="9"/>
  <c r="FE26" i="9"/>
  <c r="IR14" i="9"/>
  <c r="IY26" i="9"/>
  <c r="FW26" i="9"/>
  <c r="JP38" i="9"/>
  <c r="IQ26" i="9"/>
  <c r="JX26" i="9"/>
  <c r="FU26" i="9"/>
  <c r="KN38" i="9"/>
  <c r="HG14" i="9"/>
  <c r="EL14" i="9"/>
  <c r="KI38" i="9"/>
  <c r="FB38" i="9"/>
  <c r="JN26" i="9"/>
  <c r="FR14" i="9"/>
  <c r="C23" i="9"/>
  <c r="C24" i="9" s="1"/>
  <c r="BK35" i="9"/>
  <c r="BK36" i="9" s="1"/>
  <c r="BK38" i="9" s="1"/>
  <c r="HC38" i="9"/>
  <c r="BH11" i="9"/>
  <c r="BH12" i="9" s="1"/>
  <c r="BH14" i="9" s="1"/>
  <c r="DI23" i="9"/>
  <c r="DI24" i="9"/>
  <c r="DI26" i="9" s="1"/>
  <c r="H23" i="9"/>
  <c r="H24" i="9" s="1"/>
  <c r="H26" i="9" s="1"/>
  <c r="X11" i="9"/>
  <c r="X12" i="9" s="1"/>
  <c r="X14" i="9" s="1"/>
  <c r="AO35" i="9"/>
  <c r="AO36" i="9" s="1"/>
  <c r="AO38" i="9" s="1"/>
  <c r="BQ35" i="9"/>
  <c r="BQ36" i="9" s="1"/>
  <c r="BQ38" i="9" s="1"/>
  <c r="AD23" i="9"/>
  <c r="AD24" i="9" s="1"/>
  <c r="AD26" i="9" s="1"/>
  <c r="G23" i="9"/>
  <c r="G24" i="9"/>
  <c r="G26" i="9" s="1"/>
  <c r="AL35" i="9"/>
  <c r="AL36" i="9" s="1"/>
  <c r="AL38" i="9" s="1"/>
  <c r="CJ23" i="9"/>
  <c r="CJ24" i="9" s="1"/>
  <c r="CJ26" i="9" s="1"/>
  <c r="GM38" i="9"/>
  <c r="CH11" i="9"/>
  <c r="CH12" i="9" s="1"/>
  <c r="CH14" i="9" s="1"/>
  <c r="DZ14" i="9"/>
  <c r="HN26" i="9"/>
  <c r="EO14" i="9"/>
  <c r="HT26" i="9"/>
  <c r="G11" i="9"/>
  <c r="G12" i="9"/>
  <c r="G14" i="9" s="1"/>
  <c r="H35" i="9"/>
  <c r="H36" i="9" s="1"/>
  <c r="H38" i="9" s="1"/>
  <c r="JK38" i="9"/>
  <c r="L11" i="9"/>
  <c r="L12" i="9" s="1"/>
  <c r="L14" i="9" s="1"/>
  <c r="R35" i="9"/>
  <c r="R36" i="9"/>
  <c r="R38" i="9" s="1"/>
  <c r="C35" i="9"/>
  <c r="C36" i="9"/>
  <c r="GT14" i="9"/>
  <c r="IH38" i="9"/>
  <c r="L35" i="9"/>
  <c r="L36" i="9" s="1"/>
  <c r="L38" i="9" s="1"/>
  <c r="S23" i="9"/>
  <c r="S24" i="9" s="1"/>
  <c r="S26" i="9" s="1"/>
  <c r="P23" i="9"/>
  <c r="P24" i="9" s="1"/>
  <c r="P26" i="9" s="1"/>
  <c r="BO35" i="9"/>
  <c r="BO36" i="9" s="1"/>
  <c r="BO38" i="9" s="1"/>
  <c r="IB26" i="9"/>
  <c r="BF23" i="9"/>
  <c r="BF24" i="9" s="1"/>
  <c r="BF26" i="9" s="1"/>
  <c r="CH35" i="9"/>
  <c r="CH36" i="9" s="1"/>
  <c r="CH38" i="9" s="1"/>
  <c r="I23" i="9"/>
  <c r="I24" i="9" s="1"/>
  <c r="I26" i="9" s="1"/>
  <c r="HR14" i="9"/>
  <c r="JA26" i="9"/>
  <c r="GW38" i="9"/>
  <c r="ET38" i="9"/>
  <c r="HZ38" i="9"/>
  <c r="JS14" i="9"/>
  <c r="GC14" i="9"/>
  <c r="EZ26" i="9"/>
  <c r="IB38" i="9"/>
  <c r="IL14" i="9"/>
  <c r="II38" i="9"/>
  <c r="EN14" i="9"/>
  <c r="ES26" i="9"/>
  <c r="ER26" i="9"/>
  <c r="IC38" i="9"/>
  <c r="HF14" i="9"/>
  <c r="JA38" i="9"/>
  <c r="HM38" i="9"/>
  <c r="GQ38" i="9"/>
  <c r="AK35" i="9"/>
  <c r="AK36" i="9"/>
  <c r="AK38" i="9" s="1"/>
  <c r="KF26" i="9"/>
  <c r="FM14" i="9"/>
  <c r="EZ14" i="9"/>
  <c r="JF38" i="9"/>
  <c r="FS38" i="9"/>
  <c r="GN14" i="9"/>
  <c r="EZ38" i="9"/>
  <c r="JD26" i="9"/>
  <c r="JH14" i="9"/>
  <c r="JG38" i="9"/>
  <c r="KI14" i="9"/>
  <c r="ER38" i="9"/>
  <c r="HN38" i="9"/>
  <c r="IK26" i="9"/>
  <c r="KN14" i="9"/>
  <c r="GQ14" i="9"/>
  <c r="JK14" i="9"/>
  <c r="FH14" i="9"/>
  <c r="FM26" i="9"/>
  <c r="FF38" i="9"/>
  <c r="FO38" i="9"/>
  <c r="EO26" i="9"/>
  <c r="JP26" i="9"/>
  <c r="IL26" i="9"/>
  <c r="JH38" i="9"/>
  <c r="DW38" i="9"/>
  <c r="FY26" i="9"/>
  <c r="AW35" i="9"/>
  <c r="AW36" i="9" s="1"/>
  <c r="AW38" i="9" s="1"/>
  <c r="CS23" i="9"/>
  <c r="CS24" i="9" s="1"/>
  <c r="CS26" i="9" s="1"/>
  <c r="W23" i="9"/>
  <c r="W24" i="9" s="1"/>
  <c r="W26" i="9" s="1"/>
  <c r="E23" i="9"/>
  <c r="E24" i="9" s="1"/>
  <c r="E26" i="9" s="1"/>
  <c r="D11" i="9"/>
  <c r="D12" i="9" s="1"/>
  <c r="D14" i="9" s="1"/>
  <c r="GN26" i="9"/>
  <c r="CI11" i="9"/>
  <c r="CI12" i="9"/>
  <c r="CI14" i="9" s="1"/>
  <c r="AV23" i="9"/>
  <c r="AV24" i="9" s="1"/>
  <c r="AV26" i="9" s="1"/>
  <c r="CI23" i="9"/>
  <c r="CI24" i="9" s="1"/>
  <c r="CI26" i="9" s="1"/>
  <c r="DL35" i="9"/>
  <c r="DL36" i="9"/>
  <c r="DL38" i="9" s="1"/>
  <c r="BE35" i="9"/>
  <c r="BE36" i="9" s="1"/>
  <c r="BE38" i="9" s="1"/>
  <c r="IR38" i="9"/>
  <c r="KH38" i="9"/>
  <c r="FK38" i="9"/>
  <c r="HP14" i="9"/>
  <c r="BW23" i="9"/>
  <c r="BW24" i="9" s="1"/>
  <c r="BW26" i="9" s="1"/>
  <c r="JQ38" i="9"/>
  <c r="JF14" i="9"/>
  <c r="FV26" i="9"/>
  <c r="IL38" i="9"/>
  <c r="EQ38" i="9"/>
  <c r="ES38" i="9"/>
  <c r="JR14" i="9"/>
  <c r="HI14" i="9"/>
  <c r="IF26" i="9"/>
  <c r="HM26" i="9"/>
  <c r="JI38" i="9"/>
  <c r="GA14" i="9"/>
  <c r="HL38" i="9"/>
  <c r="JN14" i="9"/>
  <c r="GF38" i="9"/>
  <c r="JH26" i="9"/>
  <c r="DG35" i="9"/>
  <c r="DG36" i="9"/>
  <c r="DG38" i="9" s="1"/>
  <c r="BH35" i="9"/>
  <c r="BH36" i="9"/>
  <c r="BH38" i="9" s="1"/>
  <c r="DK35" i="9"/>
  <c r="DK36" i="9" s="1"/>
  <c r="DK38" i="9" s="1"/>
  <c r="CU23" i="9"/>
  <c r="CU24" i="9" s="1"/>
  <c r="CU26" i="9" s="1"/>
  <c r="CF35" i="9"/>
  <c r="CF36" i="9" s="1"/>
  <c r="CF38" i="9" s="1"/>
  <c r="JC14" i="9"/>
  <c r="CA23" i="9"/>
  <c r="CA24" i="9" s="1"/>
  <c r="CA26" i="9" s="1"/>
  <c r="EC14" i="9"/>
  <c r="JW38" i="9"/>
  <c r="AA23" i="9"/>
  <c r="AA24" i="9" s="1"/>
  <c r="AA26" i="9" s="1"/>
  <c r="KB14" i="9"/>
  <c r="K35" i="9"/>
  <c r="K36" i="9" s="1"/>
  <c r="K38" i="9" s="1"/>
  <c r="AX35" i="9"/>
  <c r="AX36" i="9" s="1"/>
  <c r="AX38" i="9" s="1"/>
  <c r="CY23" i="9"/>
  <c r="CY24" i="9" s="1"/>
  <c r="CY26" i="9" s="1"/>
  <c r="AJ23" i="9"/>
  <c r="AJ24" i="9" s="1"/>
  <c r="AJ26" i="9" s="1"/>
  <c r="CJ11" i="9"/>
  <c r="CJ12" i="9" s="1"/>
  <c r="CJ14" i="9" s="1"/>
  <c r="BS23" i="9"/>
  <c r="BS24" i="9" s="1"/>
  <c r="BS26" i="9" s="1"/>
  <c r="C14" i="9" l="1"/>
  <c r="C44" i="9"/>
  <c r="C26" i="9"/>
  <c r="C45" i="9"/>
  <c r="C38" i="9"/>
  <c r="C39" i="9" l="1"/>
  <c r="D39" i="9" s="1"/>
  <c r="E39" i="9" s="1"/>
  <c r="F39" i="9" s="1"/>
  <c r="G39" i="9" s="1"/>
  <c r="H39" i="9" s="1"/>
  <c r="I39" i="9" s="1"/>
  <c r="J39" i="9" s="1"/>
  <c r="K39" i="9" s="1"/>
  <c r="L39" i="9" s="1"/>
  <c r="M39" i="9" s="1"/>
  <c r="N39" i="9" s="1"/>
  <c r="O39" i="9" s="1"/>
  <c r="P39" i="9" s="1"/>
  <c r="Q39" i="9" s="1"/>
  <c r="R39" i="9" s="1"/>
  <c r="S39" i="9" s="1"/>
  <c r="T39" i="9" s="1"/>
  <c r="U39" i="9" s="1"/>
  <c r="V39" i="9" s="1"/>
  <c r="W39" i="9" s="1"/>
  <c r="X39" i="9" s="1"/>
  <c r="Y39" i="9" s="1"/>
  <c r="Z39" i="9" s="1"/>
  <c r="AA39" i="9" s="1"/>
  <c r="AB39" i="9" s="1"/>
  <c r="AC39" i="9" s="1"/>
  <c r="AD39" i="9" s="1"/>
  <c r="AE39" i="9" s="1"/>
  <c r="AF39" i="9" s="1"/>
  <c r="AG39" i="9" s="1"/>
  <c r="AH39" i="9" s="1"/>
  <c r="AI39" i="9" s="1"/>
  <c r="AJ39" i="9" s="1"/>
  <c r="AK39" i="9" s="1"/>
  <c r="AL39" i="9" s="1"/>
  <c r="AM39" i="9" s="1"/>
  <c r="AN39" i="9" s="1"/>
  <c r="AO39" i="9" s="1"/>
  <c r="AP39" i="9" s="1"/>
  <c r="AQ39" i="9" s="1"/>
  <c r="AR39" i="9" s="1"/>
  <c r="AS39" i="9" s="1"/>
  <c r="AT39" i="9" s="1"/>
  <c r="AU39" i="9" s="1"/>
  <c r="AV39" i="9" s="1"/>
  <c r="AW39" i="9" s="1"/>
  <c r="AX39" i="9" s="1"/>
  <c r="AY39" i="9" s="1"/>
  <c r="AZ39" i="9" s="1"/>
  <c r="BA39" i="9" s="1"/>
  <c r="BB39" i="9" s="1"/>
  <c r="BC39" i="9" s="1"/>
  <c r="BD39" i="9" s="1"/>
  <c r="BE39" i="9" s="1"/>
  <c r="BF39" i="9" s="1"/>
  <c r="BG39" i="9" s="1"/>
  <c r="BH39" i="9" s="1"/>
  <c r="BI39" i="9" s="1"/>
  <c r="BJ39" i="9" s="1"/>
  <c r="BK39" i="9" s="1"/>
  <c r="BL39" i="9" s="1"/>
  <c r="BM39" i="9" s="1"/>
  <c r="BN39" i="9" s="1"/>
  <c r="BO39" i="9" s="1"/>
  <c r="BP39" i="9" s="1"/>
  <c r="BQ39" i="9" s="1"/>
  <c r="BR39" i="9" s="1"/>
  <c r="BS39" i="9" s="1"/>
  <c r="BT39" i="9" s="1"/>
  <c r="BU39" i="9" s="1"/>
  <c r="BV39" i="9" s="1"/>
  <c r="BW39" i="9" s="1"/>
  <c r="BX39" i="9" s="1"/>
  <c r="BY39" i="9" s="1"/>
  <c r="BZ39" i="9" s="1"/>
  <c r="CA39" i="9" s="1"/>
  <c r="CB39" i="9" s="1"/>
  <c r="CC39" i="9" s="1"/>
  <c r="CD39" i="9" s="1"/>
  <c r="CE39" i="9" s="1"/>
  <c r="CF39" i="9" s="1"/>
  <c r="CG39" i="9" s="1"/>
  <c r="CH39" i="9" s="1"/>
  <c r="CI39" i="9" s="1"/>
  <c r="CJ39" i="9" s="1"/>
  <c r="CK39" i="9" s="1"/>
  <c r="CL39" i="9" s="1"/>
  <c r="CM39" i="9" s="1"/>
  <c r="CN39" i="9" s="1"/>
  <c r="CO39" i="9" s="1"/>
  <c r="CP39" i="9" s="1"/>
  <c r="CQ39" i="9" s="1"/>
  <c r="CR39" i="9" s="1"/>
  <c r="CS39" i="9" s="1"/>
  <c r="CT39" i="9" s="1"/>
  <c r="CU39" i="9" s="1"/>
  <c r="CV39" i="9" s="1"/>
  <c r="CW39" i="9" s="1"/>
  <c r="CX39" i="9" s="1"/>
  <c r="CY39" i="9" s="1"/>
  <c r="CZ39" i="9" s="1"/>
  <c r="DA39" i="9" s="1"/>
  <c r="DB39" i="9" s="1"/>
  <c r="DC39" i="9" s="1"/>
  <c r="DD39" i="9" s="1"/>
  <c r="DE39" i="9" s="1"/>
  <c r="DF39" i="9" s="1"/>
  <c r="DG39" i="9" s="1"/>
  <c r="DH39" i="9" s="1"/>
  <c r="DI39" i="9" s="1"/>
  <c r="DJ39" i="9" s="1"/>
  <c r="DK39" i="9" s="1"/>
  <c r="DL39" i="9" s="1"/>
  <c r="DM39" i="9" s="1"/>
  <c r="DN39" i="9" s="1"/>
  <c r="DO39" i="9" s="1"/>
  <c r="DP39" i="9" s="1"/>
  <c r="DQ39" i="9" s="1"/>
  <c r="DR39" i="9" s="1"/>
  <c r="DS39" i="9" s="1"/>
  <c r="DT39" i="9" s="1"/>
  <c r="DU39" i="9" s="1"/>
  <c r="DV39" i="9" s="1"/>
  <c r="DW39" i="9" s="1"/>
  <c r="DX39" i="9" s="1"/>
  <c r="DY39" i="9" s="1"/>
  <c r="DZ39" i="9" s="1"/>
  <c r="EA39" i="9" s="1"/>
  <c r="EB39" i="9" s="1"/>
  <c r="EC39" i="9" s="1"/>
  <c r="ED39" i="9" s="1"/>
  <c r="EE39" i="9" s="1"/>
  <c r="EF39" i="9" s="1"/>
  <c r="EG39" i="9" s="1"/>
  <c r="EH39" i="9" s="1"/>
  <c r="EI39" i="9" s="1"/>
  <c r="EJ39" i="9" s="1"/>
  <c r="EK39" i="9" s="1"/>
  <c r="EL39" i="9" s="1"/>
  <c r="EM39" i="9" s="1"/>
  <c r="EN39" i="9" s="1"/>
  <c r="EO39" i="9" s="1"/>
  <c r="EP39" i="9" s="1"/>
  <c r="EQ39" i="9" s="1"/>
  <c r="ER39" i="9" s="1"/>
  <c r="ES39" i="9" s="1"/>
  <c r="ET39" i="9" s="1"/>
  <c r="EU39" i="9" s="1"/>
  <c r="EV39" i="9" s="1"/>
  <c r="EW39" i="9" s="1"/>
  <c r="EX39" i="9" s="1"/>
  <c r="EY39" i="9" s="1"/>
  <c r="EZ39" i="9" s="1"/>
  <c r="FA39" i="9" s="1"/>
  <c r="FB39" i="9" s="1"/>
  <c r="FC39" i="9" s="1"/>
  <c r="FD39" i="9" s="1"/>
  <c r="FE39" i="9" s="1"/>
  <c r="FF39" i="9" s="1"/>
  <c r="FG39" i="9" s="1"/>
  <c r="FH39" i="9" s="1"/>
  <c r="FI39" i="9" s="1"/>
  <c r="FJ39" i="9" s="1"/>
  <c r="FK39" i="9" s="1"/>
  <c r="FL39" i="9" s="1"/>
  <c r="FM39" i="9" s="1"/>
  <c r="FN39" i="9" s="1"/>
  <c r="FO39" i="9" s="1"/>
  <c r="FP39" i="9" s="1"/>
  <c r="FQ39" i="9" s="1"/>
  <c r="FR39" i="9" s="1"/>
  <c r="FS39" i="9" s="1"/>
  <c r="FT39" i="9" s="1"/>
  <c r="FU39" i="9" s="1"/>
  <c r="FV39" i="9" s="1"/>
  <c r="FW39" i="9" s="1"/>
  <c r="FX39" i="9" s="1"/>
  <c r="FY39" i="9" s="1"/>
  <c r="FZ39" i="9" s="1"/>
  <c r="GA39" i="9" s="1"/>
  <c r="GB39" i="9" s="1"/>
  <c r="GC39" i="9" s="1"/>
  <c r="GD39" i="9" s="1"/>
  <c r="GE39" i="9" s="1"/>
  <c r="GF39" i="9" s="1"/>
  <c r="GG39" i="9" s="1"/>
  <c r="GH39" i="9" s="1"/>
  <c r="GI39" i="9" s="1"/>
  <c r="GJ39" i="9" s="1"/>
  <c r="GK39" i="9" s="1"/>
  <c r="GL39" i="9" s="1"/>
  <c r="GM39" i="9" s="1"/>
  <c r="GN39" i="9" s="1"/>
  <c r="GO39" i="9" s="1"/>
  <c r="GP39" i="9" s="1"/>
  <c r="GQ39" i="9" s="1"/>
  <c r="GR39" i="9" s="1"/>
  <c r="GS39" i="9" s="1"/>
  <c r="GT39" i="9" s="1"/>
  <c r="GU39" i="9" s="1"/>
  <c r="GV39" i="9" s="1"/>
  <c r="GW39" i="9" s="1"/>
  <c r="GX39" i="9" s="1"/>
  <c r="GY39" i="9" s="1"/>
  <c r="GZ39" i="9" s="1"/>
  <c r="HA39" i="9" s="1"/>
  <c r="HB39" i="9" s="1"/>
  <c r="HC39" i="9" s="1"/>
  <c r="HD39" i="9" s="1"/>
  <c r="HE39" i="9" s="1"/>
  <c r="HF39" i="9" s="1"/>
  <c r="HG39" i="9" s="1"/>
  <c r="HH39" i="9" s="1"/>
  <c r="HI39" i="9" s="1"/>
  <c r="HJ39" i="9" s="1"/>
  <c r="HK39" i="9" s="1"/>
  <c r="HL39" i="9" s="1"/>
  <c r="HM39" i="9" s="1"/>
  <c r="HN39" i="9" s="1"/>
  <c r="HO39" i="9" s="1"/>
  <c r="HP39" i="9" s="1"/>
  <c r="HQ39" i="9" s="1"/>
  <c r="HR39" i="9" s="1"/>
  <c r="HS39" i="9" s="1"/>
  <c r="HT39" i="9" s="1"/>
  <c r="HU39" i="9" s="1"/>
  <c r="HV39" i="9" s="1"/>
  <c r="HW39" i="9" s="1"/>
  <c r="HX39" i="9" s="1"/>
  <c r="HY39" i="9" s="1"/>
  <c r="HZ39" i="9" s="1"/>
  <c r="IA39" i="9" s="1"/>
  <c r="IB39" i="9" s="1"/>
  <c r="IC39" i="9" s="1"/>
  <c r="ID39" i="9" s="1"/>
  <c r="IE39" i="9" s="1"/>
  <c r="IF39" i="9" s="1"/>
  <c r="IG39" i="9" s="1"/>
  <c r="IH39" i="9" s="1"/>
  <c r="II39" i="9" s="1"/>
  <c r="IJ39" i="9" s="1"/>
  <c r="IK39" i="9" s="1"/>
  <c r="IL39" i="9" s="1"/>
  <c r="IM39" i="9" s="1"/>
  <c r="IN39" i="9" s="1"/>
  <c r="IO39" i="9" s="1"/>
  <c r="IP39" i="9" s="1"/>
  <c r="IQ39" i="9" s="1"/>
  <c r="IR39" i="9" s="1"/>
  <c r="IS39" i="9" s="1"/>
  <c r="IT39" i="9" s="1"/>
  <c r="IU39" i="9" s="1"/>
  <c r="IV39" i="9" s="1"/>
  <c r="IW39" i="9" s="1"/>
  <c r="IX39" i="9" s="1"/>
  <c r="IY39" i="9" s="1"/>
  <c r="IZ39" i="9" s="1"/>
  <c r="JA39" i="9" s="1"/>
  <c r="JB39" i="9" s="1"/>
  <c r="JC39" i="9" s="1"/>
  <c r="JD39" i="9" s="1"/>
  <c r="JE39" i="9" s="1"/>
  <c r="JF39" i="9" s="1"/>
  <c r="JG39" i="9" s="1"/>
  <c r="JH39" i="9" s="1"/>
  <c r="JI39" i="9" s="1"/>
  <c r="JJ39" i="9" s="1"/>
  <c r="JK39" i="9" s="1"/>
  <c r="JL39" i="9" s="1"/>
  <c r="JM39" i="9" s="1"/>
  <c r="JN39" i="9" s="1"/>
  <c r="JO39" i="9" s="1"/>
  <c r="JP39" i="9" s="1"/>
  <c r="JQ39" i="9" s="1"/>
  <c r="JR39" i="9" s="1"/>
  <c r="JS39" i="9" s="1"/>
  <c r="JT39" i="9" s="1"/>
  <c r="JU39" i="9" s="1"/>
  <c r="JV39" i="9" s="1"/>
  <c r="JW39" i="9" s="1"/>
  <c r="JX39" i="9" s="1"/>
  <c r="JY39" i="9" s="1"/>
  <c r="JZ39" i="9" s="1"/>
  <c r="KA39" i="9" s="1"/>
  <c r="KB39" i="9" s="1"/>
  <c r="KC39" i="9" s="1"/>
  <c r="KD39" i="9" s="1"/>
  <c r="KE39" i="9" s="1"/>
  <c r="KF39" i="9" s="1"/>
  <c r="KG39" i="9" s="1"/>
  <c r="KH39" i="9" s="1"/>
  <c r="KI39" i="9" s="1"/>
  <c r="KJ39" i="9" s="1"/>
  <c r="KK39" i="9" s="1"/>
  <c r="KL39" i="9" s="1"/>
  <c r="KM39" i="9" s="1"/>
  <c r="KN39" i="9" s="1"/>
  <c r="KO39" i="9" s="1"/>
  <c r="KP39" i="9" s="1"/>
  <c r="C27" i="9"/>
  <c r="D27" i="9" s="1"/>
  <c r="E27" i="9" s="1"/>
  <c r="F27" i="9" s="1"/>
  <c r="G27" i="9" s="1"/>
  <c r="H27" i="9" s="1"/>
  <c r="I27" i="9" s="1"/>
  <c r="J27" i="9" s="1"/>
  <c r="K27" i="9" s="1"/>
  <c r="L27" i="9" s="1"/>
  <c r="M27" i="9" s="1"/>
  <c r="N27" i="9" s="1"/>
  <c r="O27" i="9" s="1"/>
  <c r="P27" i="9" s="1"/>
  <c r="Q27" i="9" s="1"/>
  <c r="R27" i="9" s="1"/>
  <c r="S27" i="9" s="1"/>
  <c r="T27" i="9" s="1"/>
  <c r="U27" i="9" s="1"/>
  <c r="V27" i="9" s="1"/>
  <c r="W27" i="9" s="1"/>
  <c r="X27" i="9" s="1"/>
  <c r="Y27" i="9" s="1"/>
  <c r="Z27" i="9" s="1"/>
  <c r="AA27" i="9" s="1"/>
  <c r="AB27" i="9" s="1"/>
  <c r="AC27" i="9" s="1"/>
  <c r="AD27" i="9" s="1"/>
  <c r="AE27" i="9" s="1"/>
  <c r="AF27" i="9" s="1"/>
  <c r="AG27" i="9" s="1"/>
  <c r="AH27" i="9" s="1"/>
  <c r="AI27" i="9" s="1"/>
  <c r="AJ27" i="9" s="1"/>
  <c r="AK27" i="9" s="1"/>
  <c r="AL27" i="9" s="1"/>
  <c r="AM27" i="9" s="1"/>
  <c r="AN27" i="9" s="1"/>
  <c r="AO27" i="9" s="1"/>
  <c r="AP27" i="9" s="1"/>
  <c r="AQ27" i="9" s="1"/>
  <c r="AR27" i="9" s="1"/>
  <c r="AS27" i="9" s="1"/>
  <c r="AT27" i="9" s="1"/>
  <c r="AU27" i="9" s="1"/>
  <c r="AV27" i="9" s="1"/>
  <c r="AW27" i="9" s="1"/>
  <c r="AX27" i="9" s="1"/>
  <c r="AY27" i="9" s="1"/>
  <c r="AZ27" i="9" s="1"/>
  <c r="BA27" i="9" s="1"/>
  <c r="BB27" i="9" s="1"/>
  <c r="BC27" i="9" s="1"/>
  <c r="BD27" i="9" s="1"/>
  <c r="BE27" i="9" s="1"/>
  <c r="BF27" i="9" s="1"/>
  <c r="BG27" i="9" s="1"/>
  <c r="BH27" i="9" s="1"/>
  <c r="BI27" i="9" s="1"/>
  <c r="BJ27" i="9" s="1"/>
  <c r="BK27" i="9" s="1"/>
  <c r="BL27" i="9" s="1"/>
  <c r="BM27" i="9" s="1"/>
  <c r="BN27" i="9" s="1"/>
  <c r="BO27" i="9" s="1"/>
  <c r="BP27" i="9" s="1"/>
  <c r="BQ27" i="9" s="1"/>
  <c r="BR27" i="9" s="1"/>
  <c r="BS27" i="9" s="1"/>
  <c r="BT27" i="9" s="1"/>
  <c r="BU27" i="9" s="1"/>
  <c r="BV27" i="9" s="1"/>
  <c r="BW27" i="9" s="1"/>
  <c r="BX27" i="9" s="1"/>
  <c r="BY27" i="9" s="1"/>
  <c r="BZ27" i="9" s="1"/>
  <c r="CA27" i="9" s="1"/>
  <c r="CB27" i="9" s="1"/>
  <c r="CC27" i="9" s="1"/>
  <c r="CD27" i="9" s="1"/>
  <c r="CE27" i="9" s="1"/>
  <c r="CF27" i="9" s="1"/>
  <c r="CG27" i="9" s="1"/>
  <c r="CH27" i="9" s="1"/>
  <c r="CI27" i="9" s="1"/>
  <c r="CJ27" i="9" s="1"/>
  <c r="CK27" i="9" s="1"/>
  <c r="CL27" i="9" s="1"/>
  <c r="CM27" i="9" s="1"/>
  <c r="CN27" i="9" s="1"/>
  <c r="CO27" i="9" s="1"/>
  <c r="CP27" i="9" s="1"/>
  <c r="CQ27" i="9" s="1"/>
  <c r="CR27" i="9" s="1"/>
  <c r="CS27" i="9" s="1"/>
  <c r="CT27" i="9" s="1"/>
  <c r="CU27" i="9" s="1"/>
  <c r="CV27" i="9" s="1"/>
  <c r="CW27" i="9" s="1"/>
  <c r="CX27" i="9" s="1"/>
  <c r="CY27" i="9" s="1"/>
  <c r="CZ27" i="9" s="1"/>
  <c r="DA27" i="9" s="1"/>
  <c r="DB27" i="9" s="1"/>
  <c r="DC27" i="9" s="1"/>
  <c r="DD27" i="9" s="1"/>
  <c r="DE27" i="9" s="1"/>
  <c r="DF27" i="9" s="1"/>
  <c r="DG27" i="9" s="1"/>
  <c r="DH27" i="9" s="1"/>
  <c r="DI27" i="9" s="1"/>
  <c r="DJ27" i="9" s="1"/>
  <c r="DK27" i="9" s="1"/>
  <c r="DL27" i="9" s="1"/>
  <c r="DM27" i="9" s="1"/>
  <c r="DN27" i="9" s="1"/>
  <c r="DO27" i="9" s="1"/>
  <c r="DP27" i="9" s="1"/>
  <c r="DQ27" i="9" s="1"/>
  <c r="DR27" i="9" s="1"/>
  <c r="DS27" i="9" s="1"/>
  <c r="DT27" i="9" s="1"/>
  <c r="DU27" i="9" s="1"/>
  <c r="DV27" i="9" s="1"/>
  <c r="DW27" i="9" s="1"/>
  <c r="DX27" i="9" s="1"/>
  <c r="DY27" i="9" s="1"/>
  <c r="DZ27" i="9" s="1"/>
  <c r="EA27" i="9" s="1"/>
  <c r="EB27" i="9" s="1"/>
  <c r="EC27" i="9" s="1"/>
  <c r="ED27" i="9" s="1"/>
  <c r="EE27" i="9" s="1"/>
  <c r="EF27" i="9" s="1"/>
  <c r="EG27" i="9" s="1"/>
  <c r="EH27" i="9" s="1"/>
  <c r="EI27" i="9" s="1"/>
  <c r="EJ27" i="9" s="1"/>
  <c r="EK27" i="9" s="1"/>
  <c r="EL27" i="9" s="1"/>
  <c r="EM27" i="9" s="1"/>
  <c r="EN27" i="9" s="1"/>
  <c r="EO27" i="9" s="1"/>
  <c r="EP27" i="9" s="1"/>
  <c r="EQ27" i="9" s="1"/>
  <c r="ER27" i="9" s="1"/>
  <c r="ES27" i="9" s="1"/>
  <c r="ET27" i="9" s="1"/>
  <c r="EU27" i="9" s="1"/>
  <c r="EV27" i="9" s="1"/>
  <c r="EW27" i="9" s="1"/>
  <c r="EX27" i="9" s="1"/>
  <c r="EY27" i="9" s="1"/>
  <c r="EZ27" i="9" s="1"/>
  <c r="FA27" i="9" s="1"/>
  <c r="FB27" i="9" s="1"/>
  <c r="FC27" i="9" s="1"/>
  <c r="FD27" i="9" s="1"/>
  <c r="FE27" i="9" s="1"/>
  <c r="FF27" i="9" s="1"/>
  <c r="FG27" i="9" s="1"/>
  <c r="FH27" i="9" s="1"/>
  <c r="FI27" i="9" s="1"/>
  <c r="FJ27" i="9" s="1"/>
  <c r="FK27" i="9" s="1"/>
  <c r="FL27" i="9" s="1"/>
  <c r="FM27" i="9" s="1"/>
  <c r="FN27" i="9" s="1"/>
  <c r="FO27" i="9" s="1"/>
  <c r="FP27" i="9" s="1"/>
  <c r="FQ27" i="9" s="1"/>
  <c r="FR27" i="9" s="1"/>
  <c r="FS27" i="9" s="1"/>
  <c r="FT27" i="9" s="1"/>
  <c r="FU27" i="9" s="1"/>
  <c r="FV27" i="9" s="1"/>
  <c r="FW27" i="9" s="1"/>
  <c r="FX27" i="9" s="1"/>
  <c r="FY27" i="9" s="1"/>
  <c r="FZ27" i="9" s="1"/>
  <c r="GA27" i="9" s="1"/>
  <c r="GB27" i="9" s="1"/>
  <c r="GC27" i="9" s="1"/>
  <c r="GD27" i="9" s="1"/>
  <c r="GE27" i="9" s="1"/>
  <c r="GF27" i="9" s="1"/>
  <c r="GG27" i="9" s="1"/>
  <c r="GH27" i="9" s="1"/>
  <c r="GI27" i="9" s="1"/>
  <c r="GJ27" i="9" s="1"/>
  <c r="GK27" i="9" s="1"/>
  <c r="GL27" i="9" s="1"/>
  <c r="GM27" i="9" s="1"/>
  <c r="GN27" i="9" s="1"/>
  <c r="GO27" i="9" s="1"/>
  <c r="GP27" i="9" s="1"/>
  <c r="GQ27" i="9" s="1"/>
  <c r="GR27" i="9" s="1"/>
  <c r="GS27" i="9" s="1"/>
  <c r="GT27" i="9" s="1"/>
  <c r="GU27" i="9" s="1"/>
  <c r="GV27" i="9" s="1"/>
  <c r="GW27" i="9" s="1"/>
  <c r="GX27" i="9" s="1"/>
  <c r="GY27" i="9" s="1"/>
  <c r="GZ27" i="9" s="1"/>
  <c r="HA27" i="9" s="1"/>
  <c r="HB27" i="9" s="1"/>
  <c r="HC27" i="9" s="1"/>
  <c r="HD27" i="9" s="1"/>
  <c r="HE27" i="9" s="1"/>
  <c r="HF27" i="9" s="1"/>
  <c r="HG27" i="9" s="1"/>
  <c r="HH27" i="9" s="1"/>
  <c r="HI27" i="9" s="1"/>
  <c r="HJ27" i="9" s="1"/>
  <c r="HK27" i="9" s="1"/>
  <c r="HL27" i="9" s="1"/>
  <c r="HM27" i="9" s="1"/>
  <c r="HN27" i="9" s="1"/>
  <c r="HO27" i="9" s="1"/>
  <c r="HP27" i="9" s="1"/>
  <c r="HQ27" i="9" s="1"/>
  <c r="HR27" i="9" s="1"/>
  <c r="HS27" i="9" s="1"/>
  <c r="HT27" i="9" s="1"/>
  <c r="HU27" i="9" s="1"/>
  <c r="HV27" i="9" s="1"/>
  <c r="HW27" i="9" s="1"/>
  <c r="HX27" i="9" s="1"/>
  <c r="HY27" i="9" s="1"/>
  <c r="HZ27" i="9" s="1"/>
  <c r="IA27" i="9" s="1"/>
  <c r="IB27" i="9" s="1"/>
  <c r="IC27" i="9" s="1"/>
  <c r="ID27" i="9" s="1"/>
  <c r="IE27" i="9" s="1"/>
  <c r="IF27" i="9" s="1"/>
  <c r="IG27" i="9" s="1"/>
  <c r="IH27" i="9" s="1"/>
  <c r="II27" i="9" s="1"/>
  <c r="IJ27" i="9" s="1"/>
  <c r="IK27" i="9" s="1"/>
  <c r="IL27" i="9" s="1"/>
  <c r="IM27" i="9" s="1"/>
  <c r="IN27" i="9" s="1"/>
  <c r="IO27" i="9" s="1"/>
  <c r="IP27" i="9" s="1"/>
  <c r="IQ27" i="9" s="1"/>
  <c r="IR27" i="9" s="1"/>
  <c r="IS27" i="9" s="1"/>
  <c r="IT27" i="9" s="1"/>
  <c r="IU27" i="9" s="1"/>
  <c r="IV27" i="9" s="1"/>
  <c r="IW27" i="9" s="1"/>
  <c r="IX27" i="9" s="1"/>
  <c r="IY27" i="9" s="1"/>
  <c r="IZ27" i="9" s="1"/>
  <c r="JA27" i="9" s="1"/>
  <c r="JB27" i="9" s="1"/>
  <c r="JC27" i="9" s="1"/>
  <c r="JD27" i="9" s="1"/>
  <c r="JE27" i="9" s="1"/>
  <c r="JF27" i="9" s="1"/>
  <c r="JG27" i="9" s="1"/>
  <c r="JH27" i="9" s="1"/>
  <c r="JI27" i="9" s="1"/>
  <c r="JJ27" i="9" s="1"/>
  <c r="JK27" i="9" s="1"/>
  <c r="JL27" i="9" s="1"/>
  <c r="JM27" i="9" s="1"/>
  <c r="JN27" i="9" s="1"/>
  <c r="JO27" i="9" s="1"/>
  <c r="JP27" i="9" s="1"/>
  <c r="JQ27" i="9" s="1"/>
  <c r="JR27" i="9" s="1"/>
  <c r="JS27" i="9" s="1"/>
  <c r="JT27" i="9" s="1"/>
  <c r="JU27" i="9" s="1"/>
  <c r="JV27" i="9" s="1"/>
  <c r="JW27" i="9" s="1"/>
  <c r="JX27" i="9" s="1"/>
  <c r="JY27" i="9" s="1"/>
  <c r="JZ27" i="9" s="1"/>
  <c r="KA27" i="9" s="1"/>
  <c r="KB27" i="9" s="1"/>
  <c r="KC27" i="9" s="1"/>
  <c r="KD27" i="9" s="1"/>
  <c r="KE27" i="9" s="1"/>
  <c r="KF27" i="9" s="1"/>
  <c r="KG27" i="9" s="1"/>
  <c r="KH27" i="9" s="1"/>
  <c r="KI27" i="9" s="1"/>
  <c r="KJ27" i="9" s="1"/>
  <c r="KK27" i="9" s="1"/>
  <c r="KL27" i="9" s="1"/>
  <c r="KM27" i="9" s="1"/>
  <c r="KN27" i="9" s="1"/>
  <c r="KO27" i="9" s="1"/>
  <c r="KP27" i="9" s="1"/>
  <c r="D44" i="9"/>
  <c r="C15" i="9"/>
  <c r="D15" i="9" s="1"/>
  <c r="E15" i="9" s="1"/>
  <c r="F15" i="9" s="1"/>
  <c r="G15" i="9" s="1"/>
  <c r="H15" i="9" s="1"/>
  <c r="I15" i="9" s="1"/>
  <c r="J15" i="9" s="1"/>
  <c r="K15" i="9" s="1"/>
  <c r="L15" i="9" s="1"/>
  <c r="M15" i="9" s="1"/>
  <c r="N15" i="9" s="1"/>
  <c r="O15" i="9" s="1"/>
  <c r="P15" i="9" s="1"/>
  <c r="Q15" i="9" s="1"/>
  <c r="R15" i="9" s="1"/>
  <c r="S15" i="9" s="1"/>
  <c r="T15" i="9" s="1"/>
  <c r="U15" i="9" s="1"/>
  <c r="V15" i="9" s="1"/>
  <c r="W15" i="9" s="1"/>
  <c r="X15" i="9" s="1"/>
  <c r="Y15" i="9" s="1"/>
  <c r="Z15" i="9" s="1"/>
  <c r="AA15" i="9" s="1"/>
  <c r="AB15" i="9" s="1"/>
  <c r="AC15" i="9" s="1"/>
  <c r="AD15" i="9" s="1"/>
  <c r="AE15" i="9" s="1"/>
  <c r="AF15" i="9" s="1"/>
  <c r="AG15" i="9" s="1"/>
  <c r="AH15" i="9" s="1"/>
  <c r="AI15" i="9" s="1"/>
  <c r="AJ15" i="9" s="1"/>
  <c r="AK15" i="9" s="1"/>
  <c r="AL15" i="9" s="1"/>
  <c r="AM15" i="9" s="1"/>
  <c r="AN15" i="9" s="1"/>
  <c r="AO15" i="9" s="1"/>
  <c r="AP15" i="9" s="1"/>
  <c r="AQ15" i="9" s="1"/>
  <c r="AR15" i="9" s="1"/>
  <c r="AS15" i="9" s="1"/>
  <c r="AT15" i="9" s="1"/>
  <c r="AU15" i="9" s="1"/>
  <c r="AV15" i="9" s="1"/>
  <c r="AW15" i="9" s="1"/>
  <c r="AX15" i="9" s="1"/>
  <c r="AY15" i="9" s="1"/>
  <c r="AZ15" i="9" s="1"/>
  <c r="BA15" i="9" s="1"/>
  <c r="BB15" i="9" s="1"/>
  <c r="BC15" i="9" s="1"/>
  <c r="BD15" i="9" s="1"/>
  <c r="BE15" i="9" s="1"/>
  <c r="BF15" i="9" s="1"/>
  <c r="BG15" i="9" s="1"/>
  <c r="BH15" i="9" s="1"/>
  <c r="BI15" i="9" s="1"/>
  <c r="BJ15" i="9" s="1"/>
  <c r="BK15" i="9" s="1"/>
  <c r="BL15" i="9" s="1"/>
  <c r="BM15" i="9" s="1"/>
  <c r="BN15" i="9" s="1"/>
  <c r="BO15" i="9" s="1"/>
  <c r="BP15" i="9" s="1"/>
  <c r="BQ15" i="9" s="1"/>
  <c r="BR15" i="9" s="1"/>
  <c r="BS15" i="9" s="1"/>
  <c r="BT15" i="9" s="1"/>
  <c r="BU15" i="9" s="1"/>
  <c r="BV15" i="9" s="1"/>
  <c r="BW15" i="9" s="1"/>
  <c r="BX15" i="9" s="1"/>
  <c r="BY15" i="9" s="1"/>
  <c r="BZ15" i="9" s="1"/>
  <c r="CA15" i="9" s="1"/>
  <c r="CB15" i="9" s="1"/>
  <c r="CC15" i="9" s="1"/>
  <c r="CD15" i="9" s="1"/>
  <c r="CE15" i="9" s="1"/>
  <c r="CF15" i="9" s="1"/>
  <c r="CG15" i="9" s="1"/>
  <c r="CH15" i="9" s="1"/>
  <c r="CI15" i="9" s="1"/>
  <c r="CJ15" i="9" s="1"/>
  <c r="CK15" i="9" s="1"/>
  <c r="CL15" i="9" s="1"/>
  <c r="CM15" i="9" s="1"/>
  <c r="CN15" i="9" s="1"/>
  <c r="CO15" i="9" s="1"/>
  <c r="CP15" i="9" s="1"/>
  <c r="CQ15" i="9" s="1"/>
  <c r="CR15" i="9" s="1"/>
  <c r="CS15" i="9" s="1"/>
  <c r="CT15" i="9" s="1"/>
  <c r="CU15" i="9" s="1"/>
  <c r="CV15" i="9" s="1"/>
  <c r="CW15" i="9" s="1"/>
  <c r="CX15" i="9" s="1"/>
  <c r="CY15" i="9" s="1"/>
  <c r="CZ15" i="9" s="1"/>
  <c r="DA15" i="9" s="1"/>
  <c r="DB15" i="9" s="1"/>
  <c r="DC15" i="9" s="1"/>
  <c r="DD15" i="9" s="1"/>
  <c r="DE15" i="9" s="1"/>
  <c r="DF15" i="9" s="1"/>
  <c r="DG15" i="9" s="1"/>
  <c r="DH15" i="9" s="1"/>
  <c r="DI15" i="9" s="1"/>
  <c r="DJ15" i="9" s="1"/>
  <c r="DK15" i="9" s="1"/>
  <c r="DL15" i="9" s="1"/>
  <c r="DM15" i="9" s="1"/>
  <c r="DN15" i="9" s="1"/>
  <c r="DO15" i="9" s="1"/>
  <c r="DP15" i="9" s="1"/>
  <c r="DQ15" i="9" s="1"/>
  <c r="DR15" i="9" s="1"/>
  <c r="DS15" i="9" s="1"/>
  <c r="DT15" i="9" s="1"/>
  <c r="DU15" i="9" s="1"/>
  <c r="DV15" i="9" s="1"/>
  <c r="DW15" i="9" s="1"/>
  <c r="DX15" i="9" s="1"/>
  <c r="DY15" i="9" s="1"/>
  <c r="DZ15" i="9" s="1"/>
  <c r="EA15" i="9" s="1"/>
  <c r="EB15" i="9" s="1"/>
  <c r="EC15" i="9" s="1"/>
  <c r="ED15" i="9" s="1"/>
  <c r="EE15" i="9" s="1"/>
  <c r="EF15" i="9" s="1"/>
  <c r="EG15" i="9" s="1"/>
  <c r="EH15" i="9" s="1"/>
  <c r="EI15" i="9" s="1"/>
  <c r="EJ15" i="9" s="1"/>
  <c r="EK15" i="9" s="1"/>
  <c r="EL15" i="9" s="1"/>
  <c r="EM15" i="9" s="1"/>
  <c r="EN15" i="9" s="1"/>
  <c r="EO15" i="9" s="1"/>
  <c r="EP15" i="9" s="1"/>
  <c r="EQ15" i="9" s="1"/>
  <c r="ER15" i="9" s="1"/>
  <c r="ES15" i="9" s="1"/>
  <c r="ET15" i="9" s="1"/>
  <c r="EU15" i="9" s="1"/>
  <c r="EV15" i="9" s="1"/>
  <c r="EW15" i="9" s="1"/>
  <c r="EX15" i="9" s="1"/>
  <c r="EY15" i="9" s="1"/>
  <c r="EZ15" i="9" s="1"/>
  <c r="FA15" i="9" s="1"/>
  <c r="FB15" i="9" s="1"/>
  <c r="FC15" i="9" s="1"/>
  <c r="FD15" i="9" s="1"/>
  <c r="FE15" i="9" s="1"/>
  <c r="FF15" i="9" s="1"/>
  <c r="FG15" i="9" s="1"/>
  <c r="FH15" i="9" s="1"/>
  <c r="FI15" i="9" s="1"/>
  <c r="FJ15" i="9" s="1"/>
  <c r="FK15" i="9" s="1"/>
  <c r="FL15" i="9" s="1"/>
  <c r="FM15" i="9" s="1"/>
  <c r="FN15" i="9" s="1"/>
  <c r="FO15" i="9" s="1"/>
  <c r="FP15" i="9" s="1"/>
  <c r="FQ15" i="9" s="1"/>
  <c r="FR15" i="9" s="1"/>
  <c r="FS15" i="9" s="1"/>
  <c r="FT15" i="9" s="1"/>
  <c r="FU15" i="9" s="1"/>
  <c r="FV15" i="9" s="1"/>
  <c r="FW15" i="9" s="1"/>
  <c r="FX15" i="9" s="1"/>
  <c r="FY15" i="9" s="1"/>
  <c r="FZ15" i="9" s="1"/>
  <c r="GA15" i="9" s="1"/>
  <c r="GB15" i="9" s="1"/>
  <c r="GC15" i="9" s="1"/>
  <c r="GD15" i="9" s="1"/>
  <c r="GE15" i="9" s="1"/>
  <c r="GF15" i="9" s="1"/>
  <c r="GG15" i="9" s="1"/>
  <c r="GH15" i="9" s="1"/>
  <c r="GI15" i="9" s="1"/>
  <c r="GJ15" i="9" s="1"/>
  <c r="GK15" i="9" s="1"/>
  <c r="GL15" i="9" s="1"/>
  <c r="GM15" i="9" s="1"/>
  <c r="GN15" i="9" s="1"/>
  <c r="GO15" i="9" s="1"/>
  <c r="GP15" i="9" s="1"/>
  <c r="GQ15" i="9" s="1"/>
  <c r="GR15" i="9" s="1"/>
  <c r="GS15" i="9" s="1"/>
  <c r="GT15" i="9" s="1"/>
  <c r="GU15" i="9" s="1"/>
  <c r="GV15" i="9" s="1"/>
  <c r="GW15" i="9" s="1"/>
  <c r="GX15" i="9" s="1"/>
  <c r="GY15" i="9" s="1"/>
  <c r="GZ15" i="9" s="1"/>
  <c r="HA15" i="9" s="1"/>
  <c r="HB15" i="9" s="1"/>
  <c r="HC15" i="9" s="1"/>
  <c r="HD15" i="9" s="1"/>
  <c r="HE15" i="9" s="1"/>
  <c r="HF15" i="9" s="1"/>
  <c r="HG15" i="9" s="1"/>
  <c r="HH15" i="9" s="1"/>
  <c r="HI15" i="9" s="1"/>
  <c r="HJ15" i="9" s="1"/>
  <c r="HK15" i="9" s="1"/>
  <c r="HL15" i="9" s="1"/>
  <c r="HM15" i="9" s="1"/>
  <c r="HN15" i="9" s="1"/>
  <c r="HO15" i="9" s="1"/>
  <c r="HP15" i="9" s="1"/>
  <c r="HQ15" i="9" s="1"/>
  <c r="HR15" i="9" s="1"/>
  <c r="HS15" i="9" s="1"/>
  <c r="HT15" i="9" s="1"/>
  <c r="HU15" i="9" s="1"/>
  <c r="HV15" i="9" s="1"/>
  <c r="HW15" i="9" s="1"/>
  <c r="HX15" i="9" s="1"/>
  <c r="HY15" i="9" s="1"/>
  <c r="HZ15" i="9" s="1"/>
  <c r="IA15" i="9" s="1"/>
  <c r="IB15" i="9" s="1"/>
  <c r="IC15" i="9" s="1"/>
  <c r="ID15" i="9" s="1"/>
  <c r="IE15" i="9" s="1"/>
  <c r="IF15" i="9" s="1"/>
  <c r="IG15" i="9" s="1"/>
  <c r="IH15" i="9" s="1"/>
  <c r="II15" i="9" s="1"/>
  <c r="IJ15" i="9" s="1"/>
  <c r="IK15" i="9" s="1"/>
  <c r="IL15" i="9" s="1"/>
  <c r="IM15" i="9" s="1"/>
  <c r="IN15" i="9" s="1"/>
  <c r="IO15" i="9" s="1"/>
  <c r="IP15" i="9" s="1"/>
  <c r="IQ15" i="9" s="1"/>
  <c r="IR15" i="9" s="1"/>
  <c r="IS15" i="9" s="1"/>
  <c r="IT15" i="9" s="1"/>
  <c r="IU15" i="9" s="1"/>
  <c r="IV15" i="9" s="1"/>
  <c r="IW15" i="9" s="1"/>
  <c r="IX15" i="9" s="1"/>
  <c r="IY15" i="9" s="1"/>
  <c r="IZ15" i="9" s="1"/>
  <c r="JA15" i="9" s="1"/>
  <c r="JB15" i="9" s="1"/>
  <c r="JC15" i="9" s="1"/>
  <c r="JD15" i="9" s="1"/>
  <c r="JE15" i="9" s="1"/>
  <c r="JF15" i="9" s="1"/>
  <c r="JG15" i="9" s="1"/>
  <c r="JH15" i="9" s="1"/>
  <c r="JI15" i="9" s="1"/>
  <c r="JJ15" i="9" s="1"/>
  <c r="JK15" i="9" s="1"/>
  <c r="JL15" i="9" s="1"/>
  <c r="JM15" i="9" s="1"/>
  <c r="JN15" i="9" s="1"/>
  <c r="JO15" i="9" s="1"/>
  <c r="JP15" i="9" s="1"/>
  <c r="JQ15" i="9" s="1"/>
  <c r="JR15" i="9" s="1"/>
  <c r="JS15" i="9" s="1"/>
  <c r="JT15" i="9" s="1"/>
  <c r="JU15" i="9" s="1"/>
  <c r="JV15" i="9" s="1"/>
  <c r="JW15" i="9" s="1"/>
  <c r="JX15" i="9" s="1"/>
  <c r="JY15" i="9" s="1"/>
  <c r="JZ15" i="9" s="1"/>
  <c r="KA15" i="9" s="1"/>
  <c r="KB15" i="9" s="1"/>
  <c r="KC15" i="9" s="1"/>
  <c r="KD15" i="9" s="1"/>
  <c r="KE15" i="9" s="1"/>
  <c r="KF15" i="9" s="1"/>
  <c r="KG15" i="9" s="1"/>
  <c r="KH15" i="9" s="1"/>
  <c r="KI15" i="9" s="1"/>
  <c r="KJ15" i="9" s="1"/>
  <c r="KK15" i="9" s="1"/>
  <c r="KL15" i="9" s="1"/>
  <c r="KM15" i="9" s="1"/>
  <c r="KN15" i="9" s="1"/>
  <c r="KO15" i="9" s="1"/>
  <c r="KP15" i="9" s="1"/>
  <c r="E44" i="9" l="1"/>
  <c r="D45" i="9"/>
  <c r="E45" i="9" s="1"/>
  <c r="D43" i="9"/>
  <c r="E43" i="9" s="1"/>
</calcChain>
</file>

<file path=xl/sharedStrings.xml><?xml version="1.0" encoding="utf-8"?>
<sst xmlns="http://schemas.openxmlformats.org/spreadsheetml/2006/main" count="1280" uniqueCount="574">
  <si>
    <t>Output Summary — Valuation of Renewable Energy Assets under Power Price Uncertainty | DK1 Primary Specification</t>
  </si>
  <si>
    <t>50MW Danish Solar PV | 25-Year Project Life | PPA 10 years @ 45.0 EUR/MWh | CAPEX 23,000 EURk | NCF 12.2%</t>
  </si>
  <si>
    <t>1. OU CALIBRATION PARAMETERS — DK1 PRIMARY</t>
  </si>
  <si>
    <t>Parameter</t>
  </si>
  <si>
    <t>DK1 ex-2022 (Primary)</t>
  </si>
  <si>
    <t>DK1 Post-crisis</t>
  </si>
  <si>
    <t>DK2 ex-2022</t>
  </si>
  <si>
    <t>DK2 Post-crisis</t>
  </si>
  <si>
    <t>Unit</t>
  </si>
  <si>
    <t>Long-run mean (mu)</t>
  </si>
  <si>
    <t>EUR/MWh</t>
  </si>
  <si>
    <t>Mean reversion (kappa)</t>
  </si>
  <si>
    <t>/month</t>
  </si>
  <si>
    <t>Volatility (sigma)</t>
  </si>
  <si>
    <t>Half-life</t>
  </si>
  <si>
    <t>months</t>
  </si>
  <si>
    <t>2. MONTE CARLO SIMULATION — DK1 PRIMARY (10,000 paths)</t>
  </si>
  <si>
    <t>Horizon</t>
  </si>
  <si>
    <t>P50 (EUR/MWh)</t>
  </si>
  <si>
    <t>P90 (EUR/MWh)</t>
  </si>
  <si>
    <t>P99 (EUR/MWh)</t>
  </si>
  <si>
    <t>mu_capture (EUR/MWh)</t>
  </si>
  <si>
    <t>Year 5</t>
  </si>
  <si>
    <t>Year 10</t>
  </si>
  <si>
    <t>&lt;- PPA expiry</t>
  </si>
  <si>
    <t>Year 15</t>
  </si>
  <si>
    <t>Year 20</t>
  </si>
  <si>
    <t>Year 25</t>
  </si>
  <si>
    <t>3. NPV RESULTS — SEGMENTED vs SINGLE WACC</t>
  </si>
  <si>
    <t>Scenario</t>
  </si>
  <si>
    <t>NPV Segmented WACC (EURk)</t>
  </si>
  <si>
    <t>NPV Single WACC (EURk)</t>
  </si>
  <si>
    <t>Difference (EURk)</t>
  </si>
  <si>
    <t>Difference (%)</t>
  </si>
  <si>
    <t>Interpretation</t>
  </si>
  <si>
    <t>P50</t>
  </si>
  <si>
    <t>Base case — project marginally viable</t>
  </si>
  <si>
    <t>P90</t>
  </si>
  <si>
    <t>Conservative downside — project loss-making</t>
  </si>
  <si>
    <t>P99</t>
  </si>
  <si>
    <t>Extreme stress — significant loss</t>
  </si>
  <si>
    <t>4. DEBT SIZING — P90 PRIMARY | DSCR_min PPA=1.20x | Merchant=1.35x</t>
  </si>
  <si>
    <t>Debt Quantum (EURk)</t>
  </si>
  <si>
    <t>Gearing (D/CAPEX)</t>
  </si>
  <si>
    <t>LLCR</t>
  </si>
  <si>
    <t>Min DSCR PPA</t>
  </si>
  <si>
    <t>Min DSCR Merchant</t>
  </si>
  <si>
    <t>P50 (reference)</t>
  </si>
  <si>
    <t>P90 (primary)</t>
  </si>
  <si>
    <t>P99 (stress)</t>
  </si>
  <si>
    <t>Debt Capacity Contraction (P50 -&gt; P90):</t>
  </si>
  <si>
    <t>Debt Capacity Contraction (P50 -&gt; P99):</t>
  </si>
  <si>
    <t>5. STRESS TEST — TOP 5 SENSITIVITIES &amp; SCENARIO ANALYSIS</t>
  </si>
  <si>
    <t>Input</t>
  </si>
  <si>
    <t>NPV Low (-20%) (EURk)</t>
  </si>
  <si>
    <t>NPV Base (EURk)</t>
  </si>
  <si>
    <t>NPV High (+20%) (EURk)</t>
  </si>
  <si>
    <t>Range (EURk)</t>
  </si>
  <si>
    <t>Rank</t>
  </si>
  <si>
    <t>NCF (%)</t>
  </si>
  <si>
    <t>CAPEX (EURk)</t>
  </si>
  <si>
    <t>OU mu (EUR/MWh)</t>
  </si>
  <si>
    <t>PPA Price (EUR/MWh)</t>
  </si>
  <si>
    <t>Alpha end (%)</t>
  </si>
  <si>
    <t>NPV P50 (EURk)</t>
  </si>
  <si>
    <t>vs Base (EURk)</t>
  </si>
  <si>
    <t>vs Base (%)</t>
  </si>
  <si>
    <t>Optimistic</t>
  </si>
  <si>
    <t>Base Case</t>
  </si>
  <si>
    <t>Pessimistic</t>
  </si>
  <si>
    <t>6. KEY THESIS FINDINGS</t>
  </si>
  <si>
    <t>Finding 1</t>
  </si>
  <si>
    <t>Segmented WACC framework produces higher NPV than single WACC (difference: -842 EURk at P50). Single WACC systematically overestimates the discount rate applied to contracted PPA cash flows, leading to systematic undervaluation.</t>
  </si>
  <si>
    <t>Finding 2</t>
  </si>
  <si>
    <t>Merchant tail risk causes significant debt capacity contraction of 42.9% from P50 to P90. A lender using P50 to size debt would over-leverage the project. P90 is the appropriate conservative basis for debt sizing in non-recourse project finance.</t>
  </si>
  <si>
    <t>Finding 3</t>
  </si>
  <si>
    <t>NCF (capacity factor) is the primary value driver (sensitivity range: 13,321 EURk), followed by long-run mean price mu (9,200 EURk). OU volatility sigma has negligible NPV impact (146 EURk) — volatility affects risk distribution, not expected value.</t>
  </si>
  <si>
    <t>Finding 4</t>
  </si>
  <si>
    <t>P50 NPV = 3,732 EURk under segmented WACC. P99 NPV = -3,044 EURk under extreme merchant stress. The segmented WACC framework reveals a valuation gap that a single blended WACC would obscure, with material implications for both equity valuation and debt capacity assessment.</t>
  </si>
  <si>
    <t xml:space="preserve">   Data Log</t>
  </si>
  <si>
    <t>#</t>
  </si>
  <si>
    <t>Variable</t>
  </si>
  <si>
    <t>Value</t>
  </si>
  <si>
    <t>Source</t>
  </si>
  <si>
    <t>Frequency</t>
  </si>
  <si>
    <t>Geography</t>
  </si>
  <si>
    <t>Date</t>
  </si>
  <si>
    <t>Used In Model</t>
  </si>
  <si>
    <t>Note</t>
  </si>
  <si>
    <t>Electricity Price Data</t>
  </si>
  <si>
    <t>Day-ahead market prices</t>
  </si>
  <si>
    <t>—</t>
  </si>
  <si>
    <t>ENTSO-E Transparency Platform, 2025</t>
  </si>
  <si>
    <t>Hourly</t>
  </si>
  <si>
    <t>DK1/DK2</t>
  </si>
  <si>
    <t>01/01/2019 - 31/12/2025</t>
  </si>
  <si>
    <t>OU Calibration, Monte Carlo Simulation</t>
  </si>
  <si>
    <t>Solar and Consumption Data - Capture Price Inputs</t>
  </si>
  <si>
    <t>Solar Power Production over 40 kW</t>
  </si>
  <si>
    <t>MWh</t>
  </si>
  <si>
    <t>Energy Data Service (Energinet.dk), 2025</t>
  </si>
  <si>
    <t>Cannibalisation regression α(t)</t>
  </si>
  <si>
    <t>Power Gross Consumption MWh</t>
  </si>
  <si>
    <t>Derived Cannibalisation Variables - Capture Price Inputs &amp; Calibration</t>
  </si>
  <si>
    <t>Solar penetration proxy</t>
  </si>
  <si>
    <t>%</t>
  </si>
  <si>
    <t>Derived</t>
  </si>
  <si>
    <t>Monthly</t>
  </si>
  <si>
    <t>Cannibalisation regression α(t): independent variable (X) for estimating α(t)</t>
  </si>
  <si>
    <t>Solar Penetration Proxy = Solar Production MWh / Gross Consumption MWh</t>
  </si>
  <si>
    <t>Capture Prices</t>
  </si>
  <si>
    <t>Cannibalisation regression α(t): used to calculate CPR</t>
  </si>
  <si>
    <t>Σ(Price × Solar Production) / Σ(Solar Production)</t>
  </si>
  <si>
    <t>Capture Price Ratio (CPR)</t>
  </si>
  <si>
    <t>Ratio</t>
  </si>
  <si>
    <t>Cannibalisation regression α(t): dependent variable (Y) for estimating α(t)</t>
  </si>
  <si>
    <t>Capture Price / Spot Price</t>
  </si>
  <si>
    <t>Financial Input - Assumptions &amp; WACC</t>
  </si>
  <si>
    <t>Risk-free rate (Rf)</t>
  </si>
  <si>
    <t>Danmarks Nationalbank, 2025</t>
  </si>
  <si>
    <t>Point estimate</t>
  </si>
  <si>
    <t>Denmark</t>
  </si>
  <si>
    <t>PPA WACC, Merchant WACC</t>
  </si>
  <si>
    <t>2.25% Danske Stat 2035</t>
  </si>
  <si>
    <t>Equity Risk Premium (ERP)</t>
  </si>
  <si>
    <t>Damodaran: Country Risk Premiums (Denmark, Aaa), 2026</t>
  </si>
  <si>
    <t>Annual</t>
  </si>
  <si>
    <t>β_PPA (unlevered)</t>
  </si>
  <si>
    <t>Damodaran: Power sector, Global Betas by Sector, 2026</t>
  </si>
  <si>
    <t>Global</t>
  </si>
  <si>
    <t>PPA WACC</t>
  </si>
  <si>
    <t>β_merchant (unlevered)</t>
  </si>
  <si>
    <t>Damodaran: Green &amp; Renewable Energy, Global Betas, 2026</t>
  </si>
  <si>
    <t>Merchant WACC</t>
  </si>
  <si>
    <t>Debt margin (PPA phase)</t>
  </si>
  <si>
    <t>% spread</t>
  </si>
  <si>
    <t>Gatti, 2019; IRENA, The Cost of Financing for Renewable Power, 2023</t>
  </si>
  <si>
    <t>Europe</t>
  </si>
  <si>
    <t>r_d,PPA for WACC_PPA</t>
  </si>
  <si>
    <t>Debt margins represent midpoints of indicative ranges for European contracted (150-200 bps) and merchant-exposed (300-350 bps) renewable project finance, consistent with Gatti (2019) and IRENA (2023)</t>
  </si>
  <si>
    <t>Debt margin (Merchant phase)</t>
  </si>
  <si>
    <t>r_d,merchant for WACC_merchant</t>
  </si>
  <si>
    <t>Equity Share (PPA phase)</t>
  </si>
  <si>
    <t>Gatti, 2019; Steffen, 2020</t>
  </si>
  <si>
    <t>WACC_PPA (equity weight)</t>
  </si>
  <si>
    <t>25% equity PPA consistent with 70-80% debt standard for contracted renewables (Gatti, 2019); 45% equity merchant reflects reduced debt capacity under unhedged exposure (Steffen, 2020)</t>
  </si>
  <si>
    <t>Equity Share (Merchant phase)</t>
  </si>
  <si>
    <t>WACC_merchant (equity weight)</t>
  </si>
  <si>
    <t>Corporate tax rate (τ)</t>
  </si>
  <si>
    <t>Damodaran Country Risk Premiums, 2026; Skattestyrelsen, 2025</t>
  </si>
  <si>
    <t>WACC, FCFF model</t>
  </si>
  <si>
    <t>Technical and Commercial Input - Assumptions</t>
  </si>
  <si>
    <t>CAPEX</t>
  </si>
  <si>
    <t>USD/kW</t>
  </si>
  <si>
    <t>FCFF model</t>
  </si>
  <si>
    <t>OPEX</t>
  </si>
  <si>
    <t>USD/kW/year</t>
  </si>
  <si>
    <t>Wood Mackenzie, Europe LCOE Report, 2024</t>
  </si>
  <si>
    <t>OPEX Escalation</t>
  </si>
  <si>
    <t>European Central Bank, 2025</t>
  </si>
  <si>
    <t>European Central Bank, ECB inflation target 2%, consistent with Danish long-run inflation expectations</t>
  </si>
  <si>
    <t>PPA benchmark price</t>
  </si>
  <si>
    <t>Pexapark, 2025; LevelTen Energy Q3, 2025; KYOS, 2025; DK1 solar PPA reference price, March 2025</t>
  </si>
  <si>
    <t>DK1</t>
  </si>
  <si>
    <t>Revenue model (PPA phase)</t>
  </si>
  <si>
    <t>Project capacity</t>
  </si>
  <si>
    <t>MW</t>
  </si>
  <si>
    <t>IEA, 2025; Energinet, 2025</t>
  </si>
  <si>
    <t>Revenue model</t>
  </si>
  <si>
    <t>Representative Danish utility-scale</t>
  </si>
  <si>
    <t>Project life</t>
  </si>
  <si>
    <t>Years</t>
  </si>
  <si>
    <t>IEA, 2025</t>
  </si>
  <si>
    <t>All models</t>
  </si>
  <si>
    <t>Standard for solar PV</t>
  </si>
  <si>
    <t>PPA duration</t>
  </si>
  <si>
    <t>Pexapark, 2024</t>
  </si>
  <si>
    <t>Switch date T*</t>
  </si>
  <si>
    <t>Typical bankable PPA tenor in Denmark</t>
  </si>
  <si>
    <t>Panel degradation rate</t>
  </si>
  <si>
    <t>% p.a.</t>
  </si>
  <si>
    <t>IEA Renewables 2025; IRENA industry standard</t>
  </si>
  <si>
    <t>Production profile</t>
  </si>
  <si>
    <t>Capacity factor</t>
  </si>
  <si>
    <t xml:space="preserve"> 3,363 GWh production, 3,529 MW capacity, 8,760 hours</t>
  </si>
  <si>
    <t>Technical availability</t>
  </si>
  <si>
    <t>IEA, 2025; IRENA, 2024</t>
  </si>
  <si>
    <t>Industry standard for utility-scale solar PV (consistent with IEA/IRENA O&amp;M benchmarks)</t>
  </si>
  <si>
    <t>Curtailment</t>
  </si>
  <si>
    <t>IEA Renewables, 2025</t>
  </si>
  <si>
    <t>Global solar PV curtailment rate 2024 per IEA Renewables 2025; applied as conservative Danish base case</t>
  </si>
  <si>
    <t>AC:DC Ratio</t>
  </si>
  <si>
    <t>AC:DC ratio of 1.0 implies no DC oversizing — conservative baseline</t>
  </si>
  <si>
    <t>End</t>
  </si>
  <si>
    <t xml:space="preserve">   Assumptions</t>
  </si>
  <si>
    <t>Timeline</t>
  </si>
  <si>
    <t>Start of Development</t>
  </si>
  <si>
    <t>Start of Construction</t>
  </si>
  <si>
    <t>Commercial Operation Date</t>
  </si>
  <si>
    <t>Operational Lifetime</t>
  </si>
  <si>
    <t>Months</t>
  </si>
  <si>
    <t>Input from Data Log</t>
  </si>
  <si>
    <t>Technicalities</t>
  </si>
  <si>
    <t>Installed Capacity</t>
  </si>
  <si>
    <t>MW(dc)</t>
  </si>
  <si>
    <t>Power Production</t>
  </si>
  <si>
    <t>NCF, P50</t>
  </si>
  <si>
    <t>Derived: NCF = Capacity Factor * (1 − Curtailment) * (1 − Degradation) * Technical Availability</t>
  </si>
  <si>
    <t>NCF, P90</t>
  </si>
  <si>
    <t>Will be calculated using Monte Carlo simulation</t>
  </si>
  <si>
    <t>NCF, P99</t>
  </si>
  <si>
    <t>Degradation</t>
  </si>
  <si>
    <t>Technical Availability</t>
  </si>
  <si>
    <t>Project Costs</t>
  </si>
  <si>
    <t>Construction Costs</t>
  </si>
  <si>
    <t>EURk</t>
  </si>
  <si>
    <t>Operational Costs</t>
  </si>
  <si>
    <t>O&amp;M</t>
  </si>
  <si>
    <t>Revenue</t>
  </si>
  <si>
    <t>PPA</t>
  </si>
  <si>
    <t>PPA Tenor</t>
  </si>
  <si>
    <t>Merchant Price</t>
  </si>
  <si>
    <t>Taxes</t>
  </si>
  <si>
    <t>Corporate Tax Rate</t>
  </si>
  <si>
    <t xml:space="preserve">  WACC</t>
  </si>
  <si>
    <t>Formula / Note</t>
  </si>
  <si>
    <t>Macroeconomic Inputs</t>
  </si>
  <si>
    <t>PPA Phase - Cost of Capital</t>
  </si>
  <si>
    <t>β_PPA (unlevered asset beta)</t>
  </si>
  <si>
    <t>Equity share — PPA (E/V)</t>
  </si>
  <si>
    <t>Debt share — PPA (D/V)</t>
  </si>
  <si>
    <t>Derived: 1 - Equity Share - PPA (E/V)</t>
  </si>
  <si>
    <t>Debt margin — PPA</t>
  </si>
  <si>
    <t>r_e,PPA (cost of equity)</t>
  </si>
  <si>
    <t>Derived: CAPM: Rf + β_PPA × ERP</t>
  </si>
  <si>
    <t>r_d,PPA (cost of debt)</t>
  </si>
  <si>
    <t>Derived: Rf + debt margin PPA</t>
  </si>
  <si>
    <t>WACC_PPA</t>
  </si>
  <si>
    <t>Derived: WACC_PPA = (E_PPA/V_PPA) · r_e,PPA + (D_PPA/V_PPA) · r_d,PPA · (1 − τ)</t>
  </si>
  <si>
    <t>Merchant Phase - Cost of Capital</t>
  </si>
  <si>
    <t>β_merchant (unlevered asset beta)</t>
  </si>
  <si>
    <t>Equity share — Merchant (E/V)</t>
  </si>
  <si>
    <t>Debt share — Merchant (D/V)</t>
  </si>
  <si>
    <t>Derived: 1 - Equity Share - Merchant  (E/V)</t>
  </si>
  <si>
    <t>Debt margin — Merchant</t>
  </si>
  <si>
    <t>r_e,merchant (cost of equity)</t>
  </si>
  <si>
    <t>Derived: CAPM: Rf + β_merchant × ERP</t>
  </si>
  <si>
    <t>r_d,merchant (cost of debt)</t>
  </si>
  <si>
    <t>Derived: Rf + debt margin merchant</t>
  </si>
  <si>
    <t>WACC_merchant</t>
  </si>
  <si>
    <t>Derived: WACC_merchant = (E_merchant/V_merchant) · r_e,merchant + (D_merchant/V_merchant) · r_d,merchant · (1 − τ)</t>
  </si>
  <si>
    <t>Monthly Discount Rates</t>
  </si>
  <si>
    <t>WACC_PPA,m (monthly)</t>
  </si>
  <si>
    <t>Derived (Converted for monthly cash flow model)</t>
  </si>
  <si>
    <t>WACC_merchant,m (monthly)</t>
  </si>
  <si>
    <t>Beta Shift Summary</t>
  </si>
  <si>
    <t>Δβ (beta shift)</t>
  </si>
  <si>
    <t>β_merchant (unlevered asset beta) - β_PPA (unlevered asset beta)</t>
  </si>
  <si>
    <t>ΔWACC (discount rate shift)</t>
  </si>
  <si>
    <t>WACC_merchant - WACC_PPA</t>
  </si>
  <si>
    <t>Three-channel WACC differentiation:</t>
  </si>
  <si>
    <t>1) r_e rises via beta shift</t>
  </si>
  <si>
    <t>2) r_d rises via higher credit spread</t>
  </si>
  <si>
    <t>3) D/V falls via reduced debt capacity</t>
  </si>
  <si>
    <t>Month</t>
  </si>
  <si>
    <t>DK1 Spot Price (EUR/MWh) — Primary</t>
  </si>
  <si>
    <t>DK2 Spot Price (EUR/MWh) — Robustness</t>
  </si>
  <si>
    <t>DK1 Seasonal Component (EUR/MWh)</t>
  </si>
  <si>
    <t>DK1 De-seasonalised Price (EUR/MWh)</t>
  </si>
  <si>
    <t>DK2 Seasonal Component (EUR/MWh)</t>
  </si>
  <si>
    <t>DK2 De-seasonalised Price (EUR/MWh)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</si>
  <si>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</si>
  <si>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</si>
  <si>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</si>
  <si>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</si>
  <si>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</si>
  <si>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</si>
  <si>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</si>
  <si>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</si>
  <si>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</si>
  <si>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</si>
  <si>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</si>
  <si>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</si>
  <si>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</si>
  <si>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</si>
  <si>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</si>
  <si>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</si>
  <si>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</si>
  <si>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</si>
  <si>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</si>
  <si>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</si>
  <si>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</si>
  <si>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</si>
  <si>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</si>
  <si>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</si>
  <si>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</si>
  <si>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</si>
  <si>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</si>
  <si>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</si>
  <si>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</si>
  <si>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</si>
  <si>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</si>
  <si>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</si>
  <si>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</si>
  <si>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</si>
  <si>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</si>
  <si>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</si>
  <si>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</si>
  <si>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</si>
  <si>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</si>
  <si>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</si>
  <si>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</si>
  <si>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</si>
  <si>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</si>
  <si>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</si>
  <si>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</si>
  <si>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</si>
  <si>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</si>
  <si>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</si>
  <si>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</si>
  <si>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</si>
  <si>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</si>
  <si>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</si>
  <si>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</si>
  <si>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</si>
  <si>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</si>
  <si>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</si>
  <si>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</si>
  <si>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</si>
  <si>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</si>
  <si>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</si>
  <si>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</si>
  <si>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</si>
  <si>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</si>
  <si>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</si>
  <si>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</si>
  <si>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</si>
  <si>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</si>
  <si>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</si>
  <si>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</si>
  <si>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</si>
  <si>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</si>
  <si>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</si>
  <si>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</si>
  <si>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</si>
  <si>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</si>
  <si>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</si>
  <si>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</si>
  <si>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</si>
  <si>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</si>
  <si>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</si>
  <si>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</si>
  <si>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</si>
  <si>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</si>
  <si>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</si>
  <si>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DK1 Solar Production (MWh) — Primary</t>
  </si>
  <si>
    <t>DK2 Solar Production (MWh) — Robustness</t>
  </si>
  <si>
    <t>DK1 Gross Consumption (MWh)</t>
  </si>
  <si>
    <t>DK2 Gross Consumption (MWh)</t>
  </si>
  <si>
    <t>DK1 Solar Penetration (%) — Primary</t>
  </si>
  <si>
    <t>DK2 Solar Penetration (%) — Robustness</t>
  </si>
  <si>
    <t>DK1 Capture Price (EUR/MWh) — Primary</t>
  </si>
  <si>
    <t>DK2 Capture Price (EUR/MWh) — Robustness</t>
  </si>
  <si>
    <t>DK1 CPR — Primary</t>
  </si>
  <si>
    <t>DK2 CPR — Robustness</t>
  </si>
  <si>
    <t>ADF TEST RESULTS — DK1 PRIMARY</t>
  </si>
  <si>
    <t>Lags</t>
  </si>
  <si>
    <t>DK1 Full</t>
  </si>
  <si>
    <t>DK1 ex-2022</t>
  </si>
  <si>
    <t>DK1 post-crisis</t>
  </si>
  <si>
    <t>CV 5%</t>
  </si>
  <si>
    <t>Sample</t>
  </si>
  <si>
    <t>Lags=0</t>
  </si>
  <si>
    <t>Lags=1</t>
  </si>
  <si>
    <t>Lags=2</t>
  </si>
  <si>
    <t>Conclusion</t>
  </si>
  <si>
    <t>DK1 Full (2019-2025)</t>
  </si>
  <si>
    <t>Weakly stationary</t>
  </si>
  <si>
    <t>DK1 Full ex-2022 (primary)</t>
  </si>
  <si>
    <t>Stationary at 5%</t>
  </si>
  <si>
    <t>DK1 Post-crisis 2023-2025</t>
  </si>
  <si>
    <t>Stationary at 1%</t>
  </si>
  <si>
    <t>DK2 Full ex-2022 (robustness)</t>
  </si>
  <si>
    <t>Robustness</t>
  </si>
  <si>
    <t>Critical values: 1% = -3.51</t>
  </si>
  <si>
    <t>5% = -2.89</t>
  </si>
  <si>
    <t>10% = -2.58</t>
  </si>
  <si>
    <t>OU PARAMETER ESTIMATES</t>
  </si>
  <si>
    <t>DK1 ex-2022 (primary)</t>
  </si>
  <si>
    <t>DK2 post-crisis</t>
  </si>
  <si>
    <t>Long-run mean (mu) EUR/MWh</t>
  </si>
  <si>
    <t>Mean reversion (kappa) /month</t>
  </si>
  <si>
    <t>Volatility (sigma) EUR/MWh</t>
  </si>
  <si>
    <t>Half-life (months)</t>
  </si>
  <si>
    <t>Observations</t>
  </si>
  <si>
    <t>SEASONAL COEFFICIENTS (OLS) — DK1 PRIMARY vs DK2 ROBUSTNESS</t>
  </si>
  <si>
    <t>DK1 Coefficient (EUR/MWh)</t>
  </si>
  <si>
    <t>DK2 Coefficient (EUR/MWh)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</si>
  <si>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</si>
  <si>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</si>
  <si>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</si>
  <si>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</si>
  <si>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</si>
  <si>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</si>
  <si>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</si>
  <si>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</si>
  <si>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</si>
  <si>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</si>
  <si>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</si>
  <si>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</si>
  <si>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CANNIBALISATION REGRESSION</t>
  </si>
  <si>
    <t>DK1 (primary)</t>
  </si>
  <si>
    <t>DK2 (robustness)</t>
  </si>
  <si>
    <t>Intercept (b0)</t>
  </si>
  <si>
    <t>Slope (b1)</t>
  </si>
  <si>
    <t>R-squared</t>
  </si>
  <si>
    <t>p-value (b1)</t>
  </si>
  <si>
    <t>Sign check</t>
  </si>
  <si>
    <t>PASS</t>
  </si>
  <si>
    <t>Year</t>
  </si>
  <si>
    <t>mu_capture</t>
  </si>
  <si>
    <t>P75</t>
  </si>
  <si>
    <t>P25</t>
  </si>
  <si>
    <t>P10</t>
  </si>
  <si>
    <t>P1</t>
  </si>
  <si>
    <t>MC SIMULATION SUMMARY — DK1 PRIMARY</t>
  </si>
  <si>
    <t>PARAMETERS USED (DK1 Primary)</t>
  </si>
  <si>
    <t>mu (EUR/MWh)</t>
  </si>
  <si>
    <t>kappa (/month)</t>
  </si>
  <si>
    <t>sigma (EUR/MWh)</t>
  </si>
  <si>
    <t>N paths</t>
  </si>
  <si>
    <t>Alpha(t=0)</t>
  </si>
  <si>
    <t>5%</t>
  </si>
  <si>
    <t>Alpha(t=25)</t>
  </si>
  <si>
    <t>20%</t>
  </si>
  <si>
    <t>FCFF Model — Monthly Cash Flow Waterfall | 50MW Danish Solar PV | DK1 Primary</t>
  </si>
  <si>
    <t>All formulas linked to Assumptions (E15/E16/E23/E31/E35/E36/E40/E47) and WACC (E34/E35) sheets. Merchant prices from Simulation sheet cols E/I/J rows 7-306. PPA months 1-120 | Merchant months 121-300.</t>
  </si>
  <si>
    <t>Merchant</t>
  </si>
  <si>
    <t>Line Item</t>
  </si>
  <si>
    <t xml:space="preserve">  P50 — Base Case</t>
  </si>
  <si>
    <t>Production (MWh)</t>
  </si>
  <si>
    <t>Price (EUR/MWh)</t>
  </si>
  <si>
    <t>Revenue (EURk)</t>
  </si>
  <si>
    <t>OPEX (EURk)</t>
  </si>
  <si>
    <t>EBITDA (EURk)</t>
  </si>
  <si>
    <t>Tax (EURk)</t>
  </si>
  <si>
    <t>FCFF (EURk)</t>
  </si>
  <si>
    <t>Discount Factor</t>
  </si>
  <si>
    <t>-</t>
  </si>
  <si>
    <t>Discounted FCFF</t>
  </si>
  <si>
    <t>Cumulative NPV</t>
  </si>
  <si>
    <t xml:space="preserve">  P90 — Conservative</t>
  </si>
  <si>
    <t xml:space="preserve">  P99 — Extreme Stress</t>
  </si>
  <si>
    <t>NPV SUMMARY — Segmented WACC vs Single WACC</t>
  </si>
  <si>
    <t>NPV Segmented (EURk)</t>
  </si>
  <si>
    <t>P50 — Base Case</t>
  </si>
  <si>
    <t>P90 — Conservative</t>
  </si>
  <si>
    <t>P99 — Extreme Stress</t>
  </si>
  <si>
    <t>Debt Sizing — Sculpting Algorithm | DSCR_min PPA=1.20x | DSCR_min Merchant=1.35x | r_d PPA=4.00% | r_d Merchant=5.50%</t>
  </si>
  <si>
    <t>NOTE: Debt sized on positive CFADS only. Negative CFADS months indicate periods where debt service is not supportable.</t>
  </si>
  <si>
    <t>CFADS DIAGNOSTIC</t>
  </si>
  <si>
    <t>Min CFADS Merchant (EURk)</t>
  </si>
  <si>
    <t>Neg CFADS Months (Merchant)</t>
  </si>
  <si>
    <t>First Neg Month</t>
  </si>
  <si>
    <t>First Neg Year</t>
  </si>
  <si>
    <t>Implied Merchant Debt Capacity (EURk)</t>
  </si>
  <si>
    <t>None</t>
  </si>
  <si>
    <t>DEBT SIZING SUMMARY</t>
  </si>
  <si>
    <t>Outstanding at M120 (EURk)</t>
  </si>
  <si>
    <t>Last Debt Service Month</t>
  </si>
  <si>
    <t>N/A</t>
  </si>
  <si>
    <t>Debt Capacity Contraction P50 → P90</t>
  </si>
  <si>
    <t>Debt Capacity Contraction P50 → P99</t>
  </si>
  <si>
    <t>MONTHLY DEBT SERVICE SCHEDULE — P90 (Primary Sizing Case)</t>
  </si>
  <si>
    <t>CFADS (EURk)</t>
  </si>
  <si>
    <t>Interest (EURk)</t>
  </si>
  <si>
    <t>Principal (EURk)</t>
  </si>
  <si>
    <t>Debt Service (EURk)</t>
  </si>
  <si>
    <t>Outstanding (EURk)</t>
  </si>
  <si>
    <t>DSCR</t>
  </si>
  <si>
    <t>Stress Test — Tornado Analysis &amp; Scenario Analysis</t>
  </si>
  <si>
    <t>DK1 Primary | Base case NPV P50 = 3,732 EURk</t>
  </si>
  <si>
    <t>TORNADO ANALYSIS — ONE-WAY SENSITIVITY (+-20%)</t>
  </si>
  <si>
    <t>Base Value</t>
  </si>
  <si>
    <t>NPV Low (-20%)</t>
  </si>
  <si>
    <t>NPV High (+20%)</t>
  </si>
  <si>
    <t>Change Low vs Base</t>
  </si>
  <si>
    <t>Change High vs Base</t>
  </si>
  <si>
    <t>WACC_PPA,m</t>
  </si>
  <si>
    <t>WACC_merchant,m</t>
  </si>
  <si>
    <t>OU sigma (EUR/MWh)</t>
  </si>
  <si>
    <t>SCENARIO ANALYSIS</t>
  </si>
  <si>
    <t>vs Base Case (EURk)</t>
  </si>
  <si>
    <t>vs Base Case (%)</t>
  </si>
  <si>
    <t>Workbook Guide</t>
  </si>
  <si>
    <t>Sheet number</t>
  </si>
  <si>
    <t>Sheet</t>
  </si>
  <si>
    <t>Purpose</t>
  </si>
  <si>
    <t>Inputs from</t>
  </si>
  <si>
    <t>Feeds into</t>
  </si>
  <si>
    <t>Cover Page</t>
  </si>
  <si>
    <t>Introduction</t>
  </si>
  <si>
    <t>Overview</t>
  </si>
  <si>
    <t>Data Log</t>
  </si>
  <si>
    <t>Sources</t>
  </si>
  <si>
    <t>All sheets</t>
  </si>
  <si>
    <t>Assumptions</t>
  </si>
  <si>
    <t>Project and  financial  Inputs</t>
  </si>
  <si>
    <t>WACC, FCFF, and Debt Sizing</t>
  </si>
  <si>
    <t>Historical Electricity  Prices</t>
  </si>
  <si>
    <t>Python Step 1 and 3</t>
  </si>
  <si>
    <t>Calibration</t>
  </si>
  <si>
    <t>Capture Price Input</t>
  </si>
  <si>
    <t>Solar Penetration and CPR History</t>
  </si>
  <si>
    <t>Python Step 2</t>
  </si>
  <si>
    <t>OU and Cannibalisation Outputs</t>
  </si>
  <si>
    <t>Python Steps 4, 5 and 6</t>
  </si>
  <si>
    <t>Simulation</t>
  </si>
  <si>
    <t>Monte Carlo Price Paths and Capture Prices</t>
  </si>
  <si>
    <t>Python Step 7</t>
  </si>
  <si>
    <t>FCFF Model</t>
  </si>
  <si>
    <t>WACC</t>
  </si>
  <si>
    <t>Single and Segmented Cost of Capital</t>
  </si>
  <si>
    <t>Cash Flows and NPV</t>
  </si>
  <si>
    <t>Simulation,  WACC and Python Step 9</t>
  </si>
  <si>
    <t>Debt Sizing</t>
  </si>
  <si>
    <t>Sculpted Debt and P50/P90/P99 Capacity</t>
  </si>
  <si>
    <t>FCFF Model and Python Step 10</t>
  </si>
  <si>
    <t>Output</t>
  </si>
  <si>
    <t>Stress Test</t>
  </si>
  <si>
    <t>Tornado and Scenario Outputs</t>
  </si>
  <si>
    <t>FCFF Model,  Debt Sizing and Python Step 11</t>
  </si>
  <si>
    <t>Consolidated Results</t>
  </si>
  <si>
    <t>All analytical sheets</t>
  </si>
  <si>
    <t>Master Model</t>
  </si>
  <si>
    <t>Valuation of Renewable Energy Assets under Power Price Uncertainty</t>
  </si>
  <si>
    <t>The Impact of Merchant Tail Risk on the Cost of Capital and Debt Capacity</t>
  </si>
  <si>
    <t xml:space="preserve"> Project Details</t>
  </si>
  <si>
    <t>Title</t>
  </si>
  <si>
    <t>Subtitle</t>
  </si>
  <si>
    <t>Type</t>
  </si>
  <si>
    <t>Master's Thesis</t>
  </si>
  <si>
    <t>Programme</t>
  </si>
  <si>
    <t>MSc in Finance</t>
  </si>
  <si>
    <t>Semester</t>
  </si>
  <si>
    <t>10th Semester</t>
  </si>
  <si>
    <t>Period</t>
  </si>
  <si>
    <t>April 2026 - June 2026</t>
  </si>
  <si>
    <t>Submission Date</t>
  </si>
  <si>
    <t>1st of June 2026</t>
  </si>
  <si>
    <t xml:space="preserve"> Author and Supervisor</t>
  </si>
  <si>
    <t>Author</t>
  </si>
  <si>
    <t>Sarah Wulff</t>
  </si>
  <si>
    <t>Student Number</t>
  </si>
  <si>
    <t>20214914</t>
  </si>
  <si>
    <t>Institution</t>
  </si>
  <si>
    <t>Aalborg University Business School</t>
  </si>
  <si>
    <t>Supervisor</t>
  </si>
  <si>
    <t>Rainer Alexander Schüssler, Associate Professor</t>
  </si>
  <si>
    <t xml:space="preserve"> Model Overview</t>
  </si>
  <si>
    <t>Asset</t>
  </si>
  <si>
    <t>50 MW Utility-Scale Solar PV in the Danish DK1 Bidding Zone</t>
  </si>
  <si>
    <t>Project Life</t>
  </si>
  <si>
    <t>25 Years (300 Months) with COD on the 1st of January 2032</t>
  </si>
  <si>
    <t>PPA Structure</t>
  </si>
  <si>
    <t>10-Year Fixed-Price PPA: 45 EUR/MWh &amp; Merchant Tail: Years 11–25</t>
  </si>
  <si>
    <t>Methodology</t>
  </si>
  <si>
    <t>OU Process, Monte Carlo (10,000 paths), Segmented WACC, Debt Sculpting</t>
  </si>
  <si>
    <t xml:space="preserve">  Aalborg University Business School
MSc Finance
2026</t>
  </si>
  <si>
    <t>Derived: Production = installed Capacity * 1000 * NCF, P50 * 8760 / 12 / 1000</t>
  </si>
  <si>
    <t>IEA, Renewables 2025; IRENA, Renewable Power Generation Costs, 2024</t>
  </si>
  <si>
    <t>Northern Europe</t>
  </si>
  <si>
    <t>500 USD/kW consistent with IEA (2025) and IRENA (2024) benchmarks for utility-scale solar PV in Western Europe. EUR/USD conversion at 0.92 applied.</t>
  </si>
  <si>
    <t>The dataset spans 2019–2025. The year 2022 is excluded from the primary OU calibration sample due to the energy crisis, but retained for robustness analysis.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</si>
</sst>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3" formatCode="_-* #,##0.00_-;\-* #,##0.00_-;_-* &quot;-&quot;??_-;_-@_-"/>
    <numFmt numFmtId="164" formatCode="0.0%"/>
    <numFmt numFmtId="165" formatCode="_-* #,##0_-;\-* #,##0_-;_-* &quot;-&quot;??_-;_-@_-"/>
    <numFmt numFmtId="166" formatCode="0.0000%"/>
    <numFmt numFmtId="167" formatCode="#,##0.0"/>
    <numFmt numFmtId="168" formatCode="0.00000"/>
  </numFmts>
  <fonts count="50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"/>
    </font>
    <font>
      <sz val="12"/>
      <color theme="1"/>
      <name val="Aptos Narrow"/>
      <scheme val="minor"/>
    </font>
    <font>
      <sz val="12"/>
      <color theme="1"/>
      <name val="Aptos"/>
    </font>
    <font>
      <b/>
      <sz val="22"/>
      <name val="Aptos Display"/>
      <scheme val="major"/>
    </font>
    <font>
      <b/>
      <sz val="11"/>
      <name val="Aptos Narrow"/>
      <scheme val="minor"/>
    </font>
    <font>
      <b/>
      <sz val="11"/>
      <color theme="1"/>
      <name val="Aptos Narrow"/>
      <scheme val="minor"/>
    </font>
    <font>
      <sz val="11"/>
      <name val="Aptos"/>
    </font>
    <font>
      <sz val="11"/>
      <color theme="1"/>
      <name val="Aptos Narrow"/>
      <scheme val="minor"/>
    </font>
    <font>
      <b/>
      <sz val="11"/>
      <color rgb="FF1F4E79"/>
      <name val="Aptos Narrow"/>
      <scheme val="minor"/>
    </font>
    <font>
      <sz val="11"/>
      <color rgb="FF000000"/>
      <name val="Aptos Narrow"/>
      <scheme val="minor"/>
    </font>
    <font>
      <i/>
      <sz val="11"/>
      <color rgb="FF000000"/>
      <name val="Aptos Narrow"/>
      <scheme val="minor"/>
    </font>
    <font>
      <sz val="11"/>
      <color rgb="FF00B050"/>
      <name val="Aptos Narrow"/>
      <scheme val="minor"/>
    </font>
    <font>
      <b/>
      <sz val="11"/>
      <color rgb="FF000000"/>
      <name val="Aptos Narrow"/>
      <scheme val="minor"/>
    </font>
    <font>
      <b/>
      <u/>
      <sz val="11"/>
      <color theme="1"/>
      <name val="Aptos Narrow"/>
      <scheme val="minor"/>
    </font>
    <font>
      <b/>
      <u/>
      <sz val="11"/>
      <color rgb="FF000000"/>
      <name val="Aptos Narrow"/>
      <scheme val="minor"/>
    </font>
    <font>
      <sz val="11"/>
      <color rgb="FF3E3BF2"/>
      <name val="Aptos Narrow"/>
      <scheme val="minor"/>
    </font>
    <font>
      <i/>
      <sz val="11"/>
      <color theme="1"/>
      <name val="Aptos Narrow"/>
      <scheme val="minor"/>
    </font>
    <font>
      <b/>
      <sz val="12"/>
      <color rgb="FFFFFFFF"/>
      <name val="Arial"/>
      <family val="2"/>
    </font>
    <font>
      <i/>
      <sz val="9"/>
      <color rgb="FF595959"/>
      <name val="Arial"/>
      <family val="2"/>
    </font>
    <font>
      <b/>
      <sz val="11"/>
      <color rgb="FF1F4E79"/>
      <name val="Arial"/>
      <family val="2"/>
    </font>
    <font>
      <b/>
      <sz val="9"/>
      <color rgb="FFFFFFFF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9"/>
      <name val="Arial"/>
      <family val="2"/>
    </font>
    <font>
      <i/>
      <sz val="8"/>
      <color rgb="FF595959"/>
      <name val="Arial"/>
      <family val="2"/>
    </font>
    <font>
      <b/>
      <sz val="7"/>
      <color rgb="FFFFFFFF"/>
      <name val="Arial"/>
      <family val="2"/>
    </font>
    <font>
      <sz val="7"/>
      <name val="Arial"/>
      <family val="2"/>
    </font>
    <font>
      <b/>
      <sz val="10"/>
      <color rgb="FF1F4E79"/>
      <name val="Arial"/>
      <family val="2"/>
    </font>
    <font>
      <sz val="9"/>
      <color rgb="FF000000"/>
      <name val="Arial"/>
      <family val="2"/>
    </font>
    <font>
      <sz val="8"/>
      <name val="Arial"/>
      <family val="2"/>
    </font>
    <font>
      <b/>
      <sz val="9"/>
      <color rgb="FF000000"/>
      <name val="Arial"/>
      <family val="2"/>
    </font>
    <font>
      <b/>
      <sz val="8"/>
      <name val="Arial"/>
      <family val="2"/>
    </font>
    <font>
      <b/>
      <sz val="11"/>
      <color rgb="FFFFFFFF"/>
      <name val="Arial"/>
      <family val="2"/>
    </font>
    <font>
      <sz val="7"/>
      <color rgb="FFFFFFFF"/>
      <name val="Arial"/>
      <family val="2"/>
    </font>
    <font>
      <sz val="12"/>
      <color theme="1"/>
      <name val="Aptos Display"/>
    </font>
    <font>
      <b/>
      <sz val="28"/>
      <name val="Aptos Display"/>
    </font>
    <font>
      <sz val="12"/>
      <name val="Aptos Display"/>
    </font>
    <font>
      <sz val="11"/>
      <name val="Aptos Display"/>
    </font>
    <font>
      <b/>
      <sz val="11"/>
      <name val="Aptos Display"/>
    </font>
    <font>
      <sz val="11"/>
      <color theme="1"/>
      <name val="Aptos Display"/>
    </font>
    <font>
      <i/>
      <sz val="9"/>
      <color rgb="FFBDD7EE"/>
      <name val="Aptos Display"/>
    </font>
    <font>
      <b/>
      <sz val="14"/>
      <name val="Aptos Display"/>
    </font>
    <font>
      <i/>
      <sz val="12"/>
      <name val="Aptos Display"/>
    </font>
    <font>
      <i/>
      <sz val="11"/>
      <name val="Aptos Display"/>
    </font>
    <font>
      <sz val="11"/>
      <color theme="9" tint="-0.249977111117893"/>
      <name val="Aptos Narrow"/>
      <scheme val="minor"/>
    </font>
    <font>
      <sz val="12"/>
      <color theme="9" tint="-0.249977111117893"/>
      <name val="Aptos Narrow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CDE3EF"/>
        <bgColor indexed="64"/>
      </patternFill>
    </fill>
    <fill>
      <patternFill patternType="solid">
        <fgColor rgb="FFF2F2F2"/>
      </patternFill>
    </fill>
    <fill>
      <patternFill patternType="solid">
        <fgColor rgb="FFCCE5FF"/>
        <bgColor indexed="64"/>
      </patternFill>
    </fill>
    <fill>
      <patternFill patternType="solid">
        <fgColor rgb="FFFFFFFF"/>
      </patternFill>
    </fill>
    <fill>
      <patternFill patternType="solid">
        <fgColor rgb="FFFFF3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2E75B6"/>
      </patternFill>
    </fill>
    <fill>
      <patternFill patternType="solid">
        <fgColor rgb="FFFFFFFF"/>
      </patternFill>
    </fill>
    <fill>
      <patternFill patternType="solid">
        <fgColor rgb="FFE2EFDA"/>
      </patternFill>
    </fill>
    <fill>
      <patternFill patternType="solid">
        <fgColor rgb="FFFFE0E0"/>
      </patternFill>
    </fill>
    <fill>
      <patternFill patternType="solid">
        <fgColor rgb="FFFCE4D6"/>
      </patternFill>
    </fill>
    <fill>
      <patternFill patternType="solid">
        <fgColor rgb="FFF2F2F2"/>
      </patternFill>
    </fill>
    <fill>
      <patternFill patternType="solid">
        <fgColor rgb="FFC00000"/>
      </patternFill>
    </fill>
    <fill>
      <patternFill patternType="solid">
        <fgColor rgb="FFE8F4E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2F2F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BFBFBF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43" fontId="2" fillId="0" borderId="0"/>
    <xf numFmtId="0" fontId="3" fillId="0" borderId="0"/>
    <xf numFmtId="9" fontId="2" fillId="0" borderId="0"/>
  </cellStyleXfs>
  <cellXfs count="198">
    <xf numFmtId="0" fontId="0" fillId="0" borderId="0" xfId="0"/>
    <xf numFmtId="0" fontId="3" fillId="0" borderId="0" xfId="3"/>
    <xf numFmtId="0" fontId="4" fillId="0" borderId="0" xfId="1" applyFont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6" fillId="0" borderId="0" xfId="0" applyFont="1" applyAlignment="1">
      <alignment horizontal="center"/>
    </xf>
    <xf numFmtId="0" fontId="7" fillId="2" borderId="1" xfId="1" applyFont="1" applyFill="1" applyBorder="1" applyAlignment="1">
      <alignment vertical="center"/>
    </xf>
    <xf numFmtId="0" fontId="4" fillId="0" borderId="0" xfId="1" applyFont="1" applyAlignment="1">
      <alignment horizontal="left"/>
    </xf>
    <xf numFmtId="0" fontId="7" fillId="2" borderId="2" xfId="1" applyFont="1" applyFill="1" applyBorder="1" applyAlignment="1">
      <alignment vertical="center"/>
    </xf>
    <xf numFmtId="0" fontId="7" fillId="2" borderId="3" xfId="1" applyFont="1" applyFill="1" applyBorder="1" applyAlignment="1">
      <alignment vertical="center"/>
    </xf>
    <xf numFmtId="0" fontId="8" fillId="4" borderId="2" xfId="1" applyFont="1" applyFill="1" applyBorder="1" applyAlignment="1">
      <alignment horizontal="left" vertical="center"/>
    </xf>
    <xf numFmtId="0" fontId="8" fillId="4" borderId="2" xfId="1" applyFont="1" applyFill="1" applyBorder="1" applyAlignment="1">
      <alignment horizontal="center" vertical="center"/>
    </xf>
    <xf numFmtId="0" fontId="8" fillId="4" borderId="3" xfId="1" applyFont="1" applyFill="1" applyBorder="1" applyAlignment="1">
      <alignment horizontal="left" vertical="center"/>
    </xf>
    <xf numFmtId="0" fontId="9" fillId="2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/>
    </xf>
    <xf numFmtId="0" fontId="8" fillId="4" borderId="2" xfId="1" applyFont="1" applyFill="1" applyBorder="1" applyAlignment="1">
      <alignment vertical="center"/>
    </xf>
    <xf numFmtId="0" fontId="4" fillId="4" borderId="2" xfId="0" applyFont="1" applyFill="1" applyBorder="1"/>
    <xf numFmtId="0" fontId="4" fillId="4" borderId="2" xfId="0" applyFont="1" applyFill="1" applyBorder="1" applyAlignment="1">
      <alignment horizontal="left"/>
    </xf>
    <xf numFmtId="0" fontId="4" fillId="4" borderId="3" xfId="0" applyFont="1" applyFill="1" applyBorder="1" applyAlignment="1">
      <alignment horizontal="left"/>
    </xf>
    <xf numFmtId="0" fontId="4" fillId="0" borderId="0" xfId="0" applyFont="1" applyAlignment="1">
      <alignment horizontal="center"/>
    </xf>
    <xf numFmtId="0" fontId="10" fillId="0" borderId="0" xfId="1" applyFont="1" applyAlignment="1">
      <alignment horizontal="left" vertical="center"/>
    </xf>
    <xf numFmtId="0" fontId="10" fillId="0" borderId="0" xfId="1" applyFont="1" applyAlignment="1">
      <alignment horizontal="center" vertical="center"/>
    </xf>
    <xf numFmtId="0" fontId="10" fillId="0" borderId="0" xfId="1" applyFont="1" applyAlignment="1">
      <alignment horizontal="left" vertical="center" wrapText="1"/>
    </xf>
    <xf numFmtId="10" fontId="10" fillId="0" borderId="0" xfId="1" applyNumberFormat="1" applyFont="1" applyAlignment="1">
      <alignment horizontal="center" vertical="center"/>
    </xf>
    <xf numFmtId="17" fontId="10" fillId="0" borderId="0" xfId="1" applyNumberFormat="1" applyFont="1" applyAlignment="1">
      <alignment horizontal="center" vertical="center"/>
    </xf>
    <xf numFmtId="9" fontId="10" fillId="0" borderId="0" xfId="1" applyNumberFormat="1" applyFont="1" applyAlignment="1">
      <alignment horizontal="center" vertical="center"/>
    </xf>
    <xf numFmtId="0" fontId="9" fillId="0" borderId="0" xfId="0" applyFont="1" applyAlignment="1">
      <alignment horizontal="center"/>
    </xf>
    <xf numFmtId="0" fontId="8" fillId="0" borderId="0" xfId="1" applyFont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9" fillId="2" borderId="2" xfId="0" applyFont="1" applyFill="1" applyBorder="1"/>
    <xf numFmtId="0" fontId="9" fillId="2" borderId="2" xfId="0" applyFont="1" applyFill="1" applyBorder="1" applyAlignment="1">
      <alignment horizontal="center"/>
    </xf>
    <xf numFmtId="0" fontId="1" fillId="0" borderId="0" xfId="0" applyFont="1"/>
    <xf numFmtId="0" fontId="9" fillId="2" borderId="3" xfId="0" applyFont="1" applyFill="1" applyBorder="1"/>
    <xf numFmtId="0" fontId="11" fillId="0" borderId="0" xfId="0" applyFont="1" applyAlignment="1">
      <alignment horizontal="center"/>
    </xf>
    <xf numFmtId="0" fontId="4" fillId="0" borderId="0" xfId="1" applyFont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11" fillId="0" borderId="0" xfId="0" applyFont="1"/>
    <xf numFmtId="0" fontId="11" fillId="0" borderId="0" xfId="0" applyFont="1" applyAlignment="1">
      <alignment horizontal="left"/>
    </xf>
    <xf numFmtId="0" fontId="9" fillId="4" borderId="1" xfId="0" applyFont="1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9" fillId="4" borderId="2" xfId="0" applyFont="1" applyFill="1" applyBorder="1" applyAlignment="1">
      <alignment horizontal="left" vertical="center"/>
    </xf>
    <xf numFmtId="0" fontId="9" fillId="4" borderId="2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3" fillId="5" borderId="0" xfId="0" applyFont="1" applyFill="1" applyAlignment="1">
      <alignment horizontal="left" vertical="center" wrapText="1"/>
    </xf>
    <xf numFmtId="0" fontId="13" fillId="5" borderId="0" xfId="0" applyFont="1" applyFill="1" applyAlignment="1">
      <alignment horizontal="center" vertical="center" wrapText="1"/>
    </xf>
    <xf numFmtId="0" fontId="14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/>
    </xf>
    <xf numFmtId="10" fontId="15" fillId="3" borderId="0" xfId="0" applyNumberFormat="1" applyFont="1" applyFill="1" applyAlignment="1">
      <alignment horizontal="center" vertical="center" wrapText="1"/>
    </xf>
    <xf numFmtId="0" fontId="16" fillId="5" borderId="0" xfId="0" applyFont="1" applyFill="1" applyAlignment="1">
      <alignment horizontal="left" vertical="center" wrapText="1"/>
    </xf>
    <xf numFmtId="0" fontId="5" fillId="0" borderId="0" xfId="0" applyFont="1" applyAlignment="1">
      <alignment vertical="center"/>
    </xf>
    <xf numFmtId="0" fontId="9" fillId="2" borderId="2" xfId="0" applyFont="1" applyFill="1" applyBorder="1" applyAlignment="1">
      <alignment horizontal="left"/>
    </xf>
    <xf numFmtId="14" fontId="11" fillId="0" borderId="0" xfId="0" applyNumberFormat="1" applyFont="1" applyAlignment="1">
      <alignment horizontal="center"/>
    </xf>
    <xf numFmtId="0" fontId="17" fillId="0" borderId="0" xfId="0" applyFont="1"/>
    <xf numFmtId="0" fontId="18" fillId="0" borderId="0" xfId="0" applyFont="1"/>
    <xf numFmtId="0" fontId="11" fillId="6" borderId="0" xfId="0" applyFont="1" applyFill="1" applyAlignment="1">
      <alignment horizontal="center"/>
    </xf>
    <xf numFmtId="10" fontId="19" fillId="6" borderId="0" xfId="0" applyNumberFormat="1" applyFont="1" applyFill="1" applyAlignment="1">
      <alignment horizontal="center" vertical="center" wrapText="1"/>
    </xf>
    <xf numFmtId="2" fontId="19" fillId="6" borderId="0" xfId="0" applyNumberFormat="1" applyFont="1" applyFill="1" applyAlignment="1">
      <alignment horizontal="center" vertical="center" wrapText="1"/>
    </xf>
    <xf numFmtId="164" fontId="19" fillId="6" borderId="0" xfId="0" applyNumberFormat="1" applyFont="1" applyFill="1" applyAlignment="1">
      <alignment horizontal="center" vertical="center" wrapText="1"/>
    </xf>
    <xf numFmtId="0" fontId="19" fillId="6" borderId="0" xfId="0" applyFont="1" applyFill="1" applyAlignment="1">
      <alignment horizontal="center"/>
    </xf>
    <xf numFmtId="1" fontId="10" fillId="0" borderId="0" xfId="1" applyNumberFormat="1" applyFont="1" applyAlignment="1">
      <alignment horizontal="center" vertical="center"/>
    </xf>
    <xf numFmtId="1" fontId="19" fillId="6" borderId="0" xfId="0" applyNumberFormat="1" applyFont="1" applyFill="1" applyAlignment="1">
      <alignment horizontal="center"/>
    </xf>
    <xf numFmtId="0" fontId="20" fillId="0" borderId="0" xfId="0" applyFont="1" applyAlignment="1">
      <alignment horizontal="left"/>
    </xf>
    <xf numFmtId="9" fontId="19" fillId="6" borderId="0" xfId="4" applyFont="1" applyFill="1" applyAlignment="1">
      <alignment horizontal="center"/>
    </xf>
    <xf numFmtId="164" fontId="19" fillId="6" borderId="0" xfId="4" applyNumberFormat="1" applyFont="1" applyFill="1" applyAlignment="1">
      <alignment horizontal="center"/>
    </xf>
    <xf numFmtId="10" fontId="19" fillId="6" borderId="0" xfId="4" applyNumberFormat="1" applyFont="1" applyFill="1" applyAlignment="1">
      <alignment horizontal="center"/>
    </xf>
    <xf numFmtId="164" fontId="10" fillId="0" borderId="0" xfId="4" applyNumberFormat="1" applyFont="1" applyAlignment="1">
      <alignment horizontal="center" vertical="center"/>
    </xf>
    <xf numFmtId="0" fontId="9" fillId="4" borderId="3" xfId="0" applyFont="1" applyFill="1" applyBorder="1" applyAlignment="1">
      <alignment horizontal="left" vertical="center"/>
    </xf>
    <xf numFmtId="0" fontId="9" fillId="2" borderId="3" xfId="0" applyFont="1" applyFill="1" applyBorder="1" applyAlignment="1">
      <alignment horizontal="left"/>
    </xf>
    <xf numFmtId="9" fontId="19" fillId="6" borderId="0" xfId="0" applyNumberFormat="1" applyFont="1" applyFill="1" applyAlignment="1">
      <alignment horizontal="center" vertical="center" wrapText="1"/>
    </xf>
    <xf numFmtId="9" fontId="2" fillId="0" borderId="0" xfId="4" applyAlignment="1">
      <alignment horizontal="center"/>
    </xf>
    <xf numFmtId="0" fontId="24" fillId="10" borderId="4" xfId="0" applyFont="1" applyFill="1" applyBorder="1" applyAlignment="1">
      <alignment horizontal="center" vertical="center"/>
    </xf>
    <xf numFmtId="0" fontId="25" fillId="11" borderId="4" xfId="0" applyFont="1" applyFill="1" applyBorder="1" applyAlignment="1">
      <alignment horizontal="left" vertical="center"/>
    </xf>
    <xf numFmtId="0" fontId="25" fillId="12" borderId="4" xfId="0" applyFont="1" applyFill="1" applyBorder="1" applyAlignment="1">
      <alignment horizontal="center" vertical="center"/>
    </xf>
    <xf numFmtId="0" fontId="25" fillId="11" borderId="4" xfId="0" applyFont="1" applyFill="1" applyBorder="1" applyAlignment="1">
      <alignment horizontal="center" vertical="center"/>
    </xf>
    <xf numFmtId="0" fontId="25" fillId="9" borderId="4" xfId="0" applyFont="1" applyFill="1" applyBorder="1" applyAlignment="1">
      <alignment horizontal="left" vertical="center"/>
    </xf>
    <xf numFmtId="0" fontId="25" fillId="9" borderId="4" xfId="0" applyFont="1" applyFill="1" applyBorder="1" applyAlignment="1">
      <alignment horizontal="center" vertical="center"/>
    </xf>
    <xf numFmtId="0" fontId="25" fillId="12" borderId="4" xfId="0" applyFont="1" applyFill="1" applyBorder="1" applyAlignment="1">
      <alignment horizontal="left" vertical="center"/>
    </xf>
    <xf numFmtId="3" fontId="25" fillId="12" borderId="4" xfId="0" applyNumberFormat="1" applyFont="1" applyFill="1" applyBorder="1" applyAlignment="1">
      <alignment horizontal="center" vertical="center"/>
    </xf>
    <xf numFmtId="164" fontId="25" fillId="12" borderId="4" xfId="0" applyNumberFormat="1" applyFont="1" applyFill="1" applyBorder="1" applyAlignment="1">
      <alignment horizontal="center" vertical="center"/>
    </xf>
    <xf numFmtId="0" fontId="25" fillId="13" borderId="4" xfId="0" applyFont="1" applyFill="1" applyBorder="1" applyAlignment="1">
      <alignment horizontal="left" vertical="center"/>
    </xf>
    <xf numFmtId="3" fontId="25" fillId="13" borderId="4" xfId="0" applyNumberFormat="1" applyFont="1" applyFill="1" applyBorder="1" applyAlignment="1">
      <alignment horizontal="center" vertical="center"/>
    </xf>
    <xf numFmtId="164" fontId="25" fillId="13" borderId="4" xfId="0" applyNumberFormat="1" applyFont="1" applyFill="1" applyBorder="1" applyAlignment="1">
      <alignment horizontal="center" vertical="center"/>
    </xf>
    <xf numFmtId="3" fontId="25" fillId="11" borderId="4" xfId="0" applyNumberFormat="1" applyFont="1" applyFill="1" applyBorder="1" applyAlignment="1">
      <alignment horizontal="center" vertical="center"/>
    </xf>
    <xf numFmtId="164" fontId="25" fillId="11" borderId="4" xfId="0" applyNumberFormat="1" applyFont="1" applyFill="1" applyBorder="1" applyAlignment="1">
      <alignment horizontal="center" vertical="center"/>
    </xf>
    <xf numFmtId="0" fontId="25" fillId="14" borderId="4" xfId="0" applyFont="1" applyFill="1" applyBorder="1" applyAlignment="1">
      <alignment horizontal="left" vertical="center"/>
    </xf>
    <xf numFmtId="3" fontId="25" fillId="14" borderId="4" xfId="0" applyNumberFormat="1" applyFont="1" applyFill="1" applyBorder="1" applyAlignment="1">
      <alignment horizontal="center" vertical="center"/>
    </xf>
    <xf numFmtId="164" fontId="25" fillId="14" borderId="4" xfId="0" applyNumberFormat="1" applyFont="1" applyFill="1" applyBorder="1" applyAlignment="1">
      <alignment horizontal="center" vertical="center"/>
    </xf>
    <xf numFmtId="0" fontId="25" fillId="14" borderId="4" xfId="0" applyFont="1" applyFill="1" applyBorder="1" applyAlignment="1">
      <alignment horizontal="center" vertical="center"/>
    </xf>
    <xf numFmtId="0" fontId="26" fillId="15" borderId="4" xfId="0" applyFont="1" applyFill="1" applyBorder="1" applyAlignment="1">
      <alignment horizontal="left" vertical="center"/>
    </xf>
    <xf numFmtId="164" fontId="25" fillId="15" borderId="4" xfId="0" applyNumberFormat="1" applyFont="1" applyFill="1" applyBorder="1" applyAlignment="1">
      <alignment horizontal="center" vertical="center"/>
    </xf>
    <xf numFmtId="0" fontId="26" fillId="9" borderId="4" xfId="0" applyFont="1" applyFill="1" applyBorder="1" applyAlignment="1">
      <alignment horizontal="left" vertical="center"/>
    </xf>
    <xf numFmtId="0" fontId="29" fillId="10" borderId="4" xfId="0" applyFont="1" applyFill="1" applyBorder="1" applyAlignment="1">
      <alignment horizontal="center" vertical="center"/>
    </xf>
    <xf numFmtId="0" fontId="29" fillId="16" borderId="4" xfId="0" applyFont="1" applyFill="1" applyBorder="1" applyAlignment="1">
      <alignment horizontal="center" vertical="center"/>
    </xf>
    <xf numFmtId="0" fontId="24" fillId="8" borderId="4" xfId="0" applyFont="1" applyFill="1" applyBorder="1" applyAlignment="1">
      <alignment horizontal="left" vertical="center"/>
    </xf>
    <xf numFmtId="0" fontId="24" fillId="8" borderId="4" xfId="0" applyFont="1" applyFill="1" applyBorder="1" applyAlignment="1">
      <alignment horizontal="center" vertical="center"/>
    </xf>
    <xf numFmtId="0" fontId="30" fillId="9" borderId="4" xfId="0" applyFont="1" applyFill="1" applyBorder="1" applyAlignment="1">
      <alignment horizontal="center" vertical="center"/>
    </xf>
    <xf numFmtId="0" fontId="30" fillId="14" borderId="4" xfId="0" applyFont="1" applyFill="1" applyBorder="1" applyAlignment="1">
      <alignment horizontal="center" vertical="center"/>
    </xf>
    <xf numFmtId="0" fontId="0" fillId="9" borderId="4" xfId="0" applyFill="1" applyBorder="1"/>
    <xf numFmtId="0" fontId="32" fillId="11" borderId="4" xfId="0" applyFont="1" applyFill="1" applyBorder="1" applyAlignment="1">
      <alignment horizontal="left" vertical="center"/>
    </xf>
    <xf numFmtId="0" fontId="32" fillId="11" borderId="4" xfId="0" applyFont="1" applyFill="1" applyBorder="1" applyAlignment="1">
      <alignment horizontal="center" vertical="center"/>
    </xf>
    <xf numFmtId="167" fontId="33" fillId="11" borderId="4" xfId="0" applyNumberFormat="1" applyFont="1" applyFill="1" applyBorder="1" applyAlignment="1">
      <alignment horizontal="right" vertical="center"/>
    </xf>
    <xf numFmtId="4" fontId="33" fillId="11" borderId="4" xfId="0" applyNumberFormat="1" applyFont="1" applyFill="1" applyBorder="1" applyAlignment="1">
      <alignment horizontal="right" vertical="center"/>
    </xf>
    <xf numFmtId="0" fontId="34" fillId="12" borderId="4" xfId="0" applyFont="1" applyFill="1" applyBorder="1" applyAlignment="1">
      <alignment horizontal="left" vertical="center"/>
    </xf>
    <xf numFmtId="0" fontId="32" fillId="12" borderId="4" xfId="0" applyFont="1" applyFill="1" applyBorder="1" applyAlignment="1">
      <alignment horizontal="center" vertical="center"/>
    </xf>
    <xf numFmtId="167" fontId="35" fillId="12" borderId="4" xfId="0" applyNumberFormat="1" applyFont="1" applyFill="1" applyBorder="1" applyAlignment="1">
      <alignment horizontal="right" vertical="center"/>
    </xf>
    <xf numFmtId="168" fontId="33" fillId="11" borderId="4" xfId="0" applyNumberFormat="1" applyFont="1" applyFill="1" applyBorder="1" applyAlignment="1">
      <alignment horizontal="right" vertical="center"/>
    </xf>
    <xf numFmtId="0" fontId="34" fillId="14" borderId="4" xfId="0" applyFont="1" applyFill="1" applyBorder="1" applyAlignment="1">
      <alignment horizontal="left" vertical="center"/>
    </xf>
    <xf numFmtId="0" fontId="32" fillId="14" borderId="4" xfId="0" applyFont="1" applyFill="1" applyBorder="1" applyAlignment="1">
      <alignment horizontal="center" vertical="center"/>
    </xf>
    <xf numFmtId="167" fontId="35" fillId="14" borderId="4" xfId="0" applyNumberFormat="1" applyFont="1" applyFill="1" applyBorder="1" applyAlignment="1">
      <alignment horizontal="right" vertical="center"/>
    </xf>
    <xf numFmtId="0" fontId="34" fillId="13" borderId="4" xfId="0" applyFont="1" applyFill="1" applyBorder="1" applyAlignment="1">
      <alignment horizontal="left" vertical="center"/>
    </xf>
    <xf numFmtId="0" fontId="32" fillId="13" borderId="4" xfId="0" applyFont="1" applyFill="1" applyBorder="1" applyAlignment="1">
      <alignment horizontal="center" vertical="center"/>
    </xf>
    <xf numFmtId="167" fontId="35" fillId="13" borderId="4" xfId="0" applyNumberFormat="1" applyFont="1" applyFill="1" applyBorder="1" applyAlignment="1">
      <alignment horizontal="right" vertical="center"/>
    </xf>
    <xf numFmtId="3" fontId="32" fillId="12" borderId="4" xfId="0" applyNumberFormat="1" applyFont="1" applyFill="1" applyBorder="1" applyAlignment="1">
      <alignment horizontal="center" vertical="center"/>
    </xf>
    <xf numFmtId="164" fontId="32" fillId="12" borderId="4" xfId="0" applyNumberFormat="1" applyFont="1" applyFill="1" applyBorder="1" applyAlignment="1">
      <alignment horizontal="center" vertical="center"/>
    </xf>
    <xf numFmtId="3" fontId="32" fillId="14" borderId="4" xfId="0" applyNumberFormat="1" applyFont="1" applyFill="1" applyBorder="1" applyAlignment="1">
      <alignment horizontal="center" vertical="center"/>
    </xf>
    <xf numFmtId="164" fontId="32" fillId="14" borderId="4" xfId="0" applyNumberFormat="1" applyFont="1" applyFill="1" applyBorder="1" applyAlignment="1">
      <alignment horizontal="center" vertical="center"/>
    </xf>
    <xf numFmtId="3" fontId="32" fillId="13" borderId="4" xfId="0" applyNumberFormat="1" applyFont="1" applyFill="1" applyBorder="1" applyAlignment="1">
      <alignment horizontal="center" vertical="center"/>
    </xf>
    <xf numFmtId="164" fontId="32" fillId="13" borderId="4" xfId="0" applyNumberFormat="1" applyFont="1" applyFill="1" applyBorder="1" applyAlignment="1">
      <alignment horizontal="center" vertical="center"/>
    </xf>
    <xf numFmtId="0" fontId="37" fillId="11" borderId="0" xfId="0" applyFont="1" applyFill="1"/>
    <xf numFmtId="0" fontId="38" fillId="0" borderId="0" xfId="0" applyFont="1"/>
    <xf numFmtId="0" fontId="38" fillId="4" borderId="9" xfId="0" applyFont="1" applyFill="1" applyBorder="1"/>
    <xf numFmtId="0" fontId="38" fillId="4" borderId="10" xfId="0" applyFont="1" applyFill="1" applyBorder="1"/>
    <xf numFmtId="0" fontId="41" fillId="4" borderId="9" xfId="0" applyFont="1" applyFill="1" applyBorder="1"/>
    <xf numFmtId="0" fontId="42" fillId="17" borderId="1" xfId="0" applyFont="1" applyFill="1" applyBorder="1" applyAlignment="1">
      <alignment horizontal="center" vertical="center"/>
    </xf>
    <xf numFmtId="0" fontId="42" fillId="17" borderId="2" xfId="0" applyFont="1" applyFill="1" applyBorder="1" applyAlignment="1">
      <alignment horizontal="center" vertical="center"/>
    </xf>
    <xf numFmtId="0" fontId="42" fillId="17" borderId="3" xfId="0" applyFont="1" applyFill="1" applyBorder="1" applyAlignment="1">
      <alignment horizontal="center" vertical="center"/>
    </xf>
    <xf numFmtId="0" fontId="41" fillId="4" borderId="10" xfId="0" applyFont="1" applyFill="1" applyBorder="1"/>
    <xf numFmtId="0" fontId="43" fillId="4" borderId="9" xfId="0" applyFont="1" applyFill="1" applyBorder="1"/>
    <xf numFmtId="0" fontId="43" fillId="4" borderId="10" xfId="0" applyFont="1" applyFill="1" applyBorder="1"/>
    <xf numFmtId="0" fontId="42" fillId="11" borderId="1" xfId="0" applyFont="1" applyFill="1" applyBorder="1" applyAlignment="1">
      <alignment horizontal="center" vertical="center"/>
    </xf>
    <xf numFmtId="0" fontId="42" fillId="11" borderId="1" xfId="0" applyFont="1" applyFill="1" applyBorder="1" applyAlignment="1">
      <alignment horizontal="left" vertical="center"/>
    </xf>
    <xf numFmtId="0" fontId="42" fillId="11" borderId="11" xfId="0" applyFont="1" applyFill="1" applyBorder="1" applyAlignment="1">
      <alignment horizontal="left" vertical="center"/>
    </xf>
    <xf numFmtId="0" fontId="42" fillId="11" borderId="12" xfId="0" applyFont="1" applyFill="1" applyBorder="1" applyAlignment="1">
      <alignment horizontal="center" vertical="center"/>
    </xf>
    <xf numFmtId="0" fontId="42" fillId="11" borderId="12" xfId="0" applyFont="1" applyFill="1" applyBorder="1" applyAlignment="1">
      <alignment horizontal="left" vertical="center"/>
    </xf>
    <xf numFmtId="0" fontId="42" fillId="11" borderId="13" xfId="0" applyFont="1" applyFill="1" applyBorder="1" applyAlignment="1">
      <alignment horizontal="left" vertical="center"/>
    </xf>
    <xf numFmtId="0" fontId="44" fillId="4" borderId="12" xfId="0" applyFont="1" applyFill="1" applyBorder="1" applyAlignment="1">
      <alignment horizontal="center" vertical="center" wrapText="1"/>
    </xf>
    <xf numFmtId="0" fontId="44" fillId="4" borderId="14" xfId="0" applyFont="1" applyFill="1" applyBorder="1" applyAlignment="1">
      <alignment horizontal="center" vertical="center" wrapText="1"/>
    </xf>
    <xf numFmtId="0" fontId="44" fillId="4" borderId="15" xfId="0" applyFont="1" applyFill="1" applyBorder="1" applyAlignment="1">
      <alignment horizontal="center" vertical="center" wrapText="1"/>
    </xf>
    <xf numFmtId="165" fontId="49" fillId="7" borderId="0" xfId="2" applyNumberFormat="1" applyFont="1" applyFill="1"/>
    <xf numFmtId="1" fontId="48" fillId="3" borderId="0" xfId="0" applyNumberFormat="1" applyFont="1" applyFill="1" applyAlignment="1">
      <alignment horizontal="center" vertical="center" wrapText="1"/>
    </xf>
    <xf numFmtId="0" fontId="48" fillId="19" borderId="0" xfId="0" applyFont="1" applyFill="1" applyAlignment="1">
      <alignment horizontal="center"/>
    </xf>
    <xf numFmtId="10" fontId="48" fillId="3" borderId="0" xfId="0" applyNumberFormat="1" applyFont="1" applyFill="1" applyAlignment="1">
      <alignment horizontal="center" vertical="center" wrapText="1"/>
    </xf>
    <xf numFmtId="166" fontId="48" fillId="3" borderId="0" xfId="0" applyNumberFormat="1" applyFont="1" applyFill="1" applyAlignment="1">
      <alignment horizontal="center" vertical="center" wrapText="1"/>
    </xf>
    <xf numFmtId="2" fontId="48" fillId="3" borderId="0" xfId="0" applyNumberFormat="1" applyFont="1" applyFill="1" applyAlignment="1">
      <alignment horizontal="center" vertical="center" wrapText="1"/>
    </xf>
    <xf numFmtId="164" fontId="48" fillId="3" borderId="0" xfId="0" applyNumberFormat="1" applyFont="1" applyFill="1" applyAlignment="1">
      <alignment horizontal="center" vertical="center" wrapText="1"/>
    </xf>
    <xf numFmtId="9" fontId="48" fillId="3" borderId="0" xfId="0" applyNumberFormat="1" applyFont="1" applyFill="1" applyAlignment="1">
      <alignment horizontal="center" vertical="center" wrapText="1"/>
    </xf>
    <xf numFmtId="0" fontId="28" fillId="0" borderId="0" xfId="0" applyFont="1" applyAlignment="1">
      <alignment horizontal="left" vertical="center" wrapText="1"/>
    </xf>
    <xf numFmtId="0" fontId="0" fillId="0" borderId="0" xfId="0"/>
    <xf numFmtId="0" fontId="31" fillId="9" borderId="4" xfId="0" applyFont="1" applyFill="1" applyBorder="1" applyAlignment="1">
      <alignment horizontal="left" vertical="center"/>
    </xf>
    <xf numFmtId="0" fontId="0" fillId="0" borderId="5" xfId="0" applyBorder="1"/>
    <xf numFmtId="0" fontId="36" fillId="8" borderId="0" xfId="0" applyFont="1" applyFill="1" applyAlignment="1">
      <alignment horizontal="left" vertical="center"/>
    </xf>
    <xf numFmtId="0" fontId="21" fillId="8" borderId="0" xfId="0" applyFont="1" applyFill="1" applyAlignment="1">
      <alignment horizontal="left" vertical="center"/>
    </xf>
    <xf numFmtId="0" fontId="38" fillId="4" borderId="9" xfId="0" applyFont="1" applyFill="1" applyBorder="1"/>
    <xf numFmtId="0" fontId="38" fillId="4" borderId="0" xfId="0" applyFont="1" applyFill="1"/>
    <xf numFmtId="0" fontId="38" fillId="4" borderId="10" xfId="0" applyFont="1" applyFill="1" applyBorder="1"/>
    <xf numFmtId="0" fontId="38" fillId="0" borderId="0" xfId="0" applyFont="1"/>
    <xf numFmtId="0" fontId="38" fillId="4" borderId="6" xfId="0" applyFont="1" applyFill="1" applyBorder="1"/>
    <xf numFmtId="0" fontId="38" fillId="4" borderId="7" xfId="0" applyFont="1" applyFill="1" applyBorder="1"/>
    <xf numFmtId="0" fontId="38" fillId="4" borderId="8" xfId="0" applyFont="1" applyFill="1" applyBorder="1"/>
    <xf numFmtId="0" fontId="39" fillId="4" borderId="0" xfId="0" applyFont="1" applyFill="1" applyAlignment="1">
      <alignment horizontal="left" vertical="center"/>
    </xf>
    <xf numFmtId="0" fontId="40" fillId="4" borderId="0" xfId="0" applyFont="1" applyFill="1"/>
    <xf numFmtId="0" fontId="45" fillId="4" borderId="0" xfId="0" applyFont="1" applyFill="1" applyAlignment="1">
      <alignment horizontal="left" vertical="center" wrapText="1"/>
    </xf>
    <xf numFmtId="0" fontId="46" fillId="4" borderId="0" xfId="0" applyFont="1" applyFill="1" applyAlignment="1">
      <alignment horizontal="left" vertical="center" wrapText="1"/>
    </xf>
    <xf numFmtId="0" fontId="42" fillId="17" borderId="16" xfId="0" applyFont="1" applyFill="1" applyBorder="1" applyAlignment="1">
      <alignment horizontal="left" vertical="center"/>
    </xf>
    <xf numFmtId="0" fontId="41" fillId="17" borderId="2" xfId="0" applyFont="1" applyFill="1" applyBorder="1"/>
    <xf numFmtId="0" fontId="41" fillId="17" borderId="3" xfId="0" applyFont="1" applyFill="1" applyBorder="1"/>
    <xf numFmtId="0" fontId="43" fillId="4" borderId="9" xfId="0" applyFont="1" applyFill="1" applyBorder="1"/>
    <xf numFmtId="0" fontId="43" fillId="4" borderId="0" xfId="0" applyFont="1" applyFill="1"/>
    <xf numFmtId="0" fontId="43" fillId="4" borderId="10" xfId="0" applyFont="1" applyFill="1" applyBorder="1"/>
    <xf numFmtId="0" fontId="42" fillId="11" borderId="6" xfId="0" applyFont="1" applyFill="1" applyBorder="1" applyAlignment="1">
      <alignment horizontal="left" vertical="center"/>
    </xf>
    <xf numFmtId="0" fontId="41" fillId="0" borderId="7" xfId="0" applyFont="1" applyBorder="1"/>
    <xf numFmtId="0" fontId="41" fillId="18" borderId="7" xfId="0" applyFont="1" applyFill="1" applyBorder="1" applyAlignment="1">
      <alignment horizontal="left" vertical="center"/>
    </xf>
    <xf numFmtId="0" fontId="41" fillId="18" borderId="7" xfId="0" applyFont="1" applyFill="1" applyBorder="1"/>
    <xf numFmtId="0" fontId="41" fillId="18" borderId="8" xfId="0" applyFont="1" applyFill="1" applyBorder="1"/>
    <xf numFmtId="0" fontId="42" fillId="11" borderId="9" xfId="0" applyFont="1" applyFill="1" applyBorder="1" applyAlignment="1">
      <alignment horizontal="left" vertical="center"/>
    </xf>
    <xf numFmtId="0" fontId="41" fillId="0" borderId="0" xfId="0" applyFont="1"/>
    <xf numFmtId="0" fontId="41" fillId="18" borderId="0" xfId="0" applyFont="1" applyFill="1" applyAlignment="1">
      <alignment horizontal="left" vertical="center"/>
    </xf>
    <xf numFmtId="0" fontId="41" fillId="18" borderId="0" xfId="0" applyFont="1" applyFill="1"/>
    <xf numFmtId="0" fontId="41" fillId="18" borderId="10" xfId="0" applyFont="1" applyFill="1" applyBorder="1"/>
    <xf numFmtId="0" fontId="42" fillId="17" borderId="1" xfId="0" applyFont="1" applyFill="1" applyBorder="1" applyAlignment="1">
      <alignment horizontal="left" vertical="center"/>
    </xf>
    <xf numFmtId="0" fontId="42" fillId="11" borderId="12" xfId="0" applyFont="1" applyFill="1" applyBorder="1" applyAlignment="1">
      <alignment horizontal="left" vertical="center"/>
    </xf>
    <xf numFmtId="0" fontId="41" fillId="0" borderId="14" xfId="0" applyFont="1" applyBorder="1"/>
    <xf numFmtId="0" fontId="41" fillId="18" borderId="14" xfId="0" applyFont="1" applyFill="1" applyBorder="1" applyAlignment="1">
      <alignment horizontal="left" vertical="center"/>
    </xf>
    <xf numFmtId="0" fontId="41" fillId="18" borderId="14" xfId="0" applyFont="1" applyFill="1" applyBorder="1"/>
    <xf numFmtId="0" fontId="41" fillId="18" borderId="15" xfId="0" applyFont="1" applyFill="1" applyBorder="1"/>
    <xf numFmtId="0" fontId="41" fillId="4" borderId="9" xfId="0" applyFont="1" applyFill="1" applyBorder="1"/>
    <xf numFmtId="0" fontId="41" fillId="4" borderId="0" xfId="0" applyFont="1" applyFill="1"/>
    <xf numFmtId="0" fontId="41" fillId="4" borderId="10" xfId="0" applyFont="1" applyFill="1" applyBorder="1"/>
    <xf numFmtId="0" fontId="47" fillId="4" borderId="9" xfId="0" applyFont="1" applyFill="1" applyBorder="1" applyAlignment="1">
      <alignment horizontal="center" vertical="center" wrapText="1"/>
    </xf>
    <xf numFmtId="0" fontId="27" fillId="0" borderId="4" xfId="0" applyFont="1" applyBorder="1" applyAlignment="1">
      <alignment horizontal="left" vertical="center" wrapText="1"/>
    </xf>
    <xf numFmtId="0" fontId="23" fillId="9" borderId="4" xfId="0" applyFont="1" applyFill="1" applyBorder="1" applyAlignment="1">
      <alignment horizontal="left" vertical="center"/>
    </xf>
    <xf numFmtId="0" fontId="22" fillId="0" borderId="0" xfId="0" applyFont="1" applyAlignment="1">
      <alignment horizontal="left" vertical="center"/>
    </xf>
  </cellXfs>
  <cellStyles count="5">
    <cellStyle name="Comma" xfId="2" builtinId="3"/>
    <cellStyle name="Normal" xfId="0" builtinId="0"/>
    <cellStyle name="Normal 2" xfId="1" xr:uid="{00000000-0005-0000-0000-000001000000}"/>
    <cellStyle name="Normal 3" xfId="3" xr:uid="{00000000-0005-0000-0000-000003000000}"/>
    <cellStyle name="Per cent" xfId="4" builtinId="5"/>
  </cellStyles>
  <dxfs count="2">
    <dxf>
      <fill>
        <patternFill>
          <bgColor rgb="FFCCE5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Monthly Spot Prices - DK1 (Primary) and DK2 (Robustness)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'Electricity Price Data'!$B$1</c:f>
              <c:strCache>
                <c:ptCount val="1"/>
                <c:pt idx="0">
                  <c:v>DK1 Spot Price (EUR/MWh)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'Electricity Price Data'!$B$2:$B$85</c:f>
              <c:numCache>
                <c:formatCode>General</c:formatCode>
                <c:ptCount val="84"/>
                <c:pt idx="0">
                  <c:v>50.295645161290317</c:v>
                </c:pt>
                <c:pt idx="1">
                  <c:v>42.813958333333332</c:v>
                </c:pt>
                <c:pt idx="2">
                  <c:v>33.608259109311753</c:v>
                </c:pt>
                <c:pt idx="3">
                  <c:v>39.068416666666657</c:v>
                </c:pt>
                <c:pt idx="4">
                  <c:v>37.429516129032258</c:v>
                </c:pt>
                <c:pt idx="5">
                  <c:v>32.879222222222232</c:v>
                </c:pt>
                <c:pt idx="6">
                  <c:v>38.817311827956978</c:v>
                </c:pt>
                <c:pt idx="7">
                  <c:v>37.865698924731177</c:v>
                </c:pt>
                <c:pt idx="8">
                  <c:v>35.378861111111107</c:v>
                </c:pt>
                <c:pt idx="9">
                  <c:v>38.347402422611033</c:v>
                </c:pt>
                <c:pt idx="10">
                  <c:v>41.745069444444447</c:v>
                </c:pt>
                <c:pt idx="11">
                  <c:v>34.04197580645161</c:v>
                </c:pt>
                <c:pt idx="12">
                  <c:v>24.99454301075269</c:v>
                </c:pt>
                <c:pt idx="13">
                  <c:v>17.585071839080459</c:v>
                </c:pt>
                <c:pt idx="14">
                  <c:v>18.301727395411611</c:v>
                </c:pt>
                <c:pt idx="15">
                  <c:v>14.533777777777781</c:v>
                </c:pt>
                <c:pt idx="16">
                  <c:v>16.053991935483872</c:v>
                </c:pt>
                <c:pt idx="17">
                  <c:v>26.276277777777771</c:v>
                </c:pt>
                <c:pt idx="18">
                  <c:v>24.61956989247312</c:v>
                </c:pt>
                <c:pt idx="19">
                  <c:v>34.539287634408602</c:v>
                </c:pt>
                <c:pt idx="20">
                  <c:v>38.535041666666658</c:v>
                </c:pt>
                <c:pt idx="21">
                  <c:v>25.814751009421261</c:v>
                </c:pt>
                <c:pt idx="22">
                  <c:v>23.754583333333329</c:v>
                </c:pt>
                <c:pt idx="23">
                  <c:v>34.511129032258061</c:v>
                </c:pt>
                <c:pt idx="24">
                  <c:v>50.205107526881719</c:v>
                </c:pt>
                <c:pt idx="25">
                  <c:v>47.261502976190478</c:v>
                </c:pt>
                <c:pt idx="26">
                  <c:v>45.129446693657208</c:v>
                </c:pt>
                <c:pt idx="27">
                  <c:v>47.967111111111109</c:v>
                </c:pt>
                <c:pt idx="28">
                  <c:v>54.30756720430108</c:v>
                </c:pt>
                <c:pt idx="29">
                  <c:v>73.71981944444444</c:v>
                </c:pt>
                <c:pt idx="30">
                  <c:v>79.999247311827958</c:v>
                </c:pt>
                <c:pt idx="31">
                  <c:v>82.788763440860208</c:v>
                </c:pt>
                <c:pt idx="32">
                  <c:v>125.3637638888889</c:v>
                </c:pt>
                <c:pt idx="33">
                  <c:v>117.0398115746972</c:v>
                </c:pt>
                <c:pt idx="34">
                  <c:v>141.79758333333331</c:v>
                </c:pt>
                <c:pt idx="35">
                  <c:v>189.34932795698921</c:v>
                </c:pt>
                <c:pt idx="36">
                  <c:v>117.9946505376344</c:v>
                </c:pt>
                <c:pt idx="37">
                  <c:v>113.120744047619</c:v>
                </c:pt>
                <c:pt idx="38">
                  <c:v>235.8248448043185</c:v>
                </c:pt>
                <c:pt idx="39">
                  <c:v>163.63747222222219</c:v>
                </c:pt>
                <c:pt idx="40">
                  <c:v>171.85803763440859</c:v>
                </c:pt>
                <c:pt idx="41">
                  <c:v>214.43025</c:v>
                </c:pt>
                <c:pt idx="42">
                  <c:v>275.03817204301072</c:v>
                </c:pt>
                <c:pt idx="43">
                  <c:v>456.75034946236559</c:v>
                </c:pt>
                <c:pt idx="44">
                  <c:v>342.81965277777778</c:v>
                </c:pt>
                <c:pt idx="45">
                  <c:v>137.13172274562581</c:v>
                </c:pt>
                <c:pt idx="46">
                  <c:v>139.7042083333333</c:v>
                </c:pt>
                <c:pt idx="47">
                  <c:v>249.66561827956991</c:v>
                </c:pt>
                <c:pt idx="48">
                  <c:v>112.5418413978495</c:v>
                </c:pt>
                <c:pt idx="49">
                  <c:v>118.136130952381</c:v>
                </c:pt>
                <c:pt idx="50">
                  <c:v>99.113913630229419</c:v>
                </c:pt>
                <c:pt idx="51">
                  <c:v>96.270972222222227</c:v>
                </c:pt>
                <c:pt idx="52">
                  <c:v>73.965779569892476</c:v>
                </c:pt>
                <c:pt idx="53">
                  <c:v>92.495430555555558</c:v>
                </c:pt>
                <c:pt idx="54">
                  <c:v>64.811303763440861</c:v>
                </c:pt>
                <c:pt idx="55">
                  <c:v>85.967110215053765</c:v>
                </c:pt>
                <c:pt idx="56">
                  <c:v>84.739444444444445</c:v>
                </c:pt>
                <c:pt idx="57">
                  <c:v>60.105760430686409</c:v>
                </c:pt>
                <c:pt idx="58">
                  <c:v>88.154569444444448</c:v>
                </c:pt>
                <c:pt idx="59">
                  <c:v>69.482513440860217</c:v>
                </c:pt>
                <c:pt idx="60">
                  <c:v>74.714932795698928</c:v>
                </c:pt>
                <c:pt idx="61">
                  <c:v>58.633936781609187</c:v>
                </c:pt>
                <c:pt idx="62">
                  <c:v>61.226288798920379</c:v>
                </c:pt>
                <c:pt idx="63">
                  <c:v>59.164791666666673</c:v>
                </c:pt>
                <c:pt idx="64">
                  <c:v>58.516854838709683</c:v>
                </c:pt>
                <c:pt idx="65">
                  <c:v>63.753041666666668</c:v>
                </c:pt>
                <c:pt idx="66">
                  <c:v>62.030349462365592</c:v>
                </c:pt>
                <c:pt idx="67">
                  <c:v>72.95380376344086</c:v>
                </c:pt>
                <c:pt idx="68">
                  <c:v>71.713583333333332</c:v>
                </c:pt>
                <c:pt idx="69">
                  <c:v>76.7199730820996</c:v>
                </c:pt>
                <c:pt idx="70">
                  <c:v>95.904597222222222</c:v>
                </c:pt>
                <c:pt idx="71">
                  <c:v>91.83743279569893</c:v>
                </c:pt>
                <c:pt idx="72">
                  <c:v>97.965967741935472</c:v>
                </c:pt>
                <c:pt idx="73">
                  <c:v>112.8479613095238</c:v>
                </c:pt>
                <c:pt idx="74">
                  <c:v>84.348845117845116</c:v>
                </c:pt>
                <c:pt idx="75">
                  <c:v>75.160472222222225</c:v>
                </c:pt>
                <c:pt idx="76">
                  <c:v>64.233413978494625</c:v>
                </c:pt>
                <c:pt idx="77">
                  <c:v>58.784624999999998</c:v>
                </c:pt>
                <c:pt idx="78">
                  <c:v>82.801922043010748</c:v>
                </c:pt>
                <c:pt idx="79">
                  <c:v>73.473763440860225</c:v>
                </c:pt>
                <c:pt idx="80">
                  <c:v>72.398680555555558</c:v>
                </c:pt>
                <c:pt idx="81">
                  <c:v>78.421800134589503</c:v>
                </c:pt>
                <c:pt idx="82">
                  <c:v>92.873392361111115</c:v>
                </c:pt>
                <c:pt idx="83">
                  <c:v>82.437466397849462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4F-894C-A179-C61B93BA087A}"/>
            </c:ext>
          </c:extLst>
        </c:ser>
        <c:ser>
          <c:idx val="1"/>
          <c:order val="1"/>
          <c:tx>
            <c:strRef>
              <c:f>'Electricity Price Data'!$C$1</c:f>
              <c:strCache>
                <c:ptCount val="1"/>
                <c:pt idx="0">
                  <c:v>DK2 Spot Price (EUR/MWh)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'Electricity Price Data'!$C$2:$C$85</c:f>
              <c:numCache>
                <c:formatCode>General</c:formatCode>
                <c:ptCount val="84"/>
                <c:pt idx="0">
                  <c:v>51.655026881720417</c:v>
                </c:pt>
                <c:pt idx="1">
                  <c:v>43.932946428571427</c:v>
                </c:pt>
                <c:pt idx="2">
                  <c:v>35.667354925775967</c:v>
                </c:pt>
                <c:pt idx="3">
                  <c:v>39.892097222222233</c:v>
                </c:pt>
                <c:pt idx="4">
                  <c:v>38.151397849462363</c:v>
                </c:pt>
                <c:pt idx="5">
                  <c:v>33.622236111111107</c:v>
                </c:pt>
                <c:pt idx="6">
                  <c:v>39.000174731182803</c:v>
                </c:pt>
                <c:pt idx="7">
                  <c:v>39.493172043010752</c:v>
                </c:pt>
                <c:pt idx="8">
                  <c:v>37.321347222222222</c:v>
                </c:pt>
                <c:pt idx="9">
                  <c:v>41.599353970390311</c:v>
                </c:pt>
                <c:pt idx="10">
                  <c:v>42.696444444444452</c:v>
                </c:pt>
                <c:pt idx="11">
                  <c:v>35.34711021505376</c:v>
                </c:pt>
                <c:pt idx="12">
                  <c:v>27.385241935483869</c:v>
                </c:pt>
                <c:pt idx="13">
                  <c:v>18.816997126436782</c:v>
                </c:pt>
                <c:pt idx="14">
                  <c:v>20.05249662618084</c:v>
                </c:pt>
                <c:pt idx="15">
                  <c:v>17.354861111111109</c:v>
                </c:pt>
                <c:pt idx="16">
                  <c:v>19.04407258064516</c:v>
                </c:pt>
                <c:pt idx="17">
                  <c:v>29.82329166666667</c:v>
                </c:pt>
                <c:pt idx="18">
                  <c:v>25.886680107526882</c:v>
                </c:pt>
                <c:pt idx="19">
                  <c:v>40.923817204301074</c:v>
                </c:pt>
                <c:pt idx="20">
                  <c:v>39.51423611111111</c:v>
                </c:pt>
                <c:pt idx="21">
                  <c:v>26.933512786002691</c:v>
                </c:pt>
                <c:pt idx="22">
                  <c:v>35.711347222222223</c:v>
                </c:pt>
                <c:pt idx="23">
                  <c:v>39.257150537634409</c:v>
                </c:pt>
                <c:pt idx="24">
                  <c:v>50.858951612903233</c:v>
                </c:pt>
                <c:pt idx="25">
                  <c:v>54.54806547619048</c:v>
                </c:pt>
                <c:pt idx="26">
                  <c:v>46.732213225371119</c:v>
                </c:pt>
                <c:pt idx="27">
                  <c:v>47.862958333333339</c:v>
                </c:pt>
                <c:pt idx="28">
                  <c:v>55.208803763440862</c:v>
                </c:pt>
                <c:pt idx="29">
                  <c:v>73.58690277777778</c:v>
                </c:pt>
                <c:pt idx="30">
                  <c:v>81.44088709677419</c:v>
                </c:pt>
                <c:pt idx="31">
                  <c:v>84.363548387096785</c:v>
                </c:pt>
                <c:pt idx="32">
                  <c:v>123.9021111111111</c:v>
                </c:pt>
                <c:pt idx="33">
                  <c:v>106.9322745625841</c:v>
                </c:pt>
                <c:pt idx="34">
                  <c:v>136.38005555555549</c:v>
                </c:pt>
                <c:pt idx="35">
                  <c:v>191.06861559139779</c:v>
                </c:pt>
                <c:pt idx="36">
                  <c:v>111.62209677419349</c:v>
                </c:pt>
                <c:pt idx="37">
                  <c:v>100.2914136904762</c:v>
                </c:pt>
                <c:pt idx="38">
                  <c:v>227.92036437246961</c:v>
                </c:pt>
                <c:pt idx="39">
                  <c:v>152.83280555555561</c:v>
                </c:pt>
                <c:pt idx="40">
                  <c:v>162.65841397849459</c:v>
                </c:pt>
                <c:pt idx="41">
                  <c:v>213.2331388888889</c:v>
                </c:pt>
                <c:pt idx="42">
                  <c:v>233.47774193548389</c:v>
                </c:pt>
                <c:pt idx="43">
                  <c:v>449.7688306451613</c:v>
                </c:pt>
                <c:pt idx="44">
                  <c:v>328.80015277777778</c:v>
                </c:pt>
                <c:pt idx="45">
                  <c:v>136.89783310901751</c:v>
                </c:pt>
                <c:pt idx="46">
                  <c:v>145.05780555555549</c:v>
                </c:pt>
                <c:pt idx="47">
                  <c:v>248.88206989247311</c:v>
                </c:pt>
                <c:pt idx="48">
                  <c:v>99.762889784946225</c:v>
                </c:pt>
                <c:pt idx="49">
                  <c:v>100.6489285714286</c:v>
                </c:pt>
                <c:pt idx="50">
                  <c:v>89.795614035087723</c:v>
                </c:pt>
                <c:pt idx="51">
                  <c:v>83.651124999999993</c:v>
                </c:pt>
                <c:pt idx="52">
                  <c:v>66.151747311827961</c:v>
                </c:pt>
                <c:pt idx="53">
                  <c:v>91.423152777777773</c:v>
                </c:pt>
                <c:pt idx="54">
                  <c:v>65.24004032258064</c:v>
                </c:pt>
                <c:pt idx="55">
                  <c:v>86.293736559139788</c:v>
                </c:pt>
                <c:pt idx="56">
                  <c:v>85.484125000000006</c:v>
                </c:pt>
                <c:pt idx="57">
                  <c:v>56.925814266487208</c:v>
                </c:pt>
                <c:pt idx="58">
                  <c:v>81.486041666666665</c:v>
                </c:pt>
                <c:pt idx="59">
                  <c:v>70.879731182795695</c:v>
                </c:pt>
                <c:pt idx="60">
                  <c:v>78.214811827956993</c:v>
                </c:pt>
                <c:pt idx="61">
                  <c:v>54.722241379310347</c:v>
                </c:pt>
                <c:pt idx="62">
                  <c:v>61.040863697705802</c:v>
                </c:pt>
                <c:pt idx="63">
                  <c:v>60.476708333333328</c:v>
                </c:pt>
                <c:pt idx="64">
                  <c:v>58.122983870967737</c:v>
                </c:pt>
                <c:pt idx="65">
                  <c:v>66.79098611111111</c:v>
                </c:pt>
                <c:pt idx="66">
                  <c:v>62.841706989247307</c:v>
                </c:pt>
                <c:pt idx="67">
                  <c:v>72.614260752688182</c:v>
                </c:pt>
                <c:pt idx="68">
                  <c:v>70.411833333333334</c:v>
                </c:pt>
                <c:pt idx="69">
                  <c:v>76.326123822341856</c:v>
                </c:pt>
                <c:pt idx="70">
                  <c:v>95.282694444444431</c:v>
                </c:pt>
                <c:pt idx="71">
                  <c:v>92.728158602150543</c:v>
                </c:pt>
                <c:pt idx="72">
                  <c:v>100.1237365591398</c:v>
                </c:pt>
                <c:pt idx="73">
                  <c:v>117.9355505952381</c:v>
                </c:pt>
                <c:pt idx="74">
                  <c:v>82.846865319865316</c:v>
                </c:pt>
                <c:pt idx="75">
                  <c:v>75.806652777777785</c:v>
                </c:pt>
                <c:pt idx="76">
                  <c:v>63.082553763440863</c:v>
                </c:pt>
                <c:pt idx="77">
                  <c:v>56.448249999999987</c:v>
                </c:pt>
                <c:pt idx="78">
                  <c:v>79.959690860215062</c:v>
                </c:pt>
                <c:pt idx="79">
                  <c:v>75.315497311827954</c:v>
                </c:pt>
                <c:pt idx="80">
                  <c:v>83.288930555555552</c:v>
                </c:pt>
                <c:pt idx="81">
                  <c:v>82.368075370121133</c:v>
                </c:pt>
                <c:pt idx="82">
                  <c:v>93.695572916666663</c:v>
                </c:pt>
                <c:pt idx="83">
                  <c:v>82.081528897849466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4F-894C-A179-C61B93BA0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DK1 De-seasonalised Price Series (Primary)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'Electricity Price Data'!$E$1</c:f>
              <c:strCache>
                <c:ptCount val="1"/>
                <c:pt idx="0">
                  <c:v>DK1 De-seasonalised Price (EUR/MWh)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'Electricity Price Data'!$E$2:$E$85</c:f>
              <c:numCache>
                <c:formatCode>General</c:formatCode>
                <c:ptCount val="84"/>
                <c:pt idx="0">
                  <c:v>-25.234738863287252</c:v>
                </c:pt>
                <c:pt idx="1">
                  <c:v>-30.100228272343401</c:v>
                </c:pt>
                <c:pt idx="2">
                  <c:v>-48.899358826358807</c:v>
                </c:pt>
                <c:pt idx="3">
                  <c:v>-31.760585317460279</c:v>
                </c:pt>
                <c:pt idx="4">
                  <c:v>-30.622649769585269</c:v>
                </c:pt>
                <c:pt idx="5">
                  <c:v>-47.454873015873012</c:v>
                </c:pt>
                <c:pt idx="6">
                  <c:v>-50.913813364055301</c:v>
                </c:pt>
                <c:pt idx="7">
                  <c:v>-82.754126344086018</c:v>
                </c:pt>
                <c:pt idx="8">
                  <c:v>-74.756714285714281</c:v>
                </c:pt>
                <c:pt idx="9">
                  <c:v>-37.87848634877907</c:v>
                </c:pt>
                <c:pt idx="10">
                  <c:v>-47.388359623015852</c:v>
                </c:pt>
                <c:pt idx="11">
                  <c:v>-73.290233294930886</c:v>
                </c:pt>
                <c:pt idx="12">
                  <c:v>-50.535841013824893</c:v>
                </c:pt>
                <c:pt idx="13">
                  <c:v>-55.329114766596277</c:v>
                </c:pt>
                <c:pt idx="14">
                  <c:v>-64.205890540258949</c:v>
                </c:pt>
                <c:pt idx="15">
                  <c:v>-56.295224206349168</c:v>
                </c:pt>
                <c:pt idx="16">
                  <c:v>-51.998173963133659</c:v>
                </c:pt>
                <c:pt idx="17">
                  <c:v>-54.057817460317452</c:v>
                </c:pt>
                <c:pt idx="18">
                  <c:v>-65.111555299539162</c:v>
                </c:pt>
                <c:pt idx="19">
                  <c:v>-86.080537634408586</c:v>
                </c:pt>
                <c:pt idx="20">
                  <c:v>-71.60053373015873</c:v>
                </c:pt>
                <c:pt idx="21">
                  <c:v>-50.411137761968838</c:v>
                </c:pt>
                <c:pt idx="22">
                  <c:v>-65.378845734126969</c:v>
                </c:pt>
                <c:pt idx="23">
                  <c:v>-72.821080069124434</c:v>
                </c:pt>
                <c:pt idx="24">
                  <c:v>-25.32527649769585</c:v>
                </c:pt>
                <c:pt idx="25">
                  <c:v>-25.652683629486251</c:v>
                </c:pt>
                <c:pt idx="26">
                  <c:v>-37.378171242013337</c:v>
                </c:pt>
                <c:pt idx="27">
                  <c:v>-22.861890873015842</c:v>
                </c:pt>
                <c:pt idx="28">
                  <c:v>-13.74459869431645</c:v>
                </c:pt>
                <c:pt idx="29">
                  <c:v>-6.6142757936507914</c:v>
                </c:pt>
                <c:pt idx="30">
                  <c:v>-9.731877880184328</c:v>
                </c:pt>
                <c:pt idx="31">
                  <c:v>-37.831061827956987</c:v>
                </c:pt>
                <c:pt idx="32">
                  <c:v>15.228188492063509</c:v>
                </c:pt>
                <c:pt idx="33">
                  <c:v>40.813922803307079</c:v>
                </c:pt>
                <c:pt idx="34">
                  <c:v>52.664154265873037</c:v>
                </c:pt>
                <c:pt idx="35">
                  <c:v>82.017118855606753</c:v>
                </c:pt>
                <c:pt idx="36">
                  <c:v>42.464266513056842</c:v>
                </c:pt>
                <c:pt idx="37">
                  <c:v>40.206557441942309</c:v>
                </c:pt>
                <c:pt idx="38">
                  <c:v>153.31722686864791</c:v>
                </c:pt>
                <c:pt idx="39">
                  <c:v>92.808470238095268</c:v>
                </c:pt>
                <c:pt idx="40">
                  <c:v>103.8058717357911</c:v>
                </c:pt>
                <c:pt idx="41">
                  <c:v>134.09615476190481</c:v>
                </c:pt>
                <c:pt idx="42">
                  <c:v>185.3070468509984</c:v>
                </c:pt>
                <c:pt idx="43">
                  <c:v>336.13052419354841</c:v>
                </c:pt>
                <c:pt idx="44">
                  <c:v>232.6840773809524</c:v>
                </c:pt>
                <c:pt idx="45">
                  <c:v>60.905833974235733</c:v>
                </c:pt>
                <c:pt idx="46">
                  <c:v>50.570779265873028</c:v>
                </c:pt>
                <c:pt idx="47">
                  <c:v>142.3334091781874</c:v>
                </c:pt>
                <c:pt idx="48">
                  <c:v>37.011457373271902</c:v>
                </c:pt>
                <c:pt idx="49">
                  <c:v>45.22194434670422</c:v>
                </c:pt>
                <c:pt idx="50">
                  <c:v>16.60629569455887</c:v>
                </c:pt>
                <c:pt idx="51">
                  <c:v>25.44197023809528</c:v>
                </c:pt>
                <c:pt idx="52">
                  <c:v>5.9136136712749447</c:v>
                </c:pt>
                <c:pt idx="53">
                  <c:v>12.161335317460329</c:v>
                </c:pt>
                <c:pt idx="54">
                  <c:v>-24.919821428571421</c:v>
                </c:pt>
                <c:pt idx="55">
                  <c:v>-34.65271505376343</c:v>
                </c:pt>
                <c:pt idx="56">
                  <c:v>-25.39613095238094</c:v>
                </c:pt>
                <c:pt idx="57">
                  <c:v>-16.12012834070369</c:v>
                </c:pt>
                <c:pt idx="58">
                  <c:v>-0.97885962301585039</c:v>
                </c:pt>
                <c:pt idx="59">
                  <c:v>-37.849695660522272</c:v>
                </c:pt>
                <c:pt idx="60">
                  <c:v>-0.81545122887864352</c:v>
                </c:pt>
                <c:pt idx="61">
                  <c:v>-14.280249824067541</c:v>
                </c:pt>
                <c:pt idx="62">
                  <c:v>-21.28132913675017</c:v>
                </c:pt>
                <c:pt idx="63">
                  <c:v>-11.664210317460279</c:v>
                </c:pt>
                <c:pt idx="64">
                  <c:v>-9.5353110599078548</c:v>
                </c:pt>
                <c:pt idx="65">
                  <c:v>-16.581053571428559</c:v>
                </c:pt>
                <c:pt idx="66">
                  <c:v>-27.70077572964669</c:v>
                </c:pt>
                <c:pt idx="67">
                  <c:v>-47.666021505376342</c:v>
                </c:pt>
                <c:pt idx="68">
                  <c:v>-38.421992063492063</c:v>
                </c:pt>
                <c:pt idx="69">
                  <c:v>0.49408431070949632</c:v>
                </c:pt>
                <c:pt idx="70">
                  <c:v>6.7711681547619236</c:v>
                </c:pt>
                <c:pt idx="71">
                  <c:v>-15.49477630568356</c:v>
                </c:pt>
                <c:pt idx="72">
                  <c:v>22.4355837173579</c:v>
                </c:pt>
                <c:pt idx="73">
                  <c:v>39.933774703847078</c:v>
                </c:pt>
                <c:pt idx="74">
                  <c:v>1.8412271821745629</c:v>
                </c:pt>
                <c:pt idx="75">
                  <c:v>4.3314702380952781</c:v>
                </c:pt>
                <c:pt idx="76">
                  <c:v>-3.818751920122907</c:v>
                </c:pt>
                <c:pt idx="77">
                  <c:v>-21.549470238095228</c:v>
                </c:pt>
                <c:pt idx="78">
                  <c:v>-6.9292031490015384</c:v>
                </c:pt>
                <c:pt idx="79">
                  <c:v>-47.14606182795697</c:v>
                </c:pt>
                <c:pt idx="80">
                  <c:v>-37.73689484126983</c:v>
                </c:pt>
                <c:pt idx="81">
                  <c:v>2.1959113631994001</c:v>
                </c:pt>
                <c:pt idx="82">
                  <c:v>3.7399632936508169</c:v>
                </c:pt>
                <c:pt idx="83">
                  <c:v>-24.89474270353303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05F-8645-966F-814BA5775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  <c:txPr>
        <a:bodyPr/>
        <a:lstStyle/>
        <a:p>
          <a:pPr rtl="0">
            <a:defRPr/>
          </a:pPr>
          <a:endParaRPr lang="en-DK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Monthly Spot Prices - DK1 (Primary) and DK2 (Robustness)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'Electricity Price Data'!$B$1</c:f>
              <c:strCache>
                <c:ptCount val="1"/>
                <c:pt idx="0">
                  <c:v>DK1 Spot Price (EUR/MWh)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'Electricity Price Data'!$B$2:$B$85</c:f>
              <c:numCache>
                <c:formatCode>General</c:formatCode>
                <c:ptCount val="84"/>
                <c:pt idx="0">
                  <c:v>50.295645161290317</c:v>
                </c:pt>
                <c:pt idx="1">
                  <c:v>42.813958333333332</c:v>
                </c:pt>
                <c:pt idx="2">
                  <c:v>33.608259109311753</c:v>
                </c:pt>
                <c:pt idx="3">
                  <c:v>39.068416666666657</c:v>
                </c:pt>
                <c:pt idx="4">
                  <c:v>37.429516129032258</c:v>
                </c:pt>
                <c:pt idx="5">
                  <c:v>32.879222222222232</c:v>
                </c:pt>
                <c:pt idx="6">
                  <c:v>38.817311827956978</c:v>
                </c:pt>
                <c:pt idx="7">
                  <c:v>37.865698924731177</c:v>
                </c:pt>
                <c:pt idx="8">
                  <c:v>35.378861111111107</c:v>
                </c:pt>
                <c:pt idx="9">
                  <c:v>38.347402422611033</c:v>
                </c:pt>
                <c:pt idx="10">
                  <c:v>41.745069444444447</c:v>
                </c:pt>
                <c:pt idx="11">
                  <c:v>34.04197580645161</c:v>
                </c:pt>
                <c:pt idx="12">
                  <c:v>24.99454301075269</c:v>
                </c:pt>
                <c:pt idx="13">
                  <c:v>17.585071839080459</c:v>
                </c:pt>
                <c:pt idx="14">
                  <c:v>18.301727395411611</c:v>
                </c:pt>
                <c:pt idx="15">
                  <c:v>14.533777777777781</c:v>
                </c:pt>
                <c:pt idx="16">
                  <c:v>16.053991935483872</c:v>
                </c:pt>
                <c:pt idx="17">
                  <c:v>26.276277777777771</c:v>
                </c:pt>
                <c:pt idx="18">
                  <c:v>24.61956989247312</c:v>
                </c:pt>
                <c:pt idx="19">
                  <c:v>34.539287634408602</c:v>
                </c:pt>
                <c:pt idx="20">
                  <c:v>38.535041666666658</c:v>
                </c:pt>
                <c:pt idx="21">
                  <c:v>25.814751009421261</c:v>
                </c:pt>
                <c:pt idx="22">
                  <c:v>23.754583333333329</c:v>
                </c:pt>
                <c:pt idx="23">
                  <c:v>34.511129032258061</c:v>
                </c:pt>
                <c:pt idx="24">
                  <c:v>50.205107526881719</c:v>
                </c:pt>
                <c:pt idx="25">
                  <c:v>47.261502976190478</c:v>
                </c:pt>
                <c:pt idx="26">
                  <c:v>45.129446693657208</c:v>
                </c:pt>
                <c:pt idx="27">
                  <c:v>47.967111111111109</c:v>
                </c:pt>
                <c:pt idx="28">
                  <c:v>54.30756720430108</c:v>
                </c:pt>
                <c:pt idx="29">
                  <c:v>73.71981944444444</c:v>
                </c:pt>
                <c:pt idx="30">
                  <c:v>79.999247311827958</c:v>
                </c:pt>
                <c:pt idx="31">
                  <c:v>82.788763440860208</c:v>
                </c:pt>
                <c:pt idx="32">
                  <c:v>125.3637638888889</c:v>
                </c:pt>
                <c:pt idx="33">
                  <c:v>117.0398115746972</c:v>
                </c:pt>
                <c:pt idx="34">
                  <c:v>141.79758333333331</c:v>
                </c:pt>
                <c:pt idx="35">
                  <c:v>189.34932795698921</c:v>
                </c:pt>
                <c:pt idx="36">
                  <c:v>117.9946505376344</c:v>
                </c:pt>
                <c:pt idx="37">
                  <c:v>113.120744047619</c:v>
                </c:pt>
                <c:pt idx="38">
                  <c:v>235.8248448043185</c:v>
                </c:pt>
                <c:pt idx="39">
                  <c:v>163.63747222222219</c:v>
                </c:pt>
                <c:pt idx="40">
                  <c:v>171.85803763440859</c:v>
                </c:pt>
                <c:pt idx="41">
                  <c:v>214.43025</c:v>
                </c:pt>
                <c:pt idx="42">
                  <c:v>275.03817204301072</c:v>
                </c:pt>
                <c:pt idx="43">
                  <c:v>456.75034946236559</c:v>
                </c:pt>
                <c:pt idx="44">
                  <c:v>342.81965277777778</c:v>
                </c:pt>
                <c:pt idx="45">
                  <c:v>137.13172274562581</c:v>
                </c:pt>
                <c:pt idx="46">
                  <c:v>139.7042083333333</c:v>
                </c:pt>
                <c:pt idx="47">
                  <c:v>249.66561827956991</c:v>
                </c:pt>
                <c:pt idx="48">
                  <c:v>112.5418413978495</c:v>
                </c:pt>
                <c:pt idx="49">
                  <c:v>118.136130952381</c:v>
                </c:pt>
                <c:pt idx="50">
                  <c:v>99.113913630229419</c:v>
                </c:pt>
                <c:pt idx="51">
                  <c:v>96.270972222222227</c:v>
                </c:pt>
                <c:pt idx="52">
                  <c:v>73.965779569892476</c:v>
                </c:pt>
                <c:pt idx="53">
                  <c:v>92.495430555555558</c:v>
                </c:pt>
                <c:pt idx="54">
                  <c:v>64.811303763440861</c:v>
                </c:pt>
                <c:pt idx="55">
                  <c:v>85.967110215053765</c:v>
                </c:pt>
                <c:pt idx="56">
                  <c:v>84.739444444444445</c:v>
                </c:pt>
                <c:pt idx="57">
                  <c:v>60.105760430686409</c:v>
                </c:pt>
                <c:pt idx="58">
                  <c:v>88.154569444444448</c:v>
                </c:pt>
                <c:pt idx="59">
                  <c:v>69.482513440860217</c:v>
                </c:pt>
                <c:pt idx="60">
                  <c:v>74.714932795698928</c:v>
                </c:pt>
                <c:pt idx="61">
                  <c:v>58.633936781609187</c:v>
                </c:pt>
                <c:pt idx="62">
                  <c:v>61.226288798920379</c:v>
                </c:pt>
                <c:pt idx="63">
                  <c:v>59.164791666666673</c:v>
                </c:pt>
                <c:pt idx="64">
                  <c:v>58.516854838709683</c:v>
                </c:pt>
                <c:pt idx="65">
                  <c:v>63.753041666666668</c:v>
                </c:pt>
                <c:pt idx="66">
                  <c:v>62.030349462365592</c:v>
                </c:pt>
                <c:pt idx="67">
                  <c:v>72.95380376344086</c:v>
                </c:pt>
                <c:pt idx="68">
                  <c:v>71.713583333333332</c:v>
                </c:pt>
                <c:pt idx="69">
                  <c:v>76.7199730820996</c:v>
                </c:pt>
                <c:pt idx="70">
                  <c:v>95.904597222222222</c:v>
                </c:pt>
                <c:pt idx="71">
                  <c:v>91.83743279569893</c:v>
                </c:pt>
                <c:pt idx="72">
                  <c:v>97.965967741935472</c:v>
                </c:pt>
                <c:pt idx="73">
                  <c:v>112.8479613095238</c:v>
                </c:pt>
                <c:pt idx="74">
                  <c:v>84.348845117845116</c:v>
                </c:pt>
                <c:pt idx="75">
                  <c:v>75.160472222222225</c:v>
                </c:pt>
                <c:pt idx="76">
                  <c:v>64.233413978494625</c:v>
                </c:pt>
                <c:pt idx="77">
                  <c:v>58.784624999999998</c:v>
                </c:pt>
                <c:pt idx="78">
                  <c:v>82.801922043010748</c:v>
                </c:pt>
                <c:pt idx="79">
                  <c:v>73.473763440860225</c:v>
                </c:pt>
                <c:pt idx="80">
                  <c:v>72.398680555555558</c:v>
                </c:pt>
                <c:pt idx="81">
                  <c:v>78.421800134589503</c:v>
                </c:pt>
                <c:pt idx="82">
                  <c:v>92.873392361111115</c:v>
                </c:pt>
                <c:pt idx="83">
                  <c:v>82.437466397849462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5C7-DE4A-BA4C-62A9EC0B7DD9}"/>
            </c:ext>
          </c:extLst>
        </c:ser>
        <c:ser>
          <c:idx val="1"/>
          <c:order val="1"/>
          <c:tx>
            <c:strRef>
              <c:f>'Electricity Price Data'!$C$1</c:f>
              <c:strCache>
                <c:ptCount val="1"/>
                <c:pt idx="0">
                  <c:v>DK2 Spot Price (EUR/MWh)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'Electricity Price Data'!$C$2:$C$85</c:f>
              <c:numCache>
                <c:formatCode>General</c:formatCode>
                <c:ptCount val="84"/>
                <c:pt idx="0">
                  <c:v>51.655026881720417</c:v>
                </c:pt>
                <c:pt idx="1">
                  <c:v>43.932946428571427</c:v>
                </c:pt>
                <c:pt idx="2">
                  <c:v>35.667354925775967</c:v>
                </c:pt>
                <c:pt idx="3">
                  <c:v>39.892097222222233</c:v>
                </c:pt>
                <c:pt idx="4">
                  <c:v>38.151397849462363</c:v>
                </c:pt>
                <c:pt idx="5">
                  <c:v>33.622236111111107</c:v>
                </c:pt>
                <c:pt idx="6">
                  <c:v>39.000174731182803</c:v>
                </c:pt>
                <c:pt idx="7">
                  <c:v>39.493172043010752</c:v>
                </c:pt>
                <c:pt idx="8">
                  <c:v>37.321347222222222</c:v>
                </c:pt>
                <c:pt idx="9">
                  <c:v>41.599353970390311</c:v>
                </c:pt>
                <c:pt idx="10">
                  <c:v>42.696444444444452</c:v>
                </c:pt>
                <c:pt idx="11">
                  <c:v>35.34711021505376</c:v>
                </c:pt>
                <c:pt idx="12">
                  <c:v>27.385241935483869</c:v>
                </c:pt>
                <c:pt idx="13">
                  <c:v>18.816997126436782</c:v>
                </c:pt>
                <c:pt idx="14">
                  <c:v>20.05249662618084</c:v>
                </c:pt>
                <c:pt idx="15">
                  <c:v>17.354861111111109</c:v>
                </c:pt>
                <c:pt idx="16">
                  <c:v>19.04407258064516</c:v>
                </c:pt>
                <c:pt idx="17">
                  <c:v>29.82329166666667</c:v>
                </c:pt>
                <c:pt idx="18">
                  <c:v>25.886680107526882</c:v>
                </c:pt>
                <c:pt idx="19">
                  <c:v>40.923817204301074</c:v>
                </c:pt>
                <c:pt idx="20">
                  <c:v>39.51423611111111</c:v>
                </c:pt>
                <c:pt idx="21">
                  <c:v>26.933512786002691</c:v>
                </c:pt>
                <c:pt idx="22">
                  <c:v>35.711347222222223</c:v>
                </c:pt>
                <c:pt idx="23">
                  <c:v>39.257150537634409</c:v>
                </c:pt>
                <c:pt idx="24">
                  <c:v>50.858951612903233</c:v>
                </c:pt>
                <c:pt idx="25">
                  <c:v>54.54806547619048</c:v>
                </c:pt>
                <c:pt idx="26">
                  <c:v>46.732213225371119</c:v>
                </c:pt>
                <c:pt idx="27">
                  <c:v>47.862958333333339</c:v>
                </c:pt>
                <c:pt idx="28">
                  <c:v>55.208803763440862</c:v>
                </c:pt>
                <c:pt idx="29">
                  <c:v>73.58690277777778</c:v>
                </c:pt>
                <c:pt idx="30">
                  <c:v>81.44088709677419</c:v>
                </c:pt>
                <c:pt idx="31">
                  <c:v>84.363548387096785</c:v>
                </c:pt>
                <c:pt idx="32">
                  <c:v>123.9021111111111</c:v>
                </c:pt>
                <c:pt idx="33">
                  <c:v>106.9322745625841</c:v>
                </c:pt>
                <c:pt idx="34">
                  <c:v>136.38005555555549</c:v>
                </c:pt>
                <c:pt idx="35">
                  <c:v>191.06861559139779</c:v>
                </c:pt>
                <c:pt idx="36">
                  <c:v>111.62209677419349</c:v>
                </c:pt>
                <c:pt idx="37">
                  <c:v>100.2914136904762</c:v>
                </c:pt>
                <c:pt idx="38">
                  <c:v>227.92036437246961</c:v>
                </c:pt>
                <c:pt idx="39">
                  <c:v>152.83280555555561</c:v>
                </c:pt>
                <c:pt idx="40">
                  <c:v>162.65841397849459</c:v>
                </c:pt>
                <c:pt idx="41">
                  <c:v>213.2331388888889</c:v>
                </c:pt>
                <c:pt idx="42">
                  <c:v>233.47774193548389</c:v>
                </c:pt>
                <c:pt idx="43">
                  <c:v>449.7688306451613</c:v>
                </c:pt>
                <c:pt idx="44">
                  <c:v>328.80015277777778</c:v>
                </c:pt>
                <c:pt idx="45">
                  <c:v>136.89783310901751</c:v>
                </c:pt>
                <c:pt idx="46">
                  <c:v>145.05780555555549</c:v>
                </c:pt>
                <c:pt idx="47">
                  <c:v>248.88206989247311</c:v>
                </c:pt>
                <c:pt idx="48">
                  <c:v>99.762889784946225</c:v>
                </c:pt>
                <c:pt idx="49">
                  <c:v>100.6489285714286</c:v>
                </c:pt>
                <c:pt idx="50">
                  <c:v>89.795614035087723</c:v>
                </c:pt>
                <c:pt idx="51">
                  <c:v>83.651124999999993</c:v>
                </c:pt>
                <c:pt idx="52">
                  <c:v>66.151747311827961</c:v>
                </c:pt>
                <c:pt idx="53">
                  <c:v>91.423152777777773</c:v>
                </c:pt>
                <c:pt idx="54">
                  <c:v>65.24004032258064</c:v>
                </c:pt>
                <c:pt idx="55">
                  <c:v>86.293736559139788</c:v>
                </c:pt>
                <c:pt idx="56">
                  <c:v>85.484125000000006</c:v>
                </c:pt>
                <c:pt idx="57">
                  <c:v>56.925814266487208</c:v>
                </c:pt>
                <c:pt idx="58">
                  <c:v>81.486041666666665</c:v>
                </c:pt>
                <c:pt idx="59">
                  <c:v>70.879731182795695</c:v>
                </c:pt>
                <c:pt idx="60">
                  <c:v>78.214811827956993</c:v>
                </c:pt>
                <c:pt idx="61">
                  <c:v>54.722241379310347</c:v>
                </c:pt>
                <c:pt idx="62">
                  <c:v>61.040863697705802</c:v>
                </c:pt>
                <c:pt idx="63">
                  <c:v>60.476708333333328</c:v>
                </c:pt>
                <c:pt idx="64">
                  <c:v>58.122983870967737</c:v>
                </c:pt>
                <c:pt idx="65">
                  <c:v>66.79098611111111</c:v>
                </c:pt>
                <c:pt idx="66">
                  <c:v>62.841706989247307</c:v>
                </c:pt>
                <c:pt idx="67">
                  <c:v>72.614260752688182</c:v>
                </c:pt>
                <c:pt idx="68">
                  <c:v>70.411833333333334</c:v>
                </c:pt>
                <c:pt idx="69">
                  <c:v>76.326123822341856</c:v>
                </c:pt>
                <c:pt idx="70">
                  <c:v>95.282694444444431</c:v>
                </c:pt>
                <c:pt idx="71">
                  <c:v>92.728158602150543</c:v>
                </c:pt>
                <c:pt idx="72">
                  <c:v>100.1237365591398</c:v>
                </c:pt>
                <c:pt idx="73">
                  <c:v>117.9355505952381</c:v>
                </c:pt>
                <c:pt idx="74">
                  <c:v>82.846865319865316</c:v>
                </c:pt>
                <c:pt idx="75">
                  <c:v>75.806652777777785</c:v>
                </c:pt>
                <c:pt idx="76">
                  <c:v>63.082553763440863</c:v>
                </c:pt>
                <c:pt idx="77">
                  <c:v>56.448249999999987</c:v>
                </c:pt>
                <c:pt idx="78">
                  <c:v>79.959690860215062</c:v>
                </c:pt>
                <c:pt idx="79">
                  <c:v>75.315497311827954</c:v>
                </c:pt>
                <c:pt idx="80">
                  <c:v>83.288930555555552</c:v>
                </c:pt>
                <c:pt idx="81">
                  <c:v>82.368075370121133</c:v>
                </c:pt>
                <c:pt idx="82">
                  <c:v>93.695572916666663</c:v>
                </c:pt>
                <c:pt idx="83">
                  <c:v>82.081528897849466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5C7-DE4A-BA4C-62A9EC0B7D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DK1 De-seasonalised Price Series (Primary)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'Electricity Price Data'!$E$1</c:f>
              <c:strCache>
                <c:ptCount val="1"/>
                <c:pt idx="0">
                  <c:v>DK1 De-seasonalised Price (EUR/MWh)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'Electricity Price Data'!$E$2:$E$85</c:f>
              <c:numCache>
                <c:formatCode>General</c:formatCode>
                <c:ptCount val="84"/>
                <c:pt idx="0">
                  <c:v>-25.234738863287252</c:v>
                </c:pt>
                <c:pt idx="1">
                  <c:v>-30.100228272343401</c:v>
                </c:pt>
                <c:pt idx="2">
                  <c:v>-48.899358826358807</c:v>
                </c:pt>
                <c:pt idx="3">
                  <c:v>-31.760585317460279</c:v>
                </c:pt>
                <c:pt idx="4">
                  <c:v>-30.622649769585269</c:v>
                </c:pt>
                <c:pt idx="5">
                  <c:v>-47.454873015873012</c:v>
                </c:pt>
                <c:pt idx="6">
                  <c:v>-50.913813364055301</c:v>
                </c:pt>
                <c:pt idx="7">
                  <c:v>-82.754126344086018</c:v>
                </c:pt>
                <c:pt idx="8">
                  <c:v>-74.756714285714281</c:v>
                </c:pt>
                <c:pt idx="9">
                  <c:v>-37.87848634877907</c:v>
                </c:pt>
                <c:pt idx="10">
                  <c:v>-47.388359623015852</c:v>
                </c:pt>
                <c:pt idx="11">
                  <c:v>-73.290233294930886</c:v>
                </c:pt>
                <c:pt idx="12">
                  <c:v>-50.535841013824893</c:v>
                </c:pt>
                <c:pt idx="13">
                  <c:v>-55.329114766596277</c:v>
                </c:pt>
                <c:pt idx="14">
                  <c:v>-64.205890540258949</c:v>
                </c:pt>
                <c:pt idx="15">
                  <c:v>-56.295224206349168</c:v>
                </c:pt>
                <c:pt idx="16">
                  <c:v>-51.998173963133659</c:v>
                </c:pt>
                <c:pt idx="17">
                  <c:v>-54.057817460317452</c:v>
                </c:pt>
                <c:pt idx="18">
                  <c:v>-65.111555299539162</c:v>
                </c:pt>
                <c:pt idx="19">
                  <c:v>-86.080537634408586</c:v>
                </c:pt>
                <c:pt idx="20">
                  <c:v>-71.60053373015873</c:v>
                </c:pt>
                <c:pt idx="21">
                  <c:v>-50.411137761968838</c:v>
                </c:pt>
                <c:pt idx="22">
                  <c:v>-65.378845734126969</c:v>
                </c:pt>
                <c:pt idx="23">
                  <c:v>-72.821080069124434</c:v>
                </c:pt>
                <c:pt idx="24">
                  <c:v>-25.32527649769585</c:v>
                </c:pt>
                <c:pt idx="25">
                  <c:v>-25.652683629486251</c:v>
                </c:pt>
                <c:pt idx="26">
                  <c:v>-37.378171242013337</c:v>
                </c:pt>
                <c:pt idx="27">
                  <c:v>-22.861890873015842</c:v>
                </c:pt>
                <c:pt idx="28">
                  <c:v>-13.74459869431645</c:v>
                </c:pt>
                <c:pt idx="29">
                  <c:v>-6.6142757936507914</c:v>
                </c:pt>
                <c:pt idx="30">
                  <c:v>-9.731877880184328</c:v>
                </c:pt>
                <c:pt idx="31">
                  <c:v>-37.831061827956987</c:v>
                </c:pt>
                <c:pt idx="32">
                  <c:v>15.228188492063509</c:v>
                </c:pt>
                <c:pt idx="33">
                  <c:v>40.813922803307079</c:v>
                </c:pt>
                <c:pt idx="34">
                  <c:v>52.664154265873037</c:v>
                </c:pt>
                <c:pt idx="35">
                  <c:v>82.017118855606753</c:v>
                </c:pt>
                <c:pt idx="36">
                  <c:v>42.464266513056842</c:v>
                </c:pt>
                <c:pt idx="37">
                  <c:v>40.206557441942309</c:v>
                </c:pt>
                <c:pt idx="38">
                  <c:v>153.31722686864791</c:v>
                </c:pt>
                <c:pt idx="39">
                  <c:v>92.808470238095268</c:v>
                </c:pt>
                <c:pt idx="40">
                  <c:v>103.8058717357911</c:v>
                </c:pt>
                <c:pt idx="41">
                  <c:v>134.09615476190481</c:v>
                </c:pt>
                <c:pt idx="42">
                  <c:v>185.3070468509984</c:v>
                </c:pt>
                <c:pt idx="43">
                  <c:v>336.13052419354841</c:v>
                </c:pt>
                <c:pt idx="44">
                  <c:v>232.6840773809524</c:v>
                </c:pt>
                <c:pt idx="45">
                  <c:v>60.905833974235733</c:v>
                </c:pt>
                <c:pt idx="46">
                  <c:v>50.570779265873028</c:v>
                </c:pt>
                <c:pt idx="47">
                  <c:v>142.3334091781874</c:v>
                </c:pt>
                <c:pt idx="48">
                  <c:v>37.011457373271902</c:v>
                </c:pt>
                <c:pt idx="49">
                  <c:v>45.22194434670422</c:v>
                </c:pt>
                <c:pt idx="50">
                  <c:v>16.60629569455887</c:v>
                </c:pt>
                <c:pt idx="51">
                  <c:v>25.44197023809528</c:v>
                </c:pt>
                <c:pt idx="52">
                  <c:v>5.9136136712749447</c:v>
                </c:pt>
                <c:pt idx="53">
                  <c:v>12.161335317460329</c:v>
                </c:pt>
                <c:pt idx="54">
                  <c:v>-24.919821428571421</c:v>
                </c:pt>
                <c:pt idx="55">
                  <c:v>-34.65271505376343</c:v>
                </c:pt>
                <c:pt idx="56">
                  <c:v>-25.39613095238094</c:v>
                </c:pt>
                <c:pt idx="57">
                  <c:v>-16.12012834070369</c:v>
                </c:pt>
                <c:pt idx="58">
                  <c:v>-0.97885962301585039</c:v>
                </c:pt>
                <c:pt idx="59">
                  <c:v>-37.849695660522272</c:v>
                </c:pt>
                <c:pt idx="60">
                  <c:v>-0.81545122887864352</c:v>
                </c:pt>
                <c:pt idx="61">
                  <c:v>-14.280249824067541</c:v>
                </c:pt>
                <c:pt idx="62">
                  <c:v>-21.28132913675017</c:v>
                </c:pt>
                <c:pt idx="63">
                  <c:v>-11.664210317460279</c:v>
                </c:pt>
                <c:pt idx="64">
                  <c:v>-9.5353110599078548</c:v>
                </c:pt>
                <c:pt idx="65">
                  <c:v>-16.581053571428559</c:v>
                </c:pt>
                <c:pt idx="66">
                  <c:v>-27.70077572964669</c:v>
                </c:pt>
                <c:pt idx="67">
                  <c:v>-47.666021505376342</c:v>
                </c:pt>
                <c:pt idx="68">
                  <c:v>-38.421992063492063</c:v>
                </c:pt>
                <c:pt idx="69">
                  <c:v>0.49408431070949632</c:v>
                </c:pt>
                <c:pt idx="70">
                  <c:v>6.7711681547619236</c:v>
                </c:pt>
                <c:pt idx="71">
                  <c:v>-15.49477630568356</c:v>
                </c:pt>
                <c:pt idx="72">
                  <c:v>22.4355837173579</c:v>
                </c:pt>
                <c:pt idx="73">
                  <c:v>39.933774703847078</c:v>
                </c:pt>
                <c:pt idx="74">
                  <c:v>1.8412271821745629</c:v>
                </c:pt>
                <c:pt idx="75">
                  <c:v>4.3314702380952781</c:v>
                </c:pt>
                <c:pt idx="76">
                  <c:v>-3.818751920122907</c:v>
                </c:pt>
                <c:pt idx="77">
                  <c:v>-21.549470238095228</c:v>
                </c:pt>
                <c:pt idx="78">
                  <c:v>-6.9292031490015384</c:v>
                </c:pt>
                <c:pt idx="79">
                  <c:v>-47.14606182795697</c:v>
                </c:pt>
                <c:pt idx="80">
                  <c:v>-37.73689484126983</c:v>
                </c:pt>
                <c:pt idx="81">
                  <c:v>2.1959113631994001</c:v>
                </c:pt>
                <c:pt idx="82">
                  <c:v>3.7399632936508169</c:v>
                </c:pt>
                <c:pt idx="83">
                  <c:v>-24.89474270353303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E58-D74F-9C3B-AE12701A38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  <c:txPr>
        <a:bodyPr/>
        <a:lstStyle/>
        <a:p>
          <a:pPr rtl="0">
            <a:defRPr/>
          </a:pPr>
          <a:endParaRPr lang="en-DK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Monthly Spot Prices - DK1 (Primary) and DK2 (Robustness)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'Electricity Price Data'!$B$1</c:f>
              <c:strCache>
                <c:ptCount val="1"/>
                <c:pt idx="0">
                  <c:v>DK1 Spot Price (EUR/MWh)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'Electricity Price Data'!$B$2:$B$85</c:f>
              <c:numCache>
                <c:formatCode>General</c:formatCode>
                <c:ptCount val="84"/>
                <c:pt idx="0">
                  <c:v>50.295645161290317</c:v>
                </c:pt>
                <c:pt idx="1">
                  <c:v>42.813958333333332</c:v>
                </c:pt>
                <c:pt idx="2">
                  <c:v>33.608259109311753</c:v>
                </c:pt>
                <c:pt idx="3">
                  <c:v>39.068416666666657</c:v>
                </c:pt>
                <c:pt idx="4">
                  <c:v>37.429516129032258</c:v>
                </c:pt>
                <c:pt idx="5">
                  <c:v>32.879222222222232</c:v>
                </c:pt>
                <c:pt idx="6">
                  <c:v>38.817311827956978</c:v>
                </c:pt>
                <c:pt idx="7">
                  <c:v>37.865698924731177</c:v>
                </c:pt>
                <c:pt idx="8">
                  <c:v>35.378861111111107</c:v>
                </c:pt>
                <c:pt idx="9">
                  <c:v>38.347402422611033</c:v>
                </c:pt>
                <c:pt idx="10">
                  <c:v>41.745069444444447</c:v>
                </c:pt>
                <c:pt idx="11">
                  <c:v>34.04197580645161</c:v>
                </c:pt>
                <c:pt idx="12">
                  <c:v>24.99454301075269</c:v>
                </c:pt>
                <c:pt idx="13">
                  <c:v>17.585071839080459</c:v>
                </c:pt>
                <c:pt idx="14">
                  <c:v>18.301727395411611</c:v>
                </c:pt>
                <c:pt idx="15">
                  <c:v>14.533777777777781</c:v>
                </c:pt>
                <c:pt idx="16">
                  <c:v>16.053991935483872</c:v>
                </c:pt>
                <c:pt idx="17">
                  <c:v>26.276277777777771</c:v>
                </c:pt>
                <c:pt idx="18">
                  <c:v>24.61956989247312</c:v>
                </c:pt>
                <c:pt idx="19">
                  <c:v>34.539287634408602</c:v>
                </c:pt>
                <c:pt idx="20">
                  <c:v>38.535041666666658</c:v>
                </c:pt>
                <c:pt idx="21">
                  <c:v>25.814751009421261</c:v>
                </c:pt>
                <c:pt idx="22">
                  <c:v>23.754583333333329</c:v>
                </c:pt>
                <c:pt idx="23">
                  <c:v>34.511129032258061</c:v>
                </c:pt>
                <c:pt idx="24">
                  <c:v>50.205107526881719</c:v>
                </c:pt>
                <c:pt idx="25">
                  <c:v>47.261502976190478</c:v>
                </c:pt>
                <c:pt idx="26">
                  <c:v>45.129446693657208</c:v>
                </c:pt>
                <c:pt idx="27">
                  <c:v>47.967111111111109</c:v>
                </c:pt>
                <c:pt idx="28">
                  <c:v>54.30756720430108</c:v>
                </c:pt>
                <c:pt idx="29">
                  <c:v>73.71981944444444</c:v>
                </c:pt>
                <c:pt idx="30">
                  <c:v>79.999247311827958</c:v>
                </c:pt>
                <c:pt idx="31">
                  <c:v>82.788763440860208</c:v>
                </c:pt>
                <c:pt idx="32">
                  <c:v>125.3637638888889</c:v>
                </c:pt>
                <c:pt idx="33">
                  <c:v>117.0398115746972</c:v>
                </c:pt>
                <c:pt idx="34">
                  <c:v>141.79758333333331</c:v>
                </c:pt>
                <c:pt idx="35">
                  <c:v>189.34932795698921</c:v>
                </c:pt>
                <c:pt idx="36">
                  <c:v>117.9946505376344</c:v>
                </c:pt>
                <c:pt idx="37">
                  <c:v>113.120744047619</c:v>
                </c:pt>
                <c:pt idx="38">
                  <c:v>235.8248448043185</c:v>
                </c:pt>
                <c:pt idx="39">
                  <c:v>163.63747222222219</c:v>
                </c:pt>
                <c:pt idx="40">
                  <c:v>171.85803763440859</c:v>
                </c:pt>
                <c:pt idx="41">
                  <c:v>214.43025</c:v>
                </c:pt>
                <c:pt idx="42">
                  <c:v>275.03817204301072</c:v>
                </c:pt>
                <c:pt idx="43">
                  <c:v>456.75034946236559</c:v>
                </c:pt>
                <c:pt idx="44">
                  <c:v>342.81965277777778</c:v>
                </c:pt>
                <c:pt idx="45">
                  <c:v>137.13172274562581</c:v>
                </c:pt>
                <c:pt idx="46">
                  <c:v>139.7042083333333</c:v>
                </c:pt>
                <c:pt idx="47">
                  <c:v>249.66561827956991</c:v>
                </c:pt>
                <c:pt idx="48">
                  <c:v>112.5418413978495</c:v>
                </c:pt>
                <c:pt idx="49">
                  <c:v>118.136130952381</c:v>
                </c:pt>
                <c:pt idx="50">
                  <c:v>99.113913630229419</c:v>
                </c:pt>
                <c:pt idx="51">
                  <c:v>96.270972222222227</c:v>
                </c:pt>
                <c:pt idx="52">
                  <c:v>73.965779569892476</c:v>
                </c:pt>
                <c:pt idx="53">
                  <c:v>92.495430555555558</c:v>
                </c:pt>
                <c:pt idx="54">
                  <c:v>64.811303763440861</c:v>
                </c:pt>
                <c:pt idx="55">
                  <c:v>85.967110215053765</c:v>
                </c:pt>
                <c:pt idx="56">
                  <c:v>84.739444444444445</c:v>
                </c:pt>
                <c:pt idx="57">
                  <c:v>60.105760430686409</c:v>
                </c:pt>
                <c:pt idx="58">
                  <c:v>88.154569444444448</c:v>
                </c:pt>
                <c:pt idx="59">
                  <c:v>69.482513440860217</c:v>
                </c:pt>
                <c:pt idx="60">
                  <c:v>74.714932795698928</c:v>
                </c:pt>
                <c:pt idx="61">
                  <c:v>58.633936781609187</c:v>
                </c:pt>
                <c:pt idx="62">
                  <c:v>61.226288798920379</c:v>
                </c:pt>
                <c:pt idx="63">
                  <c:v>59.164791666666673</c:v>
                </c:pt>
                <c:pt idx="64">
                  <c:v>58.516854838709683</c:v>
                </c:pt>
                <c:pt idx="65">
                  <c:v>63.753041666666668</c:v>
                </c:pt>
                <c:pt idx="66">
                  <c:v>62.030349462365592</c:v>
                </c:pt>
                <c:pt idx="67">
                  <c:v>72.95380376344086</c:v>
                </c:pt>
                <c:pt idx="68">
                  <c:v>71.713583333333332</c:v>
                </c:pt>
                <c:pt idx="69">
                  <c:v>76.7199730820996</c:v>
                </c:pt>
                <c:pt idx="70">
                  <c:v>95.904597222222222</c:v>
                </c:pt>
                <c:pt idx="71">
                  <c:v>91.83743279569893</c:v>
                </c:pt>
                <c:pt idx="72">
                  <c:v>97.965967741935472</c:v>
                </c:pt>
                <c:pt idx="73">
                  <c:v>112.8479613095238</c:v>
                </c:pt>
                <c:pt idx="74">
                  <c:v>84.348845117845116</c:v>
                </c:pt>
                <c:pt idx="75">
                  <c:v>75.160472222222225</c:v>
                </c:pt>
                <c:pt idx="76">
                  <c:v>64.233413978494625</c:v>
                </c:pt>
                <c:pt idx="77">
                  <c:v>58.784624999999998</c:v>
                </c:pt>
                <c:pt idx="78">
                  <c:v>82.801922043010748</c:v>
                </c:pt>
                <c:pt idx="79">
                  <c:v>73.473763440860225</c:v>
                </c:pt>
                <c:pt idx="80">
                  <c:v>72.398680555555558</c:v>
                </c:pt>
                <c:pt idx="81">
                  <c:v>78.421800134589503</c:v>
                </c:pt>
                <c:pt idx="82">
                  <c:v>92.873392361111115</c:v>
                </c:pt>
                <c:pt idx="83">
                  <c:v>82.437466397849462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D23-524E-A24D-EA027C4E8440}"/>
            </c:ext>
          </c:extLst>
        </c:ser>
        <c:ser>
          <c:idx val="1"/>
          <c:order val="1"/>
          <c:tx>
            <c:strRef>
              <c:f>'Electricity Price Data'!$C$1</c:f>
              <c:strCache>
                <c:ptCount val="1"/>
                <c:pt idx="0">
                  <c:v>DK2 Spot Price (EUR/MWh)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'Electricity Price Data'!$C$2:$C$85</c:f>
              <c:numCache>
                <c:formatCode>General</c:formatCode>
                <c:ptCount val="84"/>
                <c:pt idx="0">
                  <c:v>51.655026881720417</c:v>
                </c:pt>
                <c:pt idx="1">
                  <c:v>43.932946428571427</c:v>
                </c:pt>
                <c:pt idx="2">
                  <c:v>35.667354925775967</c:v>
                </c:pt>
                <c:pt idx="3">
                  <c:v>39.892097222222233</c:v>
                </c:pt>
                <c:pt idx="4">
                  <c:v>38.151397849462363</c:v>
                </c:pt>
                <c:pt idx="5">
                  <c:v>33.622236111111107</c:v>
                </c:pt>
                <c:pt idx="6">
                  <c:v>39.000174731182803</c:v>
                </c:pt>
                <c:pt idx="7">
                  <c:v>39.493172043010752</c:v>
                </c:pt>
                <c:pt idx="8">
                  <c:v>37.321347222222222</c:v>
                </c:pt>
                <c:pt idx="9">
                  <c:v>41.599353970390311</c:v>
                </c:pt>
                <c:pt idx="10">
                  <c:v>42.696444444444452</c:v>
                </c:pt>
                <c:pt idx="11">
                  <c:v>35.34711021505376</c:v>
                </c:pt>
                <c:pt idx="12">
                  <c:v>27.385241935483869</c:v>
                </c:pt>
                <c:pt idx="13">
                  <c:v>18.816997126436782</c:v>
                </c:pt>
                <c:pt idx="14">
                  <c:v>20.05249662618084</c:v>
                </c:pt>
                <c:pt idx="15">
                  <c:v>17.354861111111109</c:v>
                </c:pt>
                <c:pt idx="16">
                  <c:v>19.04407258064516</c:v>
                </c:pt>
                <c:pt idx="17">
                  <c:v>29.82329166666667</c:v>
                </c:pt>
                <c:pt idx="18">
                  <c:v>25.886680107526882</c:v>
                </c:pt>
                <c:pt idx="19">
                  <c:v>40.923817204301074</c:v>
                </c:pt>
                <c:pt idx="20">
                  <c:v>39.51423611111111</c:v>
                </c:pt>
                <c:pt idx="21">
                  <c:v>26.933512786002691</c:v>
                </c:pt>
                <c:pt idx="22">
                  <c:v>35.711347222222223</c:v>
                </c:pt>
                <c:pt idx="23">
                  <c:v>39.257150537634409</c:v>
                </c:pt>
                <c:pt idx="24">
                  <c:v>50.858951612903233</c:v>
                </c:pt>
                <c:pt idx="25">
                  <c:v>54.54806547619048</c:v>
                </c:pt>
                <c:pt idx="26">
                  <c:v>46.732213225371119</c:v>
                </c:pt>
                <c:pt idx="27">
                  <c:v>47.862958333333339</c:v>
                </c:pt>
                <c:pt idx="28">
                  <c:v>55.208803763440862</c:v>
                </c:pt>
                <c:pt idx="29">
                  <c:v>73.58690277777778</c:v>
                </c:pt>
                <c:pt idx="30">
                  <c:v>81.44088709677419</c:v>
                </c:pt>
                <c:pt idx="31">
                  <c:v>84.363548387096785</c:v>
                </c:pt>
                <c:pt idx="32">
                  <c:v>123.9021111111111</c:v>
                </c:pt>
                <c:pt idx="33">
                  <c:v>106.9322745625841</c:v>
                </c:pt>
                <c:pt idx="34">
                  <c:v>136.38005555555549</c:v>
                </c:pt>
                <c:pt idx="35">
                  <c:v>191.06861559139779</c:v>
                </c:pt>
                <c:pt idx="36">
                  <c:v>111.62209677419349</c:v>
                </c:pt>
                <c:pt idx="37">
                  <c:v>100.2914136904762</c:v>
                </c:pt>
                <c:pt idx="38">
                  <c:v>227.92036437246961</c:v>
                </c:pt>
                <c:pt idx="39">
                  <c:v>152.83280555555561</c:v>
                </c:pt>
                <c:pt idx="40">
                  <c:v>162.65841397849459</c:v>
                </c:pt>
                <c:pt idx="41">
                  <c:v>213.2331388888889</c:v>
                </c:pt>
                <c:pt idx="42">
                  <c:v>233.47774193548389</c:v>
                </c:pt>
                <c:pt idx="43">
                  <c:v>449.7688306451613</c:v>
                </c:pt>
                <c:pt idx="44">
                  <c:v>328.80015277777778</c:v>
                </c:pt>
                <c:pt idx="45">
                  <c:v>136.89783310901751</c:v>
                </c:pt>
                <c:pt idx="46">
                  <c:v>145.05780555555549</c:v>
                </c:pt>
                <c:pt idx="47">
                  <c:v>248.88206989247311</c:v>
                </c:pt>
                <c:pt idx="48">
                  <c:v>99.762889784946225</c:v>
                </c:pt>
                <c:pt idx="49">
                  <c:v>100.6489285714286</c:v>
                </c:pt>
                <c:pt idx="50">
                  <c:v>89.795614035087723</c:v>
                </c:pt>
                <c:pt idx="51">
                  <c:v>83.651124999999993</c:v>
                </c:pt>
                <c:pt idx="52">
                  <c:v>66.151747311827961</c:v>
                </c:pt>
                <c:pt idx="53">
                  <c:v>91.423152777777773</c:v>
                </c:pt>
                <c:pt idx="54">
                  <c:v>65.24004032258064</c:v>
                </c:pt>
                <c:pt idx="55">
                  <c:v>86.293736559139788</c:v>
                </c:pt>
                <c:pt idx="56">
                  <c:v>85.484125000000006</c:v>
                </c:pt>
                <c:pt idx="57">
                  <c:v>56.925814266487208</c:v>
                </c:pt>
                <c:pt idx="58">
                  <c:v>81.486041666666665</c:v>
                </c:pt>
                <c:pt idx="59">
                  <c:v>70.879731182795695</c:v>
                </c:pt>
                <c:pt idx="60">
                  <c:v>78.214811827956993</c:v>
                </c:pt>
                <c:pt idx="61">
                  <c:v>54.722241379310347</c:v>
                </c:pt>
                <c:pt idx="62">
                  <c:v>61.040863697705802</c:v>
                </c:pt>
                <c:pt idx="63">
                  <c:v>60.476708333333328</c:v>
                </c:pt>
                <c:pt idx="64">
                  <c:v>58.122983870967737</c:v>
                </c:pt>
                <c:pt idx="65">
                  <c:v>66.79098611111111</c:v>
                </c:pt>
                <c:pt idx="66">
                  <c:v>62.841706989247307</c:v>
                </c:pt>
                <c:pt idx="67">
                  <c:v>72.614260752688182</c:v>
                </c:pt>
                <c:pt idx="68">
                  <c:v>70.411833333333334</c:v>
                </c:pt>
                <c:pt idx="69">
                  <c:v>76.326123822341856</c:v>
                </c:pt>
                <c:pt idx="70">
                  <c:v>95.282694444444431</c:v>
                </c:pt>
                <c:pt idx="71">
                  <c:v>92.728158602150543</c:v>
                </c:pt>
                <c:pt idx="72">
                  <c:v>100.1237365591398</c:v>
                </c:pt>
                <c:pt idx="73">
                  <c:v>117.9355505952381</c:v>
                </c:pt>
                <c:pt idx="74">
                  <c:v>82.846865319865316</c:v>
                </c:pt>
                <c:pt idx="75">
                  <c:v>75.806652777777785</c:v>
                </c:pt>
                <c:pt idx="76">
                  <c:v>63.082553763440863</c:v>
                </c:pt>
                <c:pt idx="77">
                  <c:v>56.448249999999987</c:v>
                </c:pt>
                <c:pt idx="78">
                  <c:v>79.959690860215062</c:v>
                </c:pt>
                <c:pt idx="79">
                  <c:v>75.315497311827954</c:v>
                </c:pt>
                <c:pt idx="80">
                  <c:v>83.288930555555552</c:v>
                </c:pt>
                <c:pt idx="81">
                  <c:v>82.368075370121133</c:v>
                </c:pt>
                <c:pt idx="82">
                  <c:v>93.695572916666663</c:v>
                </c:pt>
                <c:pt idx="83">
                  <c:v>82.081528897849466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D23-524E-A24D-EA027C4E84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DK1 De-seasonalised Price Series (Primary)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'Electricity Price Data'!$E$1</c:f>
              <c:strCache>
                <c:ptCount val="1"/>
                <c:pt idx="0">
                  <c:v>DK1 De-seasonalised Price (EUR/MWh)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'Electricity Price Data'!$E$2:$E$85</c:f>
              <c:numCache>
                <c:formatCode>General</c:formatCode>
                <c:ptCount val="84"/>
                <c:pt idx="0">
                  <c:v>-25.234738863287252</c:v>
                </c:pt>
                <c:pt idx="1">
                  <c:v>-30.100228272343401</c:v>
                </c:pt>
                <c:pt idx="2">
                  <c:v>-48.899358826358807</c:v>
                </c:pt>
                <c:pt idx="3">
                  <c:v>-31.760585317460279</c:v>
                </c:pt>
                <c:pt idx="4">
                  <c:v>-30.622649769585269</c:v>
                </c:pt>
                <c:pt idx="5">
                  <c:v>-47.454873015873012</c:v>
                </c:pt>
                <c:pt idx="6">
                  <c:v>-50.913813364055301</c:v>
                </c:pt>
                <c:pt idx="7">
                  <c:v>-82.754126344086018</c:v>
                </c:pt>
                <c:pt idx="8">
                  <c:v>-74.756714285714281</c:v>
                </c:pt>
                <c:pt idx="9">
                  <c:v>-37.87848634877907</c:v>
                </c:pt>
                <c:pt idx="10">
                  <c:v>-47.388359623015852</c:v>
                </c:pt>
                <c:pt idx="11">
                  <c:v>-73.290233294930886</c:v>
                </c:pt>
                <c:pt idx="12">
                  <c:v>-50.535841013824893</c:v>
                </c:pt>
                <c:pt idx="13">
                  <c:v>-55.329114766596277</c:v>
                </c:pt>
                <c:pt idx="14">
                  <c:v>-64.205890540258949</c:v>
                </c:pt>
                <c:pt idx="15">
                  <c:v>-56.295224206349168</c:v>
                </c:pt>
                <c:pt idx="16">
                  <c:v>-51.998173963133659</c:v>
                </c:pt>
                <c:pt idx="17">
                  <c:v>-54.057817460317452</c:v>
                </c:pt>
                <c:pt idx="18">
                  <c:v>-65.111555299539162</c:v>
                </c:pt>
                <c:pt idx="19">
                  <c:v>-86.080537634408586</c:v>
                </c:pt>
                <c:pt idx="20">
                  <c:v>-71.60053373015873</c:v>
                </c:pt>
                <c:pt idx="21">
                  <c:v>-50.411137761968838</c:v>
                </c:pt>
                <c:pt idx="22">
                  <c:v>-65.378845734126969</c:v>
                </c:pt>
                <c:pt idx="23">
                  <c:v>-72.821080069124434</c:v>
                </c:pt>
                <c:pt idx="24">
                  <c:v>-25.32527649769585</c:v>
                </c:pt>
                <c:pt idx="25">
                  <c:v>-25.652683629486251</c:v>
                </c:pt>
                <c:pt idx="26">
                  <c:v>-37.378171242013337</c:v>
                </c:pt>
                <c:pt idx="27">
                  <c:v>-22.861890873015842</c:v>
                </c:pt>
                <c:pt idx="28">
                  <c:v>-13.74459869431645</c:v>
                </c:pt>
                <c:pt idx="29">
                  <c:v>-6.6142757936507914</c:v>
                </c:pt>
                <c:pt idx="30">
                  <c:v>-9.731877880184328</c:v>
                </c:pt>
                <c:pt idx="31">
                  <c:v>-37.831061827956987</c:v>
                </c:pt>
                <c:pt idx="32">
                  <c:v>15.228188492063509</c:v>
                </c:pt>
                <c:pt idx="33">
                  <c:v>40.813922803307079</c:v>
                </c:pt>
                <c:pt idx="34">
                  <c:v>52.664154265873037</c:v>
                </c:pt>
                <c:pt idx="35">
                  <c:v>82.017118855606753</c:v>
                </c:pt>
                <c:pt idx="36">
                  <c:v>42.464266513056842</c:v>
                </c:pt>
                <c:pt idx="37">
                  <c:v>40.206557441942309</c:v>
                </c:pt>
                <c:pt idx="38">
                  <c:v>153.31722686864791</c:v>
                </c:pt>
                <c:pt idx="39">
                  <c:v>92.808470238095268</c:v>
                </c:pt>
                <c:pt idx="40">
                  <c:v>103.8058717357911</c:v>
                </c:pt>
                <c:pt idx="41">
                  <c:v>134.09615476190481</c:v>
                </c:pt>
                <c:pt idx="42">
                  <c:v>185.3070468509984</c:v>
                </c:pt>
                <c:pt idx="43">
                  <c:v>336.13052419354841</c:v>
                </c:pt>
                <c:pt idx="44">
                  <c:v>232.6840773809524</c:v>
                </c:pt>
                <c:pt idx="45">
                  <c:v>60.905833974235733</c:v>
                </c:pt>
                <c:pt idx="46">
                  <c:v>50.570779265873028</c:v>
                </c:pt>
                <c:pt idx="47">
                  <c:v>142.3334091781874</c:v>
                </c:pt>
                <c:pt idx="48">
                  <c:v>37.011457373271902</c:v>
                </c:pt>
                <c:pt idx="49">
                  <c:v>45.22194434670422</c:v>
                </c:pt>
                <c:pt idx="50">
                  <c:v>16.60629569455887</c:v>
                </c:pt>
                <c:pt idx="51">
                  <c:v>25.44197023809528</c:v>
                </c:pt>
                <c:pt idx="52">
                  <c:v>5.9136136712749447</c:v>
                </c:pt>
                <c:pt idx="53">
                  <c:v>12.161335317460329</c:v>
                </c:pt>
                <c:pt idx="54">
                  <c:v>-24.919821428571421</c:v>
                </c:pt>
                <c:pt idx="55">
                  <c:v>-34.65271505376343</c:v>
                </c:pt>
                <c:pt idx="56">
                  <c:v>-25.39613095238094</c:v>
                </c:pt>
                <c:pt idx="57">
                  <c:v>-16.12012834070369</c:v>
                </c:pt>
                <c:pt idx="58">
                  <c:v>-0.97885962301585039</c:v>
                </c:pt>
                <c:pt idx="59">
                  <c:v>-37.849695660522272</c:v>
                </c:pt>
                <c:pt idx="60">
                  <c:v>-0.81545122887864352</c:v>
                </c:pt>
                <c:pt idx="61">
                  <c:v>-14.280249824067541</c:v>
                </c:pt>
                <c:pt idx="62">
                  <c:v>-21.28132913675017</c:v>
                </c:pt>
                <c:pt idx="63">
                  <c:v>-11.664210317460279</c:v>
                </c:pt>
                <c:pt idx="64">
                  <c:v>-9.5353110599078548</c:v>
                </c:pt>
                <c:pt idx="65">
                  <c:v>-16.581053571428559</c:v>
                </c:pt>
                <c:pt idx="66">
                  <c:v>-27.70077572964669</c:v>
                </c:pt>
                <c:pt idx="67">
                  <c:v>-47.666021505376342</c:v>
                </c:pt>
                <c:pt idx="68">
                  <c:v>-38.421992063492063</c:v>
                </c:pt>
                <c:pt idx="69">
                  <c:v>0.49408431070949632</c:v>
                </c:pt>
                <c:pt idx="70">
                  <c:v>6.7711681547619236</c:v>
                </c:pt>
                <c:pt idx="71">
                  <c:v>-15.49477630568356</c:v>
                </c:pt>
                <c:pt idx="72">
                  <c:v>22.4355837173579</c:v>
                </c:pt>
                <c:pt idx="73">
                  <c:v>39.933774703847078</c:v>
                </c:pt>
                <c:pt idx="74">
                  <c:v>1.8412271821745629</c:v>
                </c:pt>
                <c:pt idx="75">
                  <c:v>4.3314702380952781</c:v>
                </c:pt>
                <c:pt idx="76">
                  <c:v>-3.818751920122907</c:v>
                </c:pt>
                <c:pt idx="77">
                  <c:v>-21.549470238095228</c:v>
                </c:pt>
                <c:pt idx="78">
                  <c:v>-6.9292031490015384</c:v>
                </c:pt>
                <c:pt idx="79">
                  <c:v>-47.14606182795697</c:v>
                </c:pt>
                <c:pt idx="80">
                  <c:v>-37.73689484126983</c:v>
                </c:pt>
                <c:pt idx="81">
                  <c:v>2.1959113631994001</c:v>
                </c:pt>
                <c:pt idx="82">
                  <c:v>3.7399632936508169</c:v>
                </c:pt>
                <c:pt idx="83">
                  <c:v>-24.89474270353303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28D-994F-923E-BEF7595B01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  <c:txPr>
        <a:bodyPr/>
        <a:lstStyle/>
        <a:p>
          <a:pPr rtl="0">
            <a:defRPr/>
          </a:pPr>
          <a:endParaRPr lang="en-DK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Monthly Spot Prices - DK1 (Primary) and DK2 (Robustness)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'Electricity Price Data'!$B$1</c:f>
              <c:strCache>
                <c:ptCount val="1"/>
                <c:pt idx="0">
                  <c:v>DK1 Spot Price (EUR/MWh)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'Electricity Price Data'!$B$2:$B$85</c:f>
              <c:numCache>
                <c:formatCode>General</c:formatCode>
                <c:ptCount val="84"/>
                <c:pt idx="0">
                  <c:v>50.295645161290317</c:v>
                </c:pt>
                <c:pt idx="1">
                  <c:v>42.813958333333332</c:v>
                </c:pt>
                <c:pt idx="2">
                  <c:v>33.608259109311753</c:v>
                </c:pt>
                <c:pt idx="3">
                  <c:v>39.068416666666657</c:v>
                </c:pt>
                <c:pt idx="4">
                  <c:v>37.429516129032258</c:v>
                </c:pt>
                <c:pt idx="5">
                  <c:v>32.879222222222232</c:v>
                </c:pt>
                <c:pt idx="6">
                  <c:v>38.817311827956978</c:v>
                </c:pt>
                <c:pt idx="7">
                  <c:v>37.865698924731177</c:v>
                </c:pt>
                <c:pt idx="8">
                  <c:v>35.378861111111107</c:v>
                </c:pt>
                <c:pt idx="9">
                  <c:v>38.347402422611033</c:v>
                </c:pt>
                <c:pt idx="10">
                  <c:v>41.745069444444447</c:v>
                </c:pt>
                <c:pt idx="11">
                  <c:v>34.04197580645161</c:v>
                </c:pt>
                <c:pt idx="12">
                  <c:v>24.99454301075269</c:v>
                </c:pt>
                <c:pt idx="13">
                  <c:v>17.585071839080459</c:v>
                </c:pt>
                <c:pt idx="14">
                  <c:v>18.301727395411611</c:v>
                </c:pt>
                <c:pt idx="15">
                  <c:v>14.533777777777781</c:v>
                </c:pt>
                <c:pt idx="16">
                  <c:v>16.053991935483872</c:v>
                </c:pt>
                <c:pt idx="17">
                  <c:v>26.276277777777771</c:v>
                </c:pt>
                <c:pt idx="18">
                  <c:v>24.61956989247312</c:v>
                </c:pt>
                <c:pt idx="19">
                  <c:v>34.539287634408602</c:v>
                </c:pt>
                <c:pt idx="20">
                  <c:v>38.535041666666658</c:v>
                </c:pt>
                <c:pt idx="21">
                  <c:v>25.814751009421261</c:v>
                </c:pt>
                <c:pt idx="22">
                  <c:v>23.754583333333329</c:v>
                </c:pt>
                <c:pt idx="23">
                  <c:v>34.511129032258061</c:v>
                </c:pt>
                <c:pt idx="24">
                  <c:v>50.205107526881719</c:v>
                </c:pt>
                <c:pt idx="25">
                  <c:v>47.261502976190478</c:v>
                </c:pt>
                <c:pt idx="26">
                  <c:v>45.129446693657208</c:v>
                </c:pt>
                <c:pt idx="27">
                  <c:v>47.967111111111109</c:v>
                </c:pt>
                <c:pt idx="28">
                  <c:v>54.30756720430108</c:v>
                </c:pt>
                <c:pt idx="29">
                  <c:v>73.71981944444444</c:v>
                </c:pt>
                <c:pt idx="30">
                  <c:v>79.999247311827958</c:v>
                </c:pt>
                <c:pt idx="31">
                  <c:v>82.788763440860208</c:v>
                </c:pt>
                <c:pt idx="32">
                  <c:v>125.3637638888889</c:v>
                </c:pt>
                <c:pt idx="33">
                  <c:v>117.0398115746972</c:v>
                </c:pt>
                <c:pt idx="34">
                  <c:v>141.79758333333331</c:v>
                </c:pt>
                <c:pt idx="35">
                  <c:v>189.34932795698921</c:v>
                </c:pt>
                <c:pt idx="36">
                  <c:v>117.9946505376344</c:v>
                </c:pt>
                <c:pt idx="37">
                  <c:v>113.120744047619</c:v>
                </c:pt>
                <c:pt idx="38">
                  <c:v>235.8248448043185</c:v>
                </c:pt>
                <c:pt idx="39">
                  <c:v>163.63747222222219</c:v>
                </c:pt>
                <c:pt idx="40">
                  <c:v>171.85803763440859</c:v>
                </c:pt>
                <c:pt idx="41">
                  <c:v>214.43025</c:v>
                </c:pt>
                <c:pt idx="42">
                  <c:v>275.03817204301072</c:v>
                </c:pt>
                <c:pt idx="43">
                  <c:v>456.75034946236559</c:v>
                </c:pt>
                <c:pt idx="44">
                  <c:v>342.81965277777778</c:v>
                </c:pt>
                <c:pt idx="45">
                  <c:v>137.13172274562581</c:v>
                </c:pt>
                <c:pt idx="46">
                  <c:v>139.7042083333333</c:v>
                </c:pt>
                <c:pt idx="47">
                  <c:v>249.66561827956991</c:v>
                </c:pt>
                <c:pt idx="48">
                  <c:v>112.5418413978495</c:v>
                </c:pt>
                <c:pt idx="49">
                  <c:v>118.136130952381</c:v>
                </c:pt>
                <c:pt idx="50">
                  <c:v>99.113913630229419</c:v>
                </c:pt>
                <c:pt idx="51">
                  <c:v>96.270972222222227</c:v>
                </c:pt>
                <c:pt idx="52">
                  <c:v>73.965779569892476</c:v>
                </c:pt>
                <c:pt idx="53">
                  <c:v>92.495430555555558</c:v>
                </c:pt>
                <c:pt idx="54">
                  <c:v>64.811303763440861</c:v>
                </c:pt>
                <c:pt idx="55">
                  <c:v>85.967110215053765</c:v>
                </c:pt>
                <c:pt idx="56">
                  <c:v>84.739444444444445</c:v>
                </c:pt>
                <c:pt idx="57">
                  <c:v>60.105760430686409</c:v>
                </c:pt>
                <c:pt idx="58">
                  <c:v>88.154569444444448</c:v>
                </c:pt>
                <c:pt idx="59">
                  <c:v>69.482513440860217</c:v>
                </c:pt>
                <c:pt idx="60">
                  <c:v>74.714932795698928</c:v>
                </c:pt>
                <c:pt idx="61">
                  <c:v>58.633936781609187</c:v>
                </c:pt>
                <c:pt idx="62">
                  <c:v>61.226288798920379</c:v>
                </c:pt>
                <c:pt idx="63">
                  <c:v>59.164791666666673</c:v>
                </c:pt>
                <c:pt idx="64">
                  <c:v>58.516854838709683</c:v>
                </c:pt>
                <c:pt idx="65">
                  <c:v>63.753041666666668</c:v>
                </c:pt>
                <c:pt idx="66">
                  <c:v>62.030349462365592</c:v>
                </c:pt>
                <c:pt idx="67">
                  <c:v>72.95380376344086</c:v>
                </c:pt>
                <c:pt idx="68">
                  <c:v>71.713583333333332</c:v>
                </c:pt>
                <c:pt idx="69">
                  <c:v>76.7199730820996</c:v>
                </c:pt>
                <c:pt idx="70">
                  <c:v>95.904597222222222</c:v>
                </c:pt>
                <c:pt idx="71">
                  <c:v>91.83743279569893</c:v>
                </c:pt>
                <c:pt idx="72">
                  <c:v>97.965967741935472</c:v>
                </c:pt>
                <c:pt idx="73">
                  <c:v>112.8479613095238</c:v>
                </c:pt>
                <c:pt idx="74">
                  <c:v>84.348845117845116</c:v>
                </c:pt>
                <c:pt idx="75">
                  <c:v>75.160472222222225</c:v>
                </c:pt>
                <c:pt idx="76">
                  <c:v>64.233413978494625</c:v>
                </c:pt>
                <c:pt idx="77">
                  <c:v>58.784624999999998</c:v>
                </c:pt>
                <c:pt idx="78">
                  <c:v>82.801922043010748</c:v>
                </c:pt>
                <c:pt idx="79">
                  <c:v>73.473763440860225</c:v>
                </c:pt>
                <c:pt idx="80">
                  <c:v>72.398680555555558</c:v>
                </c:pt>
                <c:pt idx="81">
                  <c:v>78.421800134589503</c:v>
                </c:pt>
                <c:pt idx="82">
                  <c:v>92.873392361111115</c:v>
                </c:pt>
                <c:pt idx="83">
                  <c:v>82.437466397849462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B64-544C-96C2-CFDD94548583}"/>
            </c:ext>
          </c:extLst>
        </c:ser>
        <c:ser>
          <c:idx val="1"/>
          <c:order val="1"/>
          <c:tx>
            <c:strRef>
              <c:f>'Electricity Price Data'!$C$1</c:f>
              <c:strCache>
                <c:ptCount val="1"/>
                <c:pt idx="0">
                  <c:v>DK2 Spot Price (EUR/MWh)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'Electricity Price Data'!$C$2:$C$85</c:f>
              <c:numCache>
                <c:formatCode>General</c:formatCode>
                <c:ptCount val="84"/>
                <c:pt idx="0">
                  <c:v>51.655026881720417</c:v>
                </c:pt>
                <c:pt idx="1">
                  <c:v>43.932946428571427</c:v>
                </c:pt>
                <c:pt idx="2">
                  <c:v>35.667354925775967</c:v>
                </c:pt>
                <c:pt idx="3">
                  <c:v>39.892097222222233</c:v>
                </c:pt>
                <c:pt idx="4">
                  <c:v>38.151397849462363</c:v>
                </c:pt>
                <c:pt idx="5">
                  <c:v>33.622236111111107</c:v>
                </c:pt>
                <c:pt idx="6">
                  <c:v>39.000174731182803</c:v>
                </c:pt>
                <c:pt idx="7">
                  <c:v>39.493172043010752</c:v>
                </c:pt>
                <c:pt idx="8">
                  <c:v>37.321347222222222</c:v>
                </c:pt>
                <c:pt idx="9">
                  <c:v>41.599353970390311</c:v>
                </c:pt>
                <c:pt idx="10">
                  <c:v>42.696444444444452</c:v>
                </c:pt>
                <c:pt idx="11">
                  <c:v>35.34711021505376</c:v>
                </c:pt>
                <c:pt idx="12">
                  <c:v>27.385241935483869</c:v>
                </c:pt>
                <c:pt idx="13">
                  <c:v>18.816997126436782</c:v>
                </c:pt>
                <c:pt idx="14">
                  <c:v>20.05249662618084</c:v>
                </c:pt>
                <c:pt idx="15">
                  <c:v>17.354861111111109</c:v>
                </c:pt>
                <c:pt idx="16">
                  <c:v>19.04407258064516</c:v>
                </c:pt>
                <c:pt idx="17">
                  <c:v>29.82329166666667</c:v>
                </c:pt>
                <c:pt idx="18">
                  <c:v>25.886680107526882</c:v>
                </c:pt>
                <c:pt idx="19">
                  <c:v>40.923817204301074</c:v>
                </c:pt>
                <c:pt idx="20">
                  <c:v>39.51423611111111</c:v>
                </c:pt>
                <c:pt idx="21">
                  <c:v>26.933512786002691</c:v>
                </c:pt>
                <c:pt idx="22">
                  <c:v>35.711347222222223</c:v>
                </c:pt>
                <c:pt idx="23">
                  <c:v>39.257150537634409</c:v>
                </c:pt>
                <c:pt idx="24">
                  <c:v>50.858951612903233</c:v>
                </c:pt>
                <c:pt idx="25">
                  <c:v>54.54806547619048</c:v>
                </c:pt>
                <c:pt idx="26">
                  <c:v>46.732213225371119</c:v>
                </c:pt>
                <c:pt idx="27">
                  <c:v>47.862958333333339</c:v>
                </c:pt>
                <c:pt idx="28">
                  <c:v>55.208803763440862</c:v>
                </c:pt>
                <c:pt idx="29">
                  <c:v>73.58690277777778</c:v>
                </c:pt>
                <c:pt idx="30">
                  <c:v>81.44088709677419</c:v>
                </c:pt>
                <c:pt idx="31">
                  <c:v>84.363548387096785</c:v>
                </c:pt>
                <c:pt idx="32">
                  <c:v>123.9021111111111</c:v>
                </c:pt>
                <c:pt idx="33">
                  <c:v>106.9322745625841</c:v>
                </c:pt>
                <c:pt idx="34">
                  <c:v>136.38005555555549</c:v>
                </c:pt>
                <c:pt idx="35">
                  <c:v>191.06861559139779</c:v>
                </c:pt>
                <c:pt idx="36">
                  <c:v>111.62209677419349</c:v>
                </c:pt>
                <c:pt idx="37">
                  <c:v>100.2914136904762</c:v>
                </c:pt>
                <c:pt idx="38">
                  <c:v>227.92036437246961</c:v>
                </c:pt>
                <c:pt idx="39">
                  <c:v>152.83280555555561</c:v>
                </c:pt>
                <c:pt idx="40">
                  <c:v>162.65841397849459</c:v>
                </c:pt>
                <c:pt idx="41">
                  <c:v>213.2331388888889</c:v>
                </c:pt>
                <c:pt idx="42">
                  <c:v>233.47774193548389</c:v>
                </c:pt>
                <c:pt idx="43">
                  <c:v>449.7688306451613</c:v>
                </c:pt>
                <c:pt idx="44">
                  <c:v>328.80015277777778</c:v>
                </c:pt>
                <c:pt idx="45">
                  <c:v>136.89783310901751</c:v>
                </c:pt>
                <c:pt idx="46">
                  <c:v>145.05780555555549</c:v>
                </c:pt>
                <c:pt idx="47">
                  <c:v>248.88206989247311</c:v>
                </c:pt>
                <c:pt idx="48">
                  <c:v>99.762889784946225</c:v>
                </c:pt>
                <c:pt idx="49">
                  <c:v>100.6489285714286</c:v>
                </c:pt>
                <c:pt idx="50">
                  <c:v>89.795614035087723</c:v>
                </c:pt>
                <c:pt idx="51">
                  <c:v>83.651124999999993</c:v>
                </c:pt>
                <c:pt idx="52">
                  <c:v>66.151747311827961</c:v>
                </c:pt>
                <c:pt idx="53">
                  <c:v>91.423152777777773</c:v>
                </c:pt>
                <c:pt idx="54">
                  <c:v>65.24004032258064</c:v>
                </c:pt>
                <c:pt idx="55">
                  <c:v>86.293736559139788</c:v>
                </c:pt>
                <c:pt idx="56">
                  <c:v>85.484125000000006</c:v>
                </c:pt>
                <c:pt idx="57">
                  <c:v>56.925814266487208</c:v>
                </c:pt>
                <c:pt idx="58">
                  <c:v>81.486041666666665</c:v>
                </c:pt>
                <c:pt idx="59">
                  <c:v>70.879731182795695</c:v>
                </c:pt>
                <c:pt idx="60">
                  <c:v>78.214811827956993</c:v>
                </c:pt>
                <c:pt idx="61">
                  <c:v>54.722241379310347</c:v>
                </c:pt>
                <c:pt idx="62">
                  <c:v>61.040863697705802</c:v>
                </c:pt>
                <c:pt idx="63">
                  <c:v>60.476708333333328</c:v>
                </c:pt>
                <c:pt idx="64">
                  <c:v>58.122983870967737</c:v>
                </c:pt>
                <c:pt idx="65">
                  <c:v>66.79098611111111</c:v>
                </c:pt>
                <c:pt idx="66">
                  <c:v>62.841706989247307</c:v>
                </c:pt>
                <c:pt idx="67">
                  <c:v>72.614260752688182</c:v>
                </c:pt>
                <c:pt idx="68">
                  <c:v>70.411833333333334</c:v>
                </c:pt>
                <c:pt idx="69">
                  <c:v>76.326123822341856</c:v>
                </c:pt>
                <c:pt idx="70">
                  <c:v>95.282694444444431</c:v>
                </c:pt>
                <c:pt idx="71">
                  <c:v>92.728158602150543</c:v>
                </c:pt>
                <c:pt idx="72">
                  <c:v>100.1237365591398</c:v>
                </c:pt>
                <c:pt idx="73">
                  <c:v>117.9355505952381</c:v>
                </c:pt>
                <c:pt idx="74">
                  <c:v>82.846865319865316</c:v>
                </c:pt>
                <c:pt idx="75">
                  <c:v>75.806652777777785</c:v>
                </c:pt>
                <c:pt idx="76">
                  <c:v>63.082553763440863</c:v>
                </c:pt>
                <c:pt idx="77">
                  <c:v>56.448249999999987</c:v>
                </c:pt>
                <c:pt idx="78">
                  <c:v>79.959690860215062</c:v>
                </c:pt>
                <c:pt idx="79">
                  <c:v>75.315497311827954</c:v>
                </c:pt>
                <c:pt idx="80">
                  <c:v>83.288930555555552</c:v>
                </c:pt>
                <c:pt idx="81">
                  <c:v>82.368075370121133</c:v>
                </c:pt>
                <c:pt idx="82">
                  <c:v>93.695572916666663</c:v>
                </c:pt>
                <c:pt idx="83">
                  <c:v>82.081528897849466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B64-544C-96C2-CFDD945485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DK1 De-seasonalised Price Series (Primary)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'Electricity Price Data'!$E$1</c:f>
              <c:strCache>
                <c:ptCount val="1"/>
                <c:pt idx="0">
                  <c:v>DK1 De-seasonalised Price (EUR/MWh)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'Electricity Price Data'!$E$2:$E$85</c:f>
              <c:numCache>
                <c:formatCode>General</c:formatCode>
                <c:ptCount val="84"/>
                <c:pt idx="0">
                  <c:v>-25.234738863287252</c:v>
                </c:pt>
                <c:pt idx="1">
                  <c:v>-30.100228272343401</c:v>
                </c:pt>
                <c:pt idx="2">
                  <c:v>-48.899358826358807</c:v>
                </c:pt>
                <c:pt idx="3">
                  <c:v>-31.760585317460279</c:v>
                </c:pt>
                <c:pt idx="4">
                  <c:v>-30.622649769585269</c:v>
                </c:pt>
                <c:pt idx="5">
                  <c:v>-47.454873015873012</c:v>
                </c:pt>
                <c:pt idx="6">
                  <c:v>-50.913813364055301</c:v>
                </c:pt>
                <c:pt idx="7">
                  <c:v>-82.754126344086018</c:v>
                </c:pt>
                <c:pt idx="8">
                  <c:v>-74.756714285714281</c:v>
                </c:pt>
                <c:pt idx="9">
                  <c:v>-37.87848634877907</c:v>
                </c:pt>
                <c:pt idx="10">
                  <c:v>-47.388359623015852</c:v>
                </c:pt>
                <c:pt idx="11">
                  <c:v>-73.290233294930886</c:v>
                </c:pt>
                <c:pt idx="12">
                  <c:v>-50.535841013824893</c:v>
                </c:pt>
                <c:pt idx="13">
                  <c:v>-55.329114766596277</c:v>
                </c:pt>
                <c:pt idx="14">
                  <c:v>-64.205890540258949</c:v>
                </c:pt>
                <c:pt idx="15">
                  <c:v>-56.295224206349168</c:v>
                </c:pt>
                <c:pt idx="16">
                  <c:v>-51.998173963133659</c:v>
                </c:pt>
                <c:pt idx="17">
                  <c:v>-54.057817460317452</c:v>
                </c:pt>
                <c:pt idx="18">
                  <c:v>-65.111555299539162</c:v>
                </c:pt>
                <c:pt idx="19">
                  <c:v>-86.080537634408586</c:v>
                </c:pt>
                <c:pt idx="20">
                  <c:v>-71.60053373015873</c:v>
                </c:pt>
                <c:pt idx="21">
                  <c:v>-50.411137761968838</c:v>
                </c:pt>
                <c:pt idx="22">
                  <c:v>-65.378845734126969</c:v>
                </c:pt>
                <c:pt idx="23">
                  <c:v>-72.821080069124434</c:v>
                </c:pt>
                <c:pt idx="24">
                  <c:v>-25.32527649769585</c:v>
                </c:pt>
                <c:pt idx="25">
                  <c:v>-25.652683629486251</c:v>
                </c:pt>
                <c:pt idx="26">
                  <c:v>-37.378171242013337</c:v>
                </c:pt>
                <c:pt idx="27">
                  <c:v>-22.861890873015842</c:v>
                </c:pt>
                <c:pt idx="28">
                  <c:v>-13.74459869431645</c:v>
                </c:pt>
                <c:pt idx="29">
                  <c:v>-6.6142757936507914</c:v>
                </c:pt>
                <c:pt idx="30">
                  <c:v>-9.731877880184328</c:v>
                </c:pt>
                <c:pt idx="31">
                  <c:v>-37.831061827956987</c:v>
                </c:pt>
                <c:pt idx="32">
                  <c:v>15.228188492063509</c:v>
                </c:pt>
                <c:pt idx="33">
                  <c:v>40.813922803307079</c:v>
                </c:pt>
                <c:pt idx="34">
                  <c:v>52.664154265873037</c:v>
                </c:pt>
                <c:pt idx="35">
                  <c:v>82.017118855606753</c:v>
                </c:pt>
                <c:pt idx="36">
                  <c:v>42.464266513056842</c:v>
                </c:pt>
                <c:pt idx="37">
                  <c:v>40.206557441942309</c:v>
                </c:pt>
                <c:pt idx="38">
                  <c:v>153.31722686864791</c:v>
                </c:pt>
                <c:pt idx="39">
                  <c:v>92.808470238095268</c:v>
                </c:pt>
                <c:pt idx="40">
                  <c:v>103.8058717357911</c:v>
                </c:pt>
                <c:pt idx="41">
                  <c:v>134.09615476190481</c:v>
                </c:pt>
                <c:pt idx="42">
                  <c:v>185.3070468509984</c:v>
                </c:pt>
                <c:pt idx="43">
                  <c:v>336.13052419354841</c:v>
                </c:pt>
                <c:pt idx="44">
                  <c:v>232.6840773809524</c:v>
                </c:pt>
                <c:pt idx="45">
                  <c:v>60.905833974235733</c:v>
                </c:pt>
                <c:pt idx="46">
                  <c:v>50.570779265873028</c:v>
                </c:pt>
                <c:pt idx="47">
                  <c:v>142.3334091781874</c:v>
                </c:pt>
                <c:pt idx="48">
                  <c:v>37.011457373271902</c:v>
                </c:pt>
                <c:pt idx="49">
                  <c:v>45.22194434670422</c:v>
                </c:pt>
                <c:pt idx="50">
                  <c:v>16.60629569455887</c:v>
                </c:pt>
                <c:pt idx="51">
                  <c:v>25.44197023809528</c:v>
                </c:pt>
                <c:pt idx="52">
                  <c:v>5.9136136712749447</c:v>
                </c:pt>
                <c:pt idx="53">
                  <c:v>12.161335317460329</c:v>
                </c:pt>
                <c:pt idx="54">
                  <c:v>-24.919821428571421</c:v>
                </c:pt>
                <c:pt idx="55">
                  <c:v>-34.65271505376343</c:v>
                </c:pt>
                <c:pt idx="56">
                  <c:v>-25.39613095238094</c:v>
                </c:pt>
                <c:pt idx="57">
                  <c:v>-16.12012834070369</c:v>
                </c:pt>
                <c:pt idx="58">
                  <c:v>-0.97885962301585039</c:v>
                </c:pt>
                <c:pt idx="59">
                  <c:v>-37.849695660522272</c:v>
                </c:pt>
                <c:pt idx="60">
                  <c:v>-0.81545122887864352</c:v>
                </c:pt>
                <c:pt idx="61">
                  <c:v>-14.280249824067541</c:v>
                </c:pt>
                <c:pt idx="62">
                  <c:v>-21.28132913675017</c:v>
                </c:pt>
                <c:pt idx="63">
                  <c:v>-11.664210317460279</c:v>
                </c:pt>
                <c:pt idx="64">
                  <c:v>-9.5353110599078548</c:v>
                </c:pt>
                <c:pt idx="65">
                  <c:v>-16.581053571428559</c:v>
                </c:pt>
                <c:pt idx="66">
                  <c:v>-27.70077572964669</c:v>
                </c:pt>
                <c:pt idx="67">
                  <c:v>-47.666021505376342</c:v>
                </c:pt>
                <c:pt idx="68">
                  <c:v>-38.421992063492063</c:v>
                </c:pt>
                <c:pt idx="69">
                  <c:v>0.49408431070949632</c:v>
                </c:pt>
                <c:pt idx="70">
                  <c:v>6.7711681547619236</c:v>
                </c:pt>
                <c:pt idx="71">
                  <c:v>-15.49477630568356</c:v>
                </c:pt>
                <c:pt idx="72">
                  <c:v>22.4355837173579</c:v>
                </c:pt>
                <c:pt idx="73">
                  <c:v>39.933774703847078</c:v>
                </c:pt>
                <c:pt idx="74">
                  <c:v>1.8412271821745629</c:v>
                </c:pt>
                <c:pt idx="75">
                  <c:v>4.3314702380952781</c:v>
                </c:pt>
                <c:pt idx="76">
                  <c:v>-3.818751920122907</c:v>
                </c:pt>
                <c:pt idx="77">
                  <c:v>-21.549470238095228</c:v>
                </c:pt>
                <c:pt idx="78">
                  <c:v>-6.9292031490015384</c:v>
                </c:pt>
                <c:pt idx="79">
                  <c:v>-47.14606182795697</c:v>
                </c:pt>
                <c:pt idx="80">
                  <c:v>-37.73689484126983</c:v>
                </c:pt>
                <c:pt idx="81">
                  <c:v>2.1959113631994001</c:v>
                </c:pt>
                <c:pt idx="82">
                  <c:v>3.7399632936508169</c:v>
                </c:pt>
                <c:pt idx="83">
                  <c:v>-24.89474270353303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8CC-724C-BE41-201739D60D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  <c:txPr>
        <a:bodyPr/>
        <a:lstStyle/>
        <a:p>
          <a:pPr rtl="0">
            <a:defRPr/>
          </a:pPr>
          <a:endParaRPr lang="en-DK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Monthly Spot Prices - DK1 (Primary) and DK2 (Robustness)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'Electricity Price Data'!$B$1</c:f>
              <c:strCache>
                <c:ptCount val="1"/>
                <c:pt idx="0">
                  <c:v>DK1 Spot Price (EUR/MWh)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'Electricity Price Data'!$B$2:$B$85</c:f>
              <c:numCache>
                <c:formatCode>General</c:formatCode>
                <c:ptCount val="84"/>
                <c:pt idx="0">
                  <c:v>50.295645161290317</c:v>
                </c:pt>
                <c:pt idx="1">
                  <c:v>42.813958333333332</c:v>
                </c:pt>
                <c:pt idx="2">
                  <c:v>33.608259109311753</c:v>
                </c:pt>
                <c:pt idx="3">
                  <c:v>39.068416666666657</c:v>
                </c:pt>
                <c:pt idx="4">
                  <c:v>37.429516129032258</c:v>
                </c:pt>
                <c:pt idx="5">
                  <c:v>32.879222222222232</c:v>
                </c:pt>
                <c:pt idx="6">
                  <c:v>38.817311827956978</c:v>
                </c:pt>
                <c:pt idx="7">
                  <c:v>37.865698924731177</c:v>
                </c:pt>
                <c:pt idx="8">
                  <c:v>35.378861111111107</c:v>
                </c:pt>
                <c:pt idx="9">
                  <c:v>38.347402422611033</c:v>
                </c:pt>
                <c:pt idx="10">
                  <c:v>41.745069444444447</c:v>
                </c:pt>
                <c:pt idx="11">
                  <c:v>34.04197580645161</c:v>
                </c:pt>
                <c:pt idx="12">
                  <c:v>24.99454301075269</c:v>
                </c:pt>
                <c:pt idx="13">
                  <c:v>17.585071839080459</c:v>
                </c:pt>
                <c:pt idx="14">
                  <c:v>18.301727395411611</c:v>
                </c:pt>
                <c:pt idx="15">
                  <c:v>14.533777777777781</c:v>
                </c:pt>
                <c:pt idx="16">
                  <c:v>16.053991935483872</c:v>
                </c:pt>
                <c:pt idx="17">
                  <c:v>26.276277777777771</c:v>
                </c:pt>
                <c:pt idx="18">
                  <c:v>24.61956989247312</c:v>
                </c:pt>
                <c:pt idx="19">
                  <c:v>34.539287634408602</c:v>
                </c:pt>
                <c:pt idx="20">
                  <c:v>38.535041666666658</c:v>
                </c:pt>
                <c:pt idx="21">
                  <c:v>25.814751009421261</c:v>
                </c:pt>
                <c:pt idx="22">
                  <c:v>23.754583333333329</c:v>
                </c:pt>
                <c:pt idx="23">
                  <c:v>34.511129032258061</c:v>
                </c:pt>
                <c:pt idx="24">
                  <c:v>50.205107526881719</c:v>
                </c:pt>
                <c:pt idx="25">
                  <c:v>47.261502976190478</c:v>
                </c:pt>
                <c:pt idx="26">
                  <c:v>45.129446693657208</c:v>
                </c:pt>
                <c:pt idx="27">
                  <c:v>47.967111111111109</c:v>
                </c:pt>
                <c:pt idx="28">
                  <c:v>54.30756720430108</c:v>
                </c:pt>
                <c:pt idx="29">
                  <c:v>73.71981944444444</c:v>
                </c:pt>
                <c:pt idx="30">
                  <c:v>79.999247311827958</c:v>
                </c:pt>
                <c:pt idx="31">
                  <c:v>82.788763440860208</c:v>
                </c:pt>
                <c:pt idx="32">
                  <c:v>125.3637638888889</c:v>
                </c:pt>
                <c:pt idx="33">
                  <c:v>117.0398115746972</c:v>
                </c:pt>
                <c:pt idx="34">
                  <c:v>141.79758333333331</c:v>
                </c:pt>
                <c:pt idx="35">
                  <c:v>189.34932795698921</c:v>
                </c:pt>
                <c:pt idx="36">
                  <c:v>117.9946505376344</c:v>
                </c:pt>
                <c:pt idx="37">
                  <c:v>113.120744047619</c:v>
                </c:pt>
                <c:pt idx="38">
                  <c:v>235.8248448043185</c:v>
                </c:pt>
                <c:pt idx="39">
                  <c:v>163.63747222222219</c:v>
                </c:pt>
                <c:pt idx="40">
                  <c:v>171.85803763440859</c:v>
                </c:pt>
                <c:pt idx="41">
                  <c:v>214.43025</c:v>
                </c:pt>
                <c:pt idx="42">
                  <c:v>275.03817204301072</c:v>
                </c:pt>
                <c:pt idx="43">
                  <c:v>456.75034946236559</c:v>
                </c:pt>
                <c:pt idx="44">
                  <c:v>342.81965277777778</c:v>
                </c:pt>
                <c:pt idx="45">
                  <c:v>137.13172274562581</c:v>
                </c:pt>
                <c:pt idx="46">
                  <c:v>139.7042083333333</c:v>
                </c:pt>
                <c:pt idx="47">
                  <c:v>249.66561827956991</c:v>
                </c:pt>
                <c:pt idx="48">
                  <c:v>112.5418413978495</c:v>
                </c:pt>
                <c:pt idx="49">
                  <c:v>118.136130952381</c:v>
                </c:pt>
                <c:pt idx="50">
                  <c:v>99.113913630229419</c:v>
                </c:pt>
                <c:pt idx="51">
                  <c:v>96.270972222222227</c:v>
                </c:pt>
                <c:pt idx="52">
                  <c:v>73.965779569892476</c:v>
                </c:pt>
                <c:pt idx="53">
                  <c:v>92.495430555555558</c:v>
                </c:pt>
                <c:pt idx="54">
                  <c:v>64.811303763440861</c:v>
                </c:pt>
                <c:pt idx="55">
                  <c:v>85.967110215053765</c:v>
                </c:pt>
                <c:pt idx="56">
                  <c:v>84.739444444444445</c:v>
                </c:pt>
                <c:pt idx="57">
                  <c:v>60.105760430686409</c:v>
                </c:pt>
                <c:pt idx="58">
                  <c:v>88.154569444444448</c:v>
                </c:pt>
                <c:pt idx="59">
                  <c:v>69.482513440860217</c:v>
                </c:pt>
                <c:pt idx="60">
                  <c:v>74.714932795698928</c:v>
                </c:pt>
                <c:pt idx="61">
                  <c:v>58.633936781609187</c:v>
                </c:pt>
                <c:pt idx="62">
                  <c:v>61.226288798920379</c:v>
                </c:pt>
                <c:pt idx="63">
                  <c:v>59.164791666666673</c:v>
                </c:pt>
                <c:pt idx="64">
                  <c:v>58.516854838709683</c:v>
                </c:pt>
                <c:pt idx="65">
                  <c:v>63.753041666666668</c:v>
                </c:pt>
                <c:pt idx="66">
                  <c:v>62.030349462365592</c:v>
                </c:pt>
                <c:pt idx="67">
                  <c:v>72.95380376344086</c:v>
                </c:pt>
                <c:pt idx="68">
                  <c:v>71.713583333333332</c:v>
                </c:pt>
                <c:pt idx="69">
                  <c:v>76.7199730820996</c:v>
                </c:pt>
                <c:pt idx="70">
                  <c:v>95.904597222222222</c:v>
                </c:pt>
                <c:pt idx="71">
                  <c:v>91.83743279569893</c:v>
                </c:pt>
                <c:pt idx="72">
                  <c:v>97.965967741935472</c:v>
                </c:pt>
                <c:pt idx="73">
                  <c:v>112.8479613095238</c:v>
                </c:pt>
                <c:pt idx="74">
                  <c:v>84.348845117845116</c:v>
                </c:pt>
                <c:pt idx="75">
                  <c:v>75.160472222222225</c:v>
                </c:pt>
                <c:pt idx="76">
                  <c:v>64.233413978494625</c:v>
                </c:pt>
                <c:pt idx="77">
                  <c:v>58.784624999999998</c:v>
                </c:pt>
                <c:pt idx="78">
                  <c:v>82.801922043010748</c:v>
                </c:pt>
                <c:pt idx="79">
                  <c:v>73.473763440860225</c:v>
                </c:pt>
                <c:pt idx="80">
                  <c:v>72.398680555555558</c:v>
                </c:pt>
                <c:pt idx="81">
                  <c:v>78.421800134589503</c:v>
                </c:pt>
                <c:pt idx="82">
                  <c:v>92.873392361111115</c:v>
                </c:pt>
                <c:pt idx="83">
                  <c:v>82.437466397849462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A84-AC4A-8AB5-C0174DC9924C}"/>
            </c:ext>
          </c:extLst>
        </c:ser>
        <c:ser>
          <c:idx val="1"/>
          <c:order val="1"/>
          <c:tx>
            <c:strRef>
              <c:f>'Electricity Price Data'!$C$1</c:f>
              <c:strCache>
                <c:ptCount val="1"/>
                <c:pt idx="0">
                  <c:v>DK2 Spot Price (EUR/MWh)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'Electricity Price Data'!$C$2:$C$85</c:f>
              <c:numCache>
                <c:formatCode>General</c:formatCode>
                <c:ptCount val="84"/>
                <c:pt idx="0">
                  <c:v>51.655026881720417</c:v>
                </c:pt>
                <c:pt idx="1">
                  <c:v>43.932946428571427</c:v>
                </c:pt>
                <c:pt idx="2">
                  <c:v>35.667354925775967</c:v>
                </c:pt>
                <c:pt idx="3">
                  <c:v>39.892097222222233</c:v>
                </c:pt>
                <c:pt idx="4">
                  <c:v>38.151397849462363</c:v>
                </c:pt>
                <c:pt idx="5">
                  <c:v>33.622236111111107</c:v>
                </c:pt>
                <c:pt idx="6">
                  <c:v>39.000174731182803</c:v>
                </c:pt>
                <c:pt idx="7">
                  <c:v>39.493172043010752</c:v>
                </c:pt>
                <c:pt idx="8">
                  <c:v>37.321347222222222</c:v>
                </c:pt>
                <c:pt idx="9">
                  <c:v>41.599353970390311</c:v>
                </c:pt>
                <c:pt idx="10">
                  <c:v>42.696444444444452</c:v>
                </c:pt>
                <c:pt idx="11">
                  <c:v>35.34711021505376</c:v>
                </c:pt>
                <c:pt idx="12">
                  <c:v>27.385241935483869</c:v>
                </c:pt>
                <c:pt idx="13">
                  <c:v>18.816997126436782</c:v>
                </c:pt>
                <c:pt idx="14">
                  <c:v>20.05249662618084</c:v>
                </c:pt>
                <c:pt idx="15">
                  <c:v>17.354861111111109</c:v>
                </c:pt>
                <c:pt idx="16">
                  <c:v>19.04407258064516</c:v>
                </c:pt>
                <c:pt idx="17">
                  <c:v>29.82329166666667</c:v>
                </c:pt>
                <c:pt idx="18">
                  <c:v>25.886680107526882</c:v>
                </c:pt>
                <c:pt idx="19">
                  <c:v>40.923817204301074</c:v>
                </c:pt>
                <c:pt idx="20">
                  <c:v>39.51423611111111</c:v>
                </c:pt>
                <c:pt idx="21">
                  <c:v>26.933512786002691</c:v>
                </c:pt>
                <c:pt idx="22">
                  <c:v>35.711347222222223</c:v>
                </c:pt>
                <c:pt idx="23">
                  <c:v>39.257150537634409</c:v>
                </c:pt>
                <c:pt idx="24">
                  <c:v>50.858951612903233</c:v>
                </c:pt>
                <c:pt idx="25">
                  <c:v>54.54806547619048</c:v>
                </c:pt>
                <c:pt idx="26">
                  <c:v>46.732213225371119</c:v>
                </c:pt>
                <c:pt idx="27">
                  <c:v>47.862958333333339</c:v>
                </c:pt>
                <c:pt idx="28">
                  <c:v>55.208803763440862</c:v>
                </c:pt>
                <c:pt idx="29">
                  <c:v>73.58690277777778</c:v>
                </c:pt>
                <c:pt idx="30">
                  <c:v>81.44088709677419</c:v>
                </c:pt>
                <c:pt idx="31">
                  <c:v>84.363548387096785</c:v>
                </c:pt>
                <c:pt idx="32">
                  <c:v>123.9021111111111</c:v>
                </c:pt>
                <c:pt idx="33">
                  <c:v>106.9322745625841</c:v>
                </c:pt>
                <c:pt idx="34">
                  <c:v>136.38005555555549</c:v>
                </c:pt>
                <c:pt idx="35">
                  <c:v>191.06861559139779</c:v>
                </c:pt>
                <c:pt idx="36">
                  <c:v>111.62209677419349</c:v>
                </c:pt>
                <c:pt idx="37">
                  <c:v>100.2914136904762</c:v>
                </c:pt>
                <c:pt idx="38">
                  <c:v>227.92036437246961</c:v>
                </c:pt>
                <c:pt idx="39">
                  <c:v>152.83280555555561</c:v>
                </c:pt>
                <c:pt idx="40">
                  <c:v>162.65841397849459</c:v>
                </c:pt>
                <c:pt idx="41">
                  <c:v>213.2331388888889</c:v>
                </c:pt>
                <c:pt idx="42">
                  <c:v>233.47774193548389</c:v>
                </c:pt>
                <c:pt idx="43">
                  <c:v>449.7688306451613</c:v>
                </c:pt>
                <c:pt idx="44">
                  <c:v>328.80015277777778</c:v>
                </c:pt>
                <c:pt idx="45">
                  <c:v>136.89783310901751</c:v>
                </c:pt>
                <c:pt idx="46">
                  <c:v>145.05780555555549</c:v>
                </c:pt>
                <c:pt idx="47">
                  <c:v>248.88206989247311</c:v>
                </c:pt>
                <c:pt idx="48">
                  <c:v>99.762889784946225</c:v>
                </c:pt>
                <c:pt idx="49">
                  <c:v>100.6489285714286</c:v>
                </c:pt>
                <c:pt idx="50">
                  <c:v>89.795614035087723</c:v>
                </c:pt>
                <c:pt idx="51">
                  <c:v>83.651124999999993</c:v>
                </c:pt>
                <c:pt idx="52">
                  <c:v>66.151747311827961</c:v>
                </c:pt>
                <c:pt idx="53">
                  <c:v>91.423152777777773</c:v>
                </c:pt>
                <c:pt idx="54">
                  <c:v>65.24004032258064</c:v>
                </c:pt>
                <c:pt idx="55">
                  <c:v>86.293736559139788</c:v>
                </c:pt>
                <c:pt idx="56">
                  <c:v>85.484125000000006</c:v>
                </c:pt>
                <c:pt idx="57">
                  <c:v>56.925814266487208</c:v>
                </c:pt>
                <c:pt idx="58">
                  <c:v>81.486041666666665</c:v>
                </c:pt>
                <c:pt idx="59">
                  <c:v>70.879731182795695</c:v>
                </c:pt>
                <c:pt idx="60">
                  <c:v>78.214811827956993</c:v>
                </c:pt>
                <c:pt idx="61">
                  <c:v>54.722241379310347</c:v>
                </c:pt>
                <c:pt idx="62">
                  <c:v>61.040863697705802</c:v>
                </c:pt>
                <c:pt idx="63">
                  <c:v>60.476708333333328</c:v>
                </c:pt>
                <c:pt idx="64">
                  <c:v>58.122983870967737</c:v>
                </c:pt>
                <c:pt idx="65">
                  <c:v>66.79098611111111</c:v>
                </c:pt>
                <c:pt idx="66">
                  <c:v>62.841706989247307</c:v>
                </c:pt>
                <c:pt idx="67">
                  <c:v>72.614260752688182</c:v>
                </c:pt>
                <c:pt idx="68">
                  <c:v>70.411833333333334</c:v>
                </c:pt>
                <c:pt idx="69">
                  <c:v>76.326123822341856</c:v>
                </c:pt>
                <c:pt idx="70">
                  <c:v>95.282694444444431</c:v>
                </c:pt>
                <c:pt idx="71">
                  <c:v>92.728158602150543</c:v>
                </c:pt>
                <c:pt idx="72">
                  <c:v>100.1237365591398</c:v>
                </c:pt>
                <c:pt idx="73">
                  <c:v>117.9355505952381</c:v>
                </c:pt>
                <c:pt idx="74">
                  <c:v>82.846865319865316</c:v>
                </c:pt>
                <c:pt idx="75">
                  <c:v>75.806652777777785</c:v>
                </c:pt>
                <c:pt idx="76">
                  <c:v>63.082553763440863</c:v>
                </c:pt>
                <c:pt idx="77">
                  <c:v>56.448249999999987</c:v>
                </c:pt>
                <c:pt idx="78">
                  <c:v>79.959690860215062</c:v>
                </c:pt>
                <c:pt idx="79">
                  <c:v>75.315497311827954</c:v>
                </c:pt>
                <c:pt idx="80">
                  <c:v>83.288930555555552</c:v>
                </c:pt>
                <c:pt idx="81">
                  <c:v>82.368075370121133</c:v>
                </c:pt>
                <c:pt idx="82">
                  <c:v>93.695572916666663</c:v>
                </c:pt>
                <c:pt idx="83">
                  <c:v>82.081528897849466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A84-AC4A-8AB5-C0174DC992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DK1 De-seasonalised Price Series (Primary)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'Electricity Price Data'!$E$1</c:f>
              <c:strCache>
                <c:ptCount val="1"/>
                <c:pt idx="0">
                  <c:v>DK1 De-seasonalised Price (EUR/MWh)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'Electricity Price Data'!$E$2:$E$85</c:f>
              <c:numCache>
                <c:formatCode>General</c:formatCode>
                <c:ptCount val="84"/>
                <c:pt idx="0">
                  <c:v>-25.234738863287252</c:v>
                </c:pt>
                <c:pt idx="1">
                  <c:v>-30.100228272343401</c:v>
                </c:pt>
                <c:pt idx="2">
                  <c:v>-48.899358826358807</c:v>
                </c:pt>
                <c:pt idx="3">
                  <c:v>-31.760585317460279</c:v>
                </c:pt>
                <c:pt idx="4">
                  <c:v>-30.622649769585269</c:v>
                </c:pt>
                <c:pt idx="5">
                  <c:v>-47.454873015873012</c:v>
                </c:pt>
                <c:pt idx="6">
                  <c:v>-50.913813364055301</c:v>
                </c:pt>
                <c:pt idx="7">
                  <c:v>-82.754126344086018</c:v>
                </c:pt>
                <c:pt idx="8">
                  <c:v>-74.756714285714281</c:v>
                </c:pt>
                <c:pt idx="9">
                  <c:v>-37.87848634877907</c:v>
                </c:pt>
                <c:pt idx="10">
                  <c:v>-47.388359623015852</c:v>
                </c:pt>
                <c:pt idx="11">
                  <c:v>-73.290233294930886</c:v>
                </c:pt>
                <c:pt idx="12">
                  <c:v>-50.535841013824893</c:v>
                </c:pt>
                <c:pt idx="13">
                  <c:v>-55.329114766596277</c:v>
                </c:pt>
                <c:pt idx="14">
                  <c:v>-64.205890540258949</c:v>
                </c:pt>
                <c:pt idx="15">
                  <c:v>-56.295224206349168</c:v>
                </c:pt>
                <c:pt idx="16">
                  <c:v>-51.998173963133659</c:v>
                </c:pt>
                <c:pt idx="17">
                  <c:v>-54.057817460317452</c:v>
                </c:pt>
                <c:pt idx="18">
                  <c:v>-65.111555299539162</c:v>
                </c:pt>
                <c:pt idx="19">
                  <c:v>-86.080537634408586</c:v>
                </c:pt>
                <c:pt idx="20">
                  <c:v>-71.60053373015873</c:v>
                </c:pt>
                <c:pt idx="21">
                  <c:v>-50.411137761968838</c:v>
                </c:pt>
                <c:pt idx="22">
                  <c:v>-65.378845734126969</c:v>
                </c:pt>
                <c:pt idx="23">
                  <c:v>-72.821080069124434</c:v>
                </c:pt>
                <c:pt idx="24">
                  <c:v>-25.32527649769585</c:v>
                </c:pt>
                <c:pt idx="25">
                  <c:v>-25.652683629486251</c:v>
                </c:pt>
                <c:pt idx="26">
                  <c:v>-37.378171242013337</c:v>
                </c:pt>
                <c:pt idx="27">
                  <c:v>-22.861890873015842</c:v>
                </c:pt>
                <c:pt idx="28">
                  <c:v>-13.74459869431645</c:v>
                </c:pt>
                <c:pt idx="29">
                  <c:v>-6.6142757936507914</c:v>
                </c:pt>
                <c:pt idx="30">
                  <c:v>-9.731877880184328</c:v>
                </c:pt>
                <c:pt idx="31">
                  <c:v>-37.831061827956987</c:v>
                </c:pt>
                <c:pt idx="32">
                  <c:v>15.228188492063509</c:v>
                </c:pt>
                <c:pt idx="33">
                  <c:v>40.813922803307079</c:v>
                </c:pt>
                <c:pt idx="34">
                  <c:v>52.664154265873037</c:v>
                </c:pt>
                <c:pt idx="35">
                  <c:v>82.017118855606753</c:v>
                </c:pt>
                <c:pt idx="36">
                  <c:v>42.464266513056842</c:v>
                </c:pt>
                <c:pt idx="37">
                  <c:v>40.206557441942309</c:v>
                </c:pt>
                <c:pt idx="38">
                  <c:v>153.31722686864791</c:v>
                </c:pt>
                <c:pt idx="39">
                  <c:v>92.808470238095268</c:v>
                </c:pt>
                <c:pt idx="40">
                  <c:v>103.8058717357911</c:v>
                </c:pt>
                <c:pt idx="41">
                  <c:v>134.09615476190481</c:v>
                </c:pt>
                <c:pt idx="42">
                  <c:v>185.3070468509984</c:v>
                </c:pt>
                <c:pt idx="43">
                  <c:v>336.13052419354841</c:v>
                </c:pt>
                <c:pt idx="44">
                  <c:v>232.6840773809524</c:v>
                </c:pt>
                <c:pt idx="45">
                  <c:v>60.905833974235733</c:v>
                </c:pt>
                <c:pt idx="46">
                  <c:v>50.570779265873028</c:v>
                </c:pt>
                <c:pt idx="47">
                  <c:v>142.3334091781874</c:v>
                </c:pt>
                <c:pt idx="48">
                  <c:v>37.011457373271902</c:v>
                </c:pt>
                <c:pt idx="49">
                  <c:v>45.22194434670422</c:v>
                </c:pt>
                <c:pt idx="50">
                  <c:v>16.60629569455887</c:v>
                </c:pt>
                <c:pt idx="51">
                  <c:v>25.44197023809528</c:v>
                </c:pt>
                <c:pt idx="52">
                  <c:v>5.9136136712749447</c:v>
                </c:pt>
                <c:pt idx="53">
                  <c:v>12.161335317460329</c:v>
                </c:pt>
                <c:pt idx="54">
                  <c:v>-24.919821428571421</c:v>
                </c:pt>
                <c:pt idx="55">
                  <c:v>-34.65271505376343</c:v>
                </c:pt>
                <c:pt idx="56">
                  <c:v>-25.39613095238094</c:v>
                </c:pt>
                <c:pt idx="57">
                  <c:v>-16.12012834070369</c:v>
                </c:pt>
                <c:pt idx="58">
                  <c:v>-0.97885962301585039</c:v>
                </c:pt>
                <c:pt idx="59">
                  <c:v>-37.849695660522272</c:v>
                </c:pt>
                <c:pt idx="60">
                  <c:v>-0.81545122887864352</c:v>
                </c:pt>
                <c:pt idx="61">
                  <c:v>-14.280249824067541</c:v>
                </c:pt>
                <c:pt idx="62">
                  <c:v>-21.28132913675017</c:v>
                </c:pt>
                <c:pt idx="63">
                  <c:v>-11.664210317460279</c:v>
                </c:pt>
                <c:pt idx="64">
                  <c:v>-9.5353110599078548</c:v>
                </c:pt>
                <c:pt idx="65">
                  <c:v>-16.581053571428559</c:v>
                </c:pt>
                <c:pt idx="66">
                  <c:v>-27.70077572964669</c:v>
                </c:pt>
                <c:pt idx="67">
                  <c:v>-47.666021505376342</c:v>
                </c:pt>
                <c:pt idx="68">
                  <c:v>-38.421992063492063</c:v>
                </c:pt>
                <c:pt idx="69">
                  <c:v>0.49408431070949632</c:v>
                </c:pt>
                <c:pt idx="70">
                  <c:v>6.7711681547619236</c:v>
                </c:pt>
                <c:pt idx="71">
                  <c:v>-15.49477630568356</c:v>
                </c:pt>
                <c:pt idx="72">
                  <c:v>22.4355837173579</c:v>
                </c:pt>
                <c:pt idx="73">
                  <c:v>39.933774703847078</c:v>
                </c:pt>
                <c:pt idx="74">
                  <c:v>1.8412271821745629</c:v>
                </c:pt>
                <c:pt idx="75">
                  <c:v>4.3314702380952781</c:v>
                </c:pt>
                <c:pt idx="76">
                  <c:v>-3.818751920122907</c:v>
                </c:pt>
                <c:pt idx="77">
                  <c:v>-21.549470238095228</c:v>
                </c:pt>
                <c:pt idx="78">
                  <c:v>-6.9292031490015384</c:v>
                </c:pt>
                <c:pt idx="79">
                  <c:v>-47.14606182795697</c:v>
                </c:pt>
                <c:pt idx="80">
                  <c:v>-37.73689484126983</c:v>
                </c:pt>
                <c:pt idx="81">
                  <c:v>2.1959113631994001</c:v>
                </c:pt>
                <c:pt idx="82">
                  <c:v>3.7399632936508169</c:v>
                </c:pt>
                <c:pt idx="83">
                  <c:v>-24.89474270353303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E46-8F46-B4D9-5E25CDF7C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  <c:txPr>
        <a:bodyPr/>
        <a:lstStyle/>
        <a:p>
          <a:pPr rtl="0">
            <a:defRPr/>
          </a:pPr>
          <a:endParaRPr lang="en-DK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Monthly Spot Prices - DK1 (Primary) and DK2 (Robustness)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'Electricity Price Data'!$B$1</c:f>
              <c:strCache>
                <c:ptCount val="1"/>
                <c:pt idx="0">
                  <c:v>DK1 Spot Price (EUR/MWh)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'Electricity Price Data'!$B$2:$B$85</c:f>
              <c:numCache>
                <c:formatCode>General</c:formatCode>
                <c:ptCount val="84"/>
                <c:pt idx="0">
                  <c:v>50.295645161290317</c:v>
                </c:pt>
                <c:pt idx="1">
                  <c:v>42.813958333333332</c:v>
                </c:pt>
                <c:pt idx="2">
                  <c:v>33.608259109311753</c:v>
                </c:pt>
                <c:pt idx="3">
                  <c:v>39.068416666666657</c:v>
                </c:pt>
                <c:pt idx="4">
                  <c:v>37.429516129032258</c:v>
                </c:pt>
                <c:pt idx="5">
                  <c:v>32.879222222222232</c:v>
                </c:pt>
                <c:pt idx="6">
                  <c:v>38.817311827956978</c:v>
                </c:pt>
                <c:pt idx="7">
                  <c:v>37.865698924731177</c:v>
                </c:pt>
                <c:pt idx="8">
                  <c:v>35.378861111111107</c:v>
                </c:pt>
                <c:pt idx="9">
                  <c:v>38.347402422611033</c:v>
                </c:pt>
                <c:pt idx="10">
                  <c:v>41.745069444444447</c:v>
                </c:pt>
                <c:pt idx="11">
                  <c:v>34.04197580645161</c:v>
                </c:pt>
                <c:pt idx="12">
                  <c:v>24.99454301075269</c:v>
                </c:pt>
                <c:pt idx="13">
                  <c:v>17.585071839080459</c:v>
                </c:pt>
                <c:pt idx="14">
                  <c:v>18.301727395411611</c:v>
                </c:pt>
                <c:pt idx="15">
                  <c:v>14.533777777777781</c:v>
                </c:pt>
                <c:pt idx="16">
                  <c:v>16.053991935483872</c:v>
                </c:pt>
                <c:pt idx="17">
                  <c:v>26.276277777777771</c:v>
                </c:pt>
                <c:pt idx="18">
                  <c:v>24.61956989247312</c:v>
                </c:pt>
                <c:pt idx="19">
                  <c:v>34.539287634408602</c:v>
                </c:pt>
                <c:pt idx="20">
                  <c:v>38.535041666666658</c:v>
                </c:pt>
                <c:pt idx="21">
                  <c:v>25.814751009421261</c:v>
                </c:pt>
                <c:pt idx="22">
                  <c:v>23.754583333333329</c:v>
                </c:pt>
                <c:pt idx="23">
                  <c:v>34.511129032258061</c:v>
                </c:pt>
                <c:pt idx="24">
                  <c:v>50.205107526881719</c:v>
                </c:pt>
                <c:pt idx="25">
                  <c:v>47.261502976190478</c:v>
                </c:pt>
                <c:pt idx="26">
                  <c:v>45.129446693657208</c:v>
                </c:pt>
                <c:pt idx="27">
                  <c:v>47.967111111111109</c:v>
                </c:pt>
                <c:pt idx="28">
                  <c:v>54.30756720430108</c:v>
                </c:pt>
                <c:pt idx="29">
                  <c:v>73.71981944444444</c:v>
                </c:pt>
                <c:pt idx="30">
                  <c:v>79.999247311827958</c:v>
                </c:pt>
                <c:pt idx="31">
                  <c:v>82.788763440860208</c:v>
                </c:pt>
                <c:pt idx="32">
                  <c:v>125.3637638888889</c:v>
                </c:pt>
                <c:pt idx="33">
                  <c:v>117.0398115746972</c:v>
                </c:pt>
                <c:pt idx="34">
                  <c:v>141.79758333333331</c:v>
                </c:pt>
                <c:pt idx="35">
                  <c:v>189.34932795698921</c:v>
                </c:pt>
                <c:pt idx="36">
                  <c:v>117.9946505376344</c:v>
                </c:pt>
                <c:pt idx="37">
                  <c:v>113.120744047619</c:v>
                </c:pt>
                <c:pt idx="38">
                  <c:v>235.8248448043185</c:v>
                </c:pt>
                <c:pt idx="39">
                  <c:v>163.63747222222219</c:v>
                </c:pt>
                <c:pt idx="40">
                  <c:v>171.85803763440859</c:v>
                </c:pt>
                <c:pt idx="41">
                  <c:v>214.43025</c:v>
                </c:pt>
                <c:pt idx="42">
                  <c:v>275.03817204301072</c:v>
                </c:pt>
                <c:pt idx="43">
                  <c:v>456.75034946236559</c:v>
                </c:pt>
                <c:pt idx="44">
                  <c:v>342.81965277777778</c:v>
                </c:pt>
                <c:pt idx="45">
                  <c:v>137.13172274562581</c:v>
                </c:pt>
                <c:pt idx="46">
                  <c:v>139.7042083333333</c:v>
                </c:pt>
                <c:pt idx="47">
                  <c:v>249.66561827956991</c:v>
                </c:pt>
                <c:pt idx="48">
                  <c:v>112.5418413978495</c:v>
                </c:pt>
                <c:pt idx="49">
                  <c:v>118.136130952381</c:v>
                </c:pt>
                <c:pt idx="50">
                  <c:v>99.113913630229419</c:v>
                </c:pt>
                <c:pt idx="51">
                  <c:v>96.270972222222227</c:v>
                </c:pt>
                <c:pt idx="52">
                  <c:v>73.965779569892476</c:v>
                </c:pt>
                <c:pt idx="53">
                  <c:v>92.495430555555558</c:v>
                </c:pt>
                <c:pt idx="54">
                  <c:v>64.811303763440861</c:v>
                </c:pt>
                <c:pt idx="55">
                  <c:v>85.967110215053765</c:v>
                </c:pt>
                <c:pt idx="56">
                  <c:v>84.739444444444445</c:v>
                </c:pt>
                <c:pt idx="57">
                  <c:v>60.105760430686409</c:v>
                </c:pt>
                <c:pt idx="58">
                  <c:v>88.154569444444448</c:v>
                </c:pt>
                <c:pt idx="59">
                  <c:v>69.482513440860217</c:v>
                </c:pt>
                <c:pt idx="60">
                  <c:v>74.714932795698928</c:v>
                </c:pt>
                <c:pt idx="61">
                  <c:v>58.633936781609187</c:v>
                </c:pt>
                <c:pt idx="62">
                  <c:v>61.226288798920379</c:v>
                </c:pt>
                <c:pt idx="63">
                  <c:v>59.164791666666673</c:v>
                </c:pt>
                <c:pt idx="64">
                  <c:v>58.516854838709683</c:v>
                </c:pt>
                <c:pt idx="65">
                  <c:v>63.753041666666668</c:v>
                </c:pt>
                <c:pt idx="66">
                  <c:v>62.030349462365592</c:v>
                </c:pt>
                <c:pt idx="67">
                  <c:v>72.95380376344086</c:v>
                </c:pt>
                <c:pt idx="68">
                  <c:v>71.713583333333332</c:v>
                </c:pt>
                <c:pt idx="69">
                  <c:v>76.7199730820996</c:v>
                </c:pt>
                <c:pt idx="70">
                  <c:v>95.904597222222222</c:v>
                </c:pt>
                <c:pt idx="71">
                  <c:v>91.83743279569893</c:v>
                </c:pt>
                <c:pt idx="72">
                  <c:v>97.965967741935472</c:v>
                </c:pt>
                <c:pt idx="73">
                  <c:v>112.8479613095238</c:v>
                </c:pt>
                <c:pt idx="74">
                  <c:v>84.348845117845116</c:v>
                </c:pt>
                <c:pt idx="75">
                  <c:v>75.160472222222225</c:v>
                </c:pt>
                <c:pt idx="76">
                  <c:v>64.233413978494625</c:v>
                </c:pt>
                <c:pt idx="77">
                  <c:v>58.784624999999998</c:v>
                </c:pt>
                <c:pt idx="78">
                  <c:v>82.801922043010748</c:v>
                </c:pt>
                <c:pt idx="79">
                  <c:v>73.473763440860225</c:v>
                </c:pt>
                <c:pt idx="80">
                  <c:v>72.398680555555558</c:v>
                </c:pt>
                <c:pt idx="81">
                  <c:v>78.421800134589503</c:v>
                </c:pt>
                <c:pt idx="82">
                  <c:v>92.873392361111115</c:v>
                </c:pt>
                <c:pt idx="83">
                  <c:v>82.437466397849462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2F-0A4A-8C26-699A691C2B8E}"/>
            </c:ext>
          </c:extLst>
        </c:ser>
        <c:ser>
          <c:idx val="1"/>
          <c:order val="1"/>
          <c:tx>
            <c:strRef>
              <c:f>'Electricity Price Data'!$C$1</c:f>
              <c:strCache>
                <c:ptCount val="1"/>
                <c:pt idx="0">
                  <c:v>DK2 Spot Price (EUR/MWh)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'Electricity Price Data'!$C$2:$C$85</c:f>
              <c:numCache>
                <c:formatCode>General</c:formatCode>
                <c:ptCount val="84"/>
                <c:pt idx="0">
                  <c:v>51.655026881720417</c:v>
                </c:pt>
                <c:pt idx="1">
                  <c:v>43.932946428571427</c:v>
                </c:pt>
                <c:pt idx="2">
                  <c:v>35.667354925775967</c:v>
                </c:pt>
                <c:pt idx="3">
                  <c:v>39.892097222222233</c:v>
                </c:pt>
                <c:pt idx="4">
                  <c:v>38.151397849462363</c:v>
                </c:pt>
                <c:pt idx="5">
                  <c:v>33.622236111111107</c:v>
                </c:pt>
                <c:pt idx="6">
                  <c:v>39.000174731182803</c:v>
                </c:pt>
                <c:pt idx="7">
                  <c:v>39.493172043010752</c:v>
                </c:pt>
                <c:pt idx="8">
                  <c:v>37.321347222222222</c:v>
                </c:pt>
                <c:pt idx="9">
                  <c:v>41.599353970390311</c:v>
                </c:pt>
                <c:pt idx="10">
                  <c:v>42.696444444444452</c:v>
                </c:pt>
                <c:pt idx="11">
                  <c:v>35.34711021505376</c:v>
                </c:pt>
                <c:pt idx="12">
                  <c:v>27.385241935483869</c:v>
                </c:pt>
                <c:pt idx="13">
                  <c:v>18.816997126436782</c:v>
                </c:pt>
                <c:pt idx="14">
                  <c:v>20.05249662618084</c:v>
                </c:pt>
                <c:pt idx="15">
                  <c:v>17.354861111111109</c:v>
                </c:pt>
                <c:pt idx="16">
                  <c:v>19.04407258064516</c:v>
                </c:pt>
                <c:pt idx="17">
                  <c:v>29.82329166666667</c:v>
                </c:pt>
                <c:pt idx="18">
                  <c:v>25.886680107526882</c:v>
                </c:pt>
                <c:pt idx="19">
                  <c:v>40.923817204301074</c:v>
                </c:pt>
                <c:pt idx="20">
                  <c:v>39.51423611111111</c:v>
                </c:pt>
                <c:pt idx="21">
                  <c:v>26.933512786002691</c:v>
                </c:pt>
                <c:pt idx="22">
                  <c:v>35.711347222222223</c:v>
                </c:pt>
                <c:pt idx="23">
                  <c:v>39.257150537634409</c:v>
                </c:pt>
                <c:pt idx="24">
                  <c:v>50.858951612903233</c:v>
                </c:pt>
                <c:pt idx="25">
                  <c:v>54.54806547619048</c:v>
                </c:pt>
                <c:pt idx="26">
                  <c:v>46.732213225371119</c:v>
                </c:pt>
                <c:pt idx="27">
                  <c:v>47.862958333333339</c:v>
                </c:pt>
                <c:pt idx="28">
                  <c:v>55.208803763440862</c:v>
                </c:pt>
                <c:pt idx="29">
                  <c:v>73.58690277777778</c:v>
                </c:pt>
                <c:pt idx="30">
                  <c:v>81.44088709677419</c:v>
                </c:pt>
                <c:pt idx="31">
                  <c:v>84.363548387096785</c:v>
                </c:pt>
                <c:pt idx="32">
                  <c:v>123.9021111111111</c:v>
                </c:pt>
                <c:pt idx="33">
                  <c:v>106.9322745625841</c:v>
                </c:pt>
                <c:pt idx="34">
                  <c:v>136.38005555555549</c:v>
                </c:pt>
                <c:pt idx="35">
                  <c:v>191.06861559139779</c:v>
                </c:pt>
                <c:pt idx="36">
                  <c:v>111.62209677419349</c:v>
                </c:pt>
                <c:pt idx="37">
                  <c:v>100.2914136904762</c:v>
                </c:pt>
                <c:pt idx="38">
                  <c:v>227.92036437246961</c:v>
                </c:pt>
                <c:pt idx="39">
                  <c:v>152.83280555555561</c:v>
                </c:pt>
                <c:pt idx="40">
                  <c:v>162.65841397849459</c:v>
                </c:pt>
                <c:pt idx="41">
                  <c:v>213.2331388888889</c:v>
                </c:pt>
                <c:pt idx="42">
                  <c:v>233.47774193548389</c:v>
                </c:pt>
                <c:pt idx="43">
                  <c:v>449.7688306451613</c:v>
                </c:pt>
                <c:pt idx="44">
                  <c:v>328.80015277777778</c:v>
                </c:pt>
                <c:pt idx="45">
                  <c:v>136.89783310901751</c:v>
                </c:pt>
                <c:pt idx="46">
                  <c:v>145.05780555555549</c:v>
                </c:pt>
                <c:pt idx="47">
                  <c:v>248.88206989247311</c:v>
                </c:pt>
                <c:pt idx="48">
                  <c:v>99.762889784946225</c:v>
                </c:pt>
                <c:pt idx="49">
                  <c:v>100.6489285714286</c:v>
                </c:pt>
                <c:pt idx="50">
                  <c:v>89.795614035087723</c:v>
                </c:pt>
                <c:pt idx="51">
                  <c:v>83.651124999999993</c:v>
                </c:pt>
                <c:pt idx="52">
                  <c:v>66.151747311827961</c:v>
                </c:pt>
                <c:pt idx="53">
                  <c:v>91.423152777777773</c:v>
                </c:pt>
                <c:pt idx="54">
                  <c:v>65.24004032258064</c:v>
                </c:pt>
                <c:pt idx="55">
                  <c:v>86.293736559139788</c:v>
                </c:pt>
                <c:pt idx="56">
                  <c:v>85.484125000000006</c:v>
                </c:pt>
                <c:pt idx="57">
                  <c:v>56.925814266487208</c:v>
                </c:pt>
                <c:pt idx="58">
                  <c:v>81.486041666666665</c:v>
                </c:pt>
                <c:pt idx="59">
                  <c:v>70.879731182795695</c:v>
                </c:pt>
                <c:pt idx="60">
                  <c:v>78.214811827956993</c:v>
                </c:pt>
                <c:pt idx="61">
                  <c:v>54.722241379310347</c:v>
                </c:pt>
                <c:pt idx="62">
                  <c:v>61.040863697705802</c:v>
                </c:pt>
                <c:pt idx="63">
                  <c:v>60.476708333333328</c:v>
                </c:pt>
                <c:pt idx="64">
                  <c:v>58.122983870967737</c:v>
                </c:pt>
                <c:pt idx="65">
                  <c:v>66.79098611111111</c:v>
                </c:pt>
                <c:pt idx="66">
                  <c:v>62.841706989247307</c:v>
                </c:pt>
                <c:pt idx="67">
                  <c:v>72.614260752688182</c:v>
                </c:pt>
                <c:pt idx="68">
                  <c:v>70.411833333333334</c:v>
                </c:pt>
                <c:pt idx="69">
                  <c:v>76.326123822341856</c:v>
                </c:pt>
                <c:pt idx="70">
                  <c:v>95.282694444444431</c:v>
                </c:pt>
                <c:pt idx="71">
                  <c:v>92.728158602150543</c:v>
                </c:pt>
                <c:pt idx="72">
                  <c:v>100.1237365591398</c:v>
                </c:pt>
                <c:pt idx="73">
                  <c:v>117.9355505952381</c:v>
                </c:pt>
                <c:pt idx="74">
                  <c:v>82.846865319865316</c:v>
                </c:pt>
                <c:pt idx="75">
                  <c:v>75.806652777777785</c:v>
                </c:pt>
                <c:pt idx="76">
                  <c:v>63.082553763440863</c:v>
                </c:pt>
                <c:pt idx="77">
                  <c:v>56.448249999999987</c:v>
                </c:pt>
                <c:pt idx="78">
                  <c:v>79.959690860215062</c:v>
                </c:pt>
                <c:pt idx="79">
                  <c:v>75.315497311827954</c:v>
                </c:pt>
                <c:pt idx="80">
                  <c:v>83.288930555555552</c:v>
                </c:pt>
                <c:pt idx="81">
                  <c:v>82.368075370121133</c:v>
                </c:pt>
                <c:pt idx="82">
                  <c:v>93.695572916666663</c:v>
                </c:pt>
                <c:pt idx="83">
                  <c:v>82.081528897849466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2F-0A4A-8C26-699A691C2B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DK1 De-seasonalised Price Series (Primary)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'Electricity Price Data'!$E$1</c:f>
              <c:strCache>
                <c:ptCount val="1"/>
                <c:pt idx="0">
                  <c:v>DK1 De-seasonalised Price (EUR/MWh)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'Electricity Price Data'!$E$2:$E$85</c:f>
              <c:numCache>
                <c:formatCode>General</c:formatCode>
                <c:ptCount val="84"/>
                <c:pt idx="0">
                  <c:v>-25.234738863287252</c:v>
                </c:pt>
                <c:pt idx="1">
                  <c:v>-30.100228272343401</c:v>
                </c:pt>
                <c:pt idx="2">
                  <c:v>-48.899358826358807</c:v>
                </c:pt>
                <c:pt idx="3">
                  <c:v>-31.760585317460279</c:v>
                </c:pt>
                <c:pt idx="4">
                  <c:v>-30.622649769585269</c:v>
                </c:pt>
                <c:pt idx="5">
                  <c:v>-47.454873015873012</c:v>
                </c:pt>
                <c:pt idx="6">
                  <c:v>-50.913813364055301</c:v>
                </c:pt>
                <c:pt idx="7">
                  <c:v>-82.754126344086018</c:v>
                </c:pt>
                <c:pt idx="8">
                  <c:v>-74.756714285714281</c:v>
                </c:pt>
                <c:pt idx="9">
                  <c:v>-37.87848634877907</c:v>
                </c:pt>
                <c:pt idx="10">
                  <c:v>-47.388359623015852</c:v>
                </c:pt>
                <c:pt idx="11">
                  <c:v>-73.290233294930886</c:v>
                </c:pt>
                <c:pt idx="12">
                  <c:v>-50.535841013824893</c:v>
                </c:pt>
                <c:pt idx="13">
                  <c:v>-55.329114766596277</c:v>
                </c:pt>
                <c:pt idx="14">
                  <c:v>-64.205890540258949</c:v>
                </c:pt>
                <c:pt idx="15">
                  <c:v>-56.295224206349168</c:v>
                </c:pt>
                <c:pt idx="16">
                  <c:v>-51.998173963133659</c:v>
                </c:pt>
                <c:pt idx="17">
                  <c:v>-54.057817460317452</c:v>
                </c:pt>
                <c:pt idx="18">
                  <c:v>-65.111555299539162</c:v>
                </c:pt>
                <c:pt idx="19">
                  <c:v>-86.080537634408586</c:v>
                </c:pt>
                <c:pt idx="20">
                  <c:v>-71.60053373015873</c:v>
                </c:pt>
                <c:pt idx="21">
                  <c:v>-50.411137761968838</c:v>
                </c:pt>
                <c:pt idx="22">
                  <c:v>-65.378845734126969</c:v>
                </c:pt>
                <c:pt idx="23">
                  <c:v>-72.821080069124434</c:v>
                </c:pt>
                <c:pt idx="24">
                  <c:v>-25.32527649769585</c:v>
                </c:pt>
                <c:pt idx="25">
                  <c:v>-25.652683629486251</c:v>
                </c:pt>
                <c:pt idx="26">
                  <c:v>-37.378171242013337</c:v>
                </c:pt>
                <c:pt idx="27">
                  <c:v>-22.861890873015842</c:v>
                </c:pt>
                <c:pt idx="28">
                  <c:v>-13.74459869431645</c:v>
                </c:pt>
                <c:pt idx="29">
                  <c:v>-6.6142757936507914</c:v>
                </c:pt>
                <c:pt idx="30">
                  <c:v>-9.731877880184328</c:v>
                </c:pt>
                <c:pt idx="31">
                  <c:v>-37.831061827956987</c:v>
                </c:pt>
                <c:pt idx="32">
                  <c:v>15.228188492063509</c:v>
                </c:pt>
                <c:pt idx="33">
                  <c:v>40.813922803307079</c:v>
                </c:pt>
                <c:pt idx="34">
                  <c:v>52.664154265873037</c:v>
                </c:pt>
                <c:pt idx="35">
                  <c:v>82.017118855606753</c:v>
                </c:pt>
                <c:pt idx="36">
                  <c:v>42.464266513056842</c:v>
                </c:pt>
                <c:pt idx="37">
                  <c:v>40.206557441942309</c:v>
                </c:pt>
                <c:pt idx="38">
                  <c:v>153.31722686864791</c:v>
                </c:pt>
                <c:pt idx="39">
                  <c:v>92.808470238095268</c:v>
                </c:pt>
                <c:pt idx="40">
                  <c:v>103.8058717357911</c:v>
                </c:pt>
                <c:pt idx="41">
                  <c:v>134.09615476190481</c:v>
                </c:pt>
                <c:pt idx="42">
                  <c:v>185.3070468509984</c:v>
                </c:pt>
                <c:pt idx="43">
                  <c:v>336.13052419354841</c:v>
                </c:pt>
                <c:pt idx="44">
                  <c:v>232.6840773809524</c:v>
                </c:pt>
                <c:pt idx="45">
                  <c:v>60.905833974235733</c:v>
                </c:pt>
                <c:pt idx="46">
                  <c:v>50.570779265873028</c:v>
                </c:pt>
                <c:pt idx="47">
                  <c:v>142.3334091781874</c:v>
                </c:pt>
                <c:pt idx="48">
                  <c:v>37.011457373271902</c:v>
                </c:pt>
                <c:pt idx="49">
                  <c:v>45.22194434670422</c:v>
                </c:pt>
                <c:pt idx="50">
                  <c:v>16.60629569455887</c:v>
                </c:pt>
                <c:pt idx="51">
                  <c:v>25.44197023809528</c:v>
                </c:pt>
                <c:pt idx="52">
                  <c:v>5.9136136712749447</c:v>
                </c:pt>
                <c:pt idx="53">
                  <c:v>12.161335317460329</c:v>
                </c:pt>
                <c:pt idx="54">
                  <c:v>-24.919821428571421</c:v>
                </c:pt>
                <c:pt idx="55">
                  <c:v>-34.65271505376343</c:v>
                </c:pt>
                <c:pt idx="56">
                  <c:v>-25.39613095238094</c:v>
                </c:pt>
                <c:pt idx="57">
                  <c:v>-16.12012834070369</c:v>
                </c:pt>
                <c:pt idx="58">
                  <c:v>-0.97885962301585039</c:v>
                </c:pt>
                <c:pt idx="59">
                  <c:v>-37.849695660522272</c:v>
                </c:pt>
                <c:pt idx="60">
                  <c:v>-0.81545122887864352</c:v>
                </c:pt>
                <c:pt idx="61">
                  <c:v>-14.280249824067541</c:v>
                </c:pt>
                <c:pt idx="62">
                  <c:v>-21.28132913675017</c:v>
                </c:pt>
                <c:pt idx="63">
                  <c:v>-11.664210317460279</c:v>
                </c:pt>
                <c:pt idx="64">
                  <c:v>-9.5353110599078548</c:v>
                </c:pt>
                <c:pt idx="65">
                  <c:v>-16.581053571428559</c:v>
                </c:pt>
                <c:pt idx="66">
                  <c:v>-27.70077572964669</c:v>
                </c:pt>
                <c:pt idx="67">
                  <c:v>-47.666021505376342</c:v>
                </c:pt>
                <c:pt idx="68">
                  <c:v>-38.421992063492063</c:v>
                </c:pt>
                <c:pt idx="69">
                  <c:v>0.49408431070949632</c:v>
                </c:pt>
                <c:pt idx="70">
                  <c:v>6.7711681547619236</c:v>
                </c:pt>
                <c:pt idx="71">
                  <c:v>-15.49477630568356</c:v>
                </c:pt>
                <c:pt idx="72">
                  <c:v>22.4355837173579</c:v>
                </c:pt>
                <c:pt idx="73">
                  <c:v>39.933774703847078</c:v>
                </c:pt>
                <c:pt idx="74">
                  <c:v>1.8412271821745629</c:v>
                </c:pt>
                <c:pt idx="75">
                  <c:v>4.3314702380952781</c:v>
                </c:pt>
                <c:pt idx="76">
                  <c:v>-3.818751920122907</c:v>
                </c:pt>
                <c:pt idx="77">
                  <c:v>-21.549470238095228</c:v>
                </c:pt>
                <c:pt idx="78">
                  <c:v>-6.9292031490015384</c:v>
                </c:pt>
                <c:pt idx="79">
                  <c:v>-47.14606182795697</c:v>
                </c:pt>
                <c:pt idx="80">
                  <c:v>-37.73689484126983</c:v>
                </c:pt>
                <c:pt idx="81">
                  <c:v>2.1959113631994001</c:v>
                </c:pt>
                <c:pt idx="82">
                  <c:v>3.7399632936508169</c:v>
                </c:pt>
                <c:pt idx="83">
                  <c:v>-24.89474270353303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B86-CC40-99E6-D02A29E3A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  <c:txPr>
        <a:bodyPr/>
        <a:lstStyle/>
        <a:p>
          <a:pPr rtl="0">
            <a:defRPr/>
          </a:pPr>
          <a:endParaRPr lang="en-DK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Monthly Spot Prices - DK1 (Primary) and DK2 (Robustness)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'Electricity Price Data'!$B$1</c:f>
              <c:strCache>
                <c:ptCount val="1"/>
                <c:pt idx="0">
                  <c:v>DK1 Spot Price (EUR/MWh)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'Electricity Price Data'!$B$2:$B$85</c:f>
              <c:numCache>
                <c:formatCode>General</c:formatCode>
                <c:ptCount val="84"/>
                <c:pt idx="0">
                  <c:v>50.295645161290317</c:v>
                </c:pt>
                <c:pt idx="1">
                  <c:v>42.813958333333332</c:v>
                </c:pt>
                <c:pt idx="2">
                  <c:v>33.608259109311753</c:v>
                </c:pt>
                <c:pt idx="3">
                  <c:v>39.068416666666657</c:v>
                </c:pt>
                <c:pt idx="4">
                  <c:v>37.429516129032258</c:v>
                </c:pt>
                <c:pt idx="5">
                  <c:v>32.879222222222232</c:v>
                </c:pt>
                <c:pt idx="6">
                  <c:v>38.817311827956978</c:v>
                </c:pt>
                <c:pt idx="7">
                  <c:v>37.865698924731177</c:v>
                </c:pt>
                <c:pt idx="8">
                  <c:v>35.378861111111107</c:v>
                </c:pt>
                <c:pt idx="9">
                  <c:v>38.347402422611033</c:v>
                </c:pt>
                <c:pt idx="10">
                  <c:v>41.745069444444447</c:v>
                </c:pt>
                <c:pt idx="11">
                  <c:v>34.04197580645161</c:v>
                </c:pt>
                <c:pt idx="12">
                  <c:v>24.99454301075269</c:v>
                </c:pt>
                <c:pt idx="13">
                  <c:v>17.585071839080459</c:v>
                </c:pt>
                <c:pt idx="14">
                  <c:v>18.301727395411611</c:v>
                </c:pt>
                <c:pt idx="15">
                  <c:v>14.533777777777781</c:v>
                </c:pt>
                <c:pt idx="16">
                  <c:v>16.053991935483872</c:v>
                </c:pt>
                <c:pt idx="17">
                  <c:v>26.276277777777771</c:v>
                </c:pt>
                <c:pt idx="18">
                  <c:v>24.61956989247312</c:v>
                </c:pt>
                <c:pt idx="19">
                  <c:v>34.539287634408602</c:v>
                </c:pt>
                <c:pt idx="20">
                  <c:v>38.535041666666658</c:v>
                </c:pt>
                <c:pt idx="21">
                  <c:v>25.814751009421261</c:v>
                </c:pt>
                <c:pt idx="22">
                  <c:v>23.754583333333329</c:v>
                </c:pt>
                <c:pt idx="23">
                  <c:v>34.511129032258061</c:v>
                </c:pt>
                <c:pt idx="24">
                  <c:v>50.205107526881719</c:v>
                </c:pt>
                <c:pt idx="25">
                  <c:v>47.261502976190478</c:v>
                </c:pt>
                <c:pt idx="26">
                  <c:v>45.129446693657208</c:v>
                </c:pt>
                <c:pt idx="27">
                  <c:v>47.967111111111109</c:v>
                </c:pt>
                <c:pt idx="28">
                  <c:v>54.30756720430108</c:v>
                </c:pt>
                <c:pt idx="29">
                  <c:v>73.71981944444444</c:v>
                </c:pt>
                <c:pt idx="30">
                  <c:v>79.999247311827958</c:v>
                </c:pt>
                <c:pt idx="31">
                  <c:v>82.788763440860208</c:v>
                </c:pt>
                <c:pt idx="32">
                  <c:v>125.3637638888889</c:v>
                </c:pt>
                <c:pt idx="33">
                  <c:v>117.0398115746972</c:v>
                </c:pt>
                <c:pt idx="34">
                  <c:v>141.79758333333331</c:v>
                </c:pt>
                <c:pt idx="35">
                  <c:v>189.34932795698921</c:v>
                </c:pt>
                <c:pt idx="36">
                  <c:v>117.9946505376344</c:v>
                </c:pt>
                <c:pt idx="37">
                  <c:v>113.120744047619</c:v>
                </c:pt>
                <c:pt idx="38">
                  <c:v>235.8248448043185</c:v>
                </c:pt>
                <c:pt idx="39">
                  <c:v>163.63747222222219</c:v>
                </c:pt>
                <c:pt idx="40">
                  <c:v>171.85803763440859</c:v>
                </c:pt>
                <c:pt idx="41">
                  <c:v>214.43025</c:v>
                </c:pt>
                <c:pt idx="42">
                  <c:v>275.03817204301072</c:v>
                </c:pt>
                <c:pt idx="43">
                  <c:v>456.75034946236559</c:v>
                </c:pt>
                <c:pt idx="44">
                  <c:v>342.81965277777778</c:v>
                </c:pt>
                <c:pt idx="45">
                  <c:v>137.13172274562581</c:v>
                </c:pt>
                <c:pt idx="46">
                  <c:v>139.7042083333333</c:v>
                </c:pt>
                <c:pt idx="47">
                  <c:v>249.66561827956991</c:v>
                </c:pt>
                <c:pt idx="48">
                  <c:v>112.5418413978495</c:v>
                </c:pt>
                <c:pt idx="49">
                  <c:v>118.136130952381</c:v>
                </c:pt>
                <c:pt idx="50">
                  <c:v>99.113913630229419</c:v>
                </c:pt>
                <c:pt idx="51">
                  <c:v>96.270972222222227</c:v>
                </c:pt>
                <c:pt idx="52">
                  <c:v>73.965779569892476</c:v>
                </c:pt>
                <c:pt idx="53">
                  <c:v>92.495430555555558</c:v>
                </c:pt>
                <c:pt idx="54">
                  <c:v>64.811303763440861</c:v>
                </c:pt>
                <c:pt idx="55">
                  <c:v>85.967110215053765</c:v>
                </c:pt>
                <c:pt idx="56">
                  <c:v>84.739444444444445</c:v>
                </c:pt>
                <c:pt idx="57">
                  <c:v>60.105760430686409</c:v>
                </c:pt>
                <c:pt idx="58">
                  <c:v>88.154569444444448</c:v>
                </c:pt>
                <c:pt idx="59">
                  <c:v>69.482513440860217</c:v>
                </c:pt>
                <c:pt idx="60">
                  <c:v>74.714932795698928</c:v>
                </c:pt>
                <c:pt idx="61">
                  <c:v>58.633936781609187</c:v>
                </c:pt>
                <c:pt idx="62">
                  <c:v>61.226288798920379</c:v>
                </c:pt>
                <c:pt idx="63">
                  <c:v>59.164791666666673</c:v>
                </c:pt>
                <c:pt idx="64">
                  <c:v>58.516854838709683</c:v>
                </c:pt>
                <c:pt idx="65">
                  <c:v>63.753041666666668</c:v>
                </c:pt>
                <c:pt idx="66">
                  <c:v>62.030349462365592</c:v>
                </c:pt>
                <c:pt idx="67">
                  <c:v>72.95380376344086</c:v>
                </c:pt>
                <c:pt idx="68">
                  <c:v>71.713583333333332</c:v>
                </c:pt>
                <c:pt idx="69">
                  <c:v>76.7199730820996</c:v>
                </c:pt>
                <c:pt idx="70">
                  <c:v>95.904597222222222</c:v>
                </c:pt>
                <c:pt idx="71">
                  <c:v>91.83743279569893</c:v>
                </c:pt>
                <c:pt idx="72">
                  <c:v>97.965967741935472</c:v>
                </c:pt>
                <c:pt idx="73">
                  <c:v>112.8479613095238</c:v>
                </c:pt>
                <c:pt idx="74">
                  <c:v>84.348845117845116</c:v>
                </c:pt>
                <c:pt idx="75">
                  <c:v>75.160472222222225</c:v>
                </c:pt>
                <c:pt idx="76">
                  <c:v>64.233413978494625</c:v>
                </c:pt>
                <c:pt idx="77">
                  <c:v>58.784624999999998</c:v>
                </c:pt>
                <c:pt idx="78">
                  <c:v>82.801922043010748</c:v>
                </c:pt>
                <c:pt idx="79">
                  <c:v>73.473763440860225</c:v>
                </c:pt>
                <c:pt idx="80">
                  <c:v>72.398680555555558</c:v>
                </c:pt>
                <c:pt idx="81">
                  <c:v>78.421800134589503</c:v>
                </c:pt>
                <c:pt idx="82">
                  <c:v>92.873392361111115</c:v>
                </c:pt>
                <c:pt idx="83">
                  <c:v>82.437466397849462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982-5448-B424-401E522A0533}"/>
            </c:ext>
          </c:extLst>
        </c:ser>
        <c:ser>
          <c:idx val="1"/>
          <c:order val="1"/>
          <c:tx>
            <c:strRef>
              <c:f>'Electricity Price Data'!$C$1</c:f>
              <c:strCache>
                <c:ptCount val="1"/>
                <c:pt idx="0">
                  <c:v>DK2 Spot Price (EUR/MWh)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'Electricity Price Data'!$C$2:$C$85</c:f>
              <c:numCache>
                <c:formatCode>General</c:formatCode>
                <c:ptCount val="84"/>
                <c:pt idx="0">
                  <c:v>51.655026881720417</c:v>
                </c:pt>
                <c:pt idx="1">
                  <c:v>43.932946428571427</c:v>
                </c:pt>
                <c:pt idx="2">
                  <c:v>35.667354925775967</c:v>
                </c:pt>
                <c:pt idx="3">
                  <c:v>39.892097222222233</c:v>
                </c:pt>
                <c:pt idx="4">
                  <c:v>38.151397849462363</c:v>
                </c:pt>
                <c:pt idx="5">
                  <c:v>33.622236111111107</c:v>
                </c:pt>
                <c:pt idx="6">
                  <c:v>39.000174731182803</c:v>
                </c:pt>
                <c:pt idx="7">
                  <c:v>39.493172043010752</c:v>
                </c:pt>
                <c:pt idx="8">
                  <c:v>37.321347222222222</c:v>
                </c:pt>
                <c:pt idx="9">
                  <c:v>41.599353970390311</c:v>
                </c:pt>
                <c:pt idx="10">
                  <c:v>42.696444444444452</c:v>
                </c:pt>
                <c:pt idx="11">
                  <c:v>35.34711021505376</c:v>
                </c:pt>
                <c:pt idx="12">
                  <c:v>27.385241935483869</c:v>
                </c:pt>
                <c:pt idx="13">
                  <c:v>18.816997126436782</c:v>
                </c:pt>
                <c:pt idx="14">
                  <c:v>20.05249662618084</c:v>
                </c:pt>
                <c:pt idx="15">
                  <c:v>17.354861111111109</c:v>
                </c:pt>
                <c:pt idx="16">
                  <c:v>19.04407258064516</c:v>
                </c:pt>
                <c:pt idx="17">
                  <c:v>29.82329166666667</c:v>
                </c:pt>
                <c:pt idx="18">
                  <c:v>25.886680107526882</c:v>
                </c:pt>
                <c:pt idx="19">
                  <c:v>40.923817204301074</c:v>
                </c:pt>
                <c:pt idx="20">
                  <c:v>39.51423611111111</c:v>
                </c:pt>
                <c:pt idx="21">
                  <c:v>26.933512786002691</c:v>
                </c:pt>
                <c:pt idx="22">
                  <c:v>35.711347222222223</c:v>
                </c:pt>
                <c:pt idx="23">
                  <c:v>39.257150537634409</c:v>
                </c:pt>
                <c:pt idx="24">
                  <c:v>50.858951612903233</c:v>
                </c:pt>
                <c:pt idx="25">
                  <c:v>54.54806547619048</c:v>
                </c:pt>
                <c:pt idx="26">
                  <c:v>46.732213225371119</c:v>
                </c:pt>
                <c:pt idx="27">
                  <c:v>47.862958333333339</c:v>
                </c:pt>
                <c:pt idx="28">
                  <c:v>55.208803763440862</c:v>
                </c:pt>
                <c:pt idx="29">
                  <c:v>73.58690277777778</c:v>
                </c:pt>
                <c:pt idx="30">
                  <c:v>81.44088709677419</c:v>
                </c:pt>
                <c:pt idx="31">
                  <c:v>84.363548387096785</c:v>
                </c:pt>
                <c:pt idx="32">
                  <c:v>123.9021111111111</c:v>
                </c:pt>
                <c:pt idx="33">
                  <c:v>106.9322745625841</c:v>
                </c:pt>
                <c:pt idx="34">
                  <c:v>136.38005555555549</c:v>
                </c:pt>
                <c:pt idx="35">
                  <c:v>191.06861559139779</c:v>
                </c:pt>
                <c:pt idx="36">
                  <c:v>111.62209677419349</c:v>
                </c:pt>
                <c:pt idx="37">
                  <c:v>100.2914136904762</c:v>
                </c:pt>
                <c:pt idx="38">
                  <c:v>227.92036437246961</c:v>
                </c:pt>
                <c:pt idx="39">
                  <c:v>152.83280555555561</c:v>
                </c:pt>
                <c:pt idx="40">
                  <c:v>162.65841397849459</c:v>
                </c:pt>
                <c:pt idx="41">
                  <c:v>213.2331388888889</c:v>
                </c:pt>
                <c:pt idx="42">
                  <c:v>233.47774193548389</c:v>
                </c:pt>
                <c:pt idx="43">
                  <c:v>449.7688306451613</c:v>
                </c:pt>
                <c:pt idx="44">
                  <c:v>328.80015277777778</c:v>
                </c:pt>
                <c:pt idx="45">
                  <c:v>136.89783310901751</c:v>
                </c:pt>
                <c:pt idx="46">
                  <c:v>145.05780555555549</c:v>
                </c:pt>
                <c:pt idx="47">
                  <c:v>248.88206989247311</c:v>
                </c:pt>
                <c:pt idx="48">
                  <c:v>99.762889784946225</c:v>
                </c:pt>
                <c:pt idx="49">
                  <c:v>100.6489285714286</c:v>
                </c:pt>
                <c:pt idx="50">
                  <c:v>89.795614035087723</c:v>
                </c:pt>
                <c:pt idx="51">
                  <c:v>83.651124999999993</c:v>
                </c:pt>
                <c:pt idx="52">
                  <c:v>66.151747311827961</c:v>
                </c:pt>
                <c:pt idx="53">
                  <c:v>91.423152777777773</c:v>
                </c:pt>
                <c:pt idx="54">
                  <c:v>65.24004032258064</c:v>
                </c:pt>
                <c:pt idx="55">
                  <c:v>86.293736559139788</c:v>
                </c:pt>
                <c:pt idx="56">
                  <c:v>85.484125000000006</c:v>
                </c:pt>
                <c:pt idx="57">
                  <c:v>56.925814266487208</c:v>
                </c:pt>
                <c:pt idx="58">
                  <c:v>81.486041666666665</c:v>
                </c:pt>
                <c:pt idx="59">
                  <c:v>70.879731182795695</c:v>
                </c:pt>
                <c:pt idx="60">
                  <c:v>78.214811827956993</c:v>
                </c:pt>
                <c:pt idx="61">
                  <c:v>54.722241379310347</c:v>
                </c:pt>
                <c:pt idx="62">
                  <c:v>61.040863697705802</c:v>
                </c:pt>
                <c:pt idx="63">
                  <c:v>60.476708333333328</c:v>
                </c:pt>
                <c:pt idx="64">
                  <c:v>58.122983870967737</c:v>
                </c:pt>
                <c:pt idx="65">
                  <c:v>66.79098611111111</c:v>
                </c:pt>
                <c:pt idx="66">
                  <c:v>62.841706989247307</c:v>
                </c:pt>
                <c:pt idx="67">
                  <c:v>72.614260752688182</c:v>
                </c:pt>
                <c:pt idx="68">
                  <c:v>70.411833333333334</c:v>
                </c:pt>
                <c:pt idx="69">
                  <c:v>76.326123822341856</c:v>
                </c:pt>
                <c:pt idx="70">
                  <c:v>95.282694444444431</c:v>
                </c:pt>
                <c:pt idx="71">
                  <c:v>92.728158602150543</c:v>
                </c:pt>
                <c:pt idx="72">
                  <c:v>100.1237365591398</c:v>
                </c:pt>
                <c:pt idx="73">
                  <c:v>117.9355505952381</c:v>
                </c:pt>
                <c:pt idx="74">
                  <c:v>82.846865319865316</c:v>
                </c:pt>
                <c:pt idx="75">
                  <c:v>75.806652777777785</c:v>
                </c:pt>
                <c:pt idx="76">
                  <c:v>63.082553763440863</c:v>
                </c:pt>
                <c:pt idx="77">
                  <c:v>56.448249999999987</c:v>
                </c:pt>
                <c:pt idx="78">
                  <c:v>79.959690860215062</c:v>
                </c:pt>
                <c:pt idx="79">
                  <c:v>75.315497311827954</c:v>
                </c:pt>
                <c:pt idx="80">
                  <c:v>83.288930555555552</c:v>
                </c:pt>
                <c:pt idx="81">
                  <c:v>82.368075370121133</c:v>
                </c:pt>
                <c:pt idx="82">
                  <c:v>93.695572916666663</c:v>
                </c:pt>
                <c:pt idx="83">
                  <c:v>82.081528897849466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982-5448-B424-401E522A05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DK1 De-seasonalised Price Series (Primary)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'Electricity Price Data'!$E$1</c:f>
              <c:strCache>
                <c:ptCount val="1"/>
                <c:pt idx="0">
                  <c:v>DK1 De-seasonalised Price (EUR/MWh)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'Electricity Price Data'!$E$2:$E$85</c:f>
              <c:numCache>
                <c:formatCode>General</c:formatCode>
                <c:ptCount val="84"/>
                <c:pt idx="0">
                  <c:v>-25.234738863287252</c:v>
                </c:pt>
                <c:pt idx="1">
                  <c:v>-30.100228272343401</c:v>
                </c:pt>
                <c:pt idx="2">
                  <c:v>-48.899358826358807</c:v>
                </c:pt>
                <c:pt idx="3">
                  <c:v>-31.760585317460279</c:v>
                </c:pt>
                <c:pt idx="4">
                  <c:v>-30.622649769585269</c:v>
                </c:pt>
                <c:pt idx="5">
                  <c:v>-47.454873015873012</c:v>
                </c:pt>
                <c:pt idx="6">
                  <c:v>-50.913813364055301</c:v>
                </c:pt>
                <c:pt idx="7">
                  <c:v>-82.754126344086018</c:v>
                </c:pt>
                <c:pt idx="8">
                  <c:v>-74.756714285714281</c:v>
                </c:pt>
                <c:pt idx="9">
                  <c:v>-37.87848634877907</c:v>
                </c:pt>
                <c:pt idx="10">
                  <c:v>-47.388359623015852</c:v>
                </c:pt>
                <c:pt idx="11">
                  <c:v>-73.290233294930886</c:v>
                </c:pt>
                <c:pt idx="12">
                  <c:v>-50.535841013824893</c:v>
                </c:pt>
                <c:pt idx="13">
                  <c:v>-55.329114766596277</c:v>
                </c:pt>
                <c:pt idx="14">
                  <c:v>-64.205890540258949</c:v>
                </c:pt>
                <c:pt idx="15">
                  <c:v>-56.295224206349168</c:v>
                </c:pt>
                <c:pt idx="16">
                  <c:v>-51.998173963133659</c:v>
                </c:pt>
                <c:pt idx="17">
                  <c:v>-54.057817460317452</c:v>
                </c:pt>
                <c:pt idx="18">
                  <c:v>-65.111555299539162</c:v>
                </c:pt>
                <c:pt idx="19">
                  <c:v>-86.080537634408586</c:v>
                </c:pt>
                <c:pt idx="20">
                  <c:v>-71.60053373015873</c:v>
                </c:pt>
                <c:pt idx="21">
                  <c:v>-50.411137761968838</c:v>
                </c:pt>
                <c:pt idx="22">
                  <c:v>-65.378845734126969</c:v>
                </c:pt>
                <c:pt idx="23">
                  <c:v>-72.821080069124434</c:v>
                </c:pt>
                <c:pt idx="24">
                  <c:v>-25.32527649769585</c:v>
                </c:pt>
                <c:pt idx="25">
                  <c:v>-25.652683629486251</c:v>
                </c:pt>
                <c:pt idx="26">
                  <c:v>-37.378171242013337</c:v>
                </c:pt>
                <c:pt idx="27">
                  <c:v>-22.861890873015842</c:v>
                </c:pt>
                <c:pt idx="28">
                  <c:v>-13.74459869431645</c:v>
                </c:pt>
                <c:pt idx="29">
                  <c:v>-6.6142757936507914</c:v>
                </c:pt>
                <c:pt idx="30">
                  <c:v>-9.731877880184328</c:v>
                </c:pt>
                <c:pt idx="31">
                  <c:v>-37.831061827956987</c:v>
                </c:pt>
                <c:pt idx="32">
                  <c:v>15.228188492063509</c:v>
                </c:pt>
                <c:pt idx="33">
                  <c:v>40.813922803307079</c:v>
                </c:pt>
                <c:pt idx="34">
                  <c:v>52.664154265873037</c:v>
                </c:pt>
                <c:pt idx="35">
                  <c:v>82.017118855606753</c:v>
                </c:pt>
                <c:pt idx="36">
                  <c:v>42.464266513056842</c:v>
                </c:pt>
                <c:pt idx="37">
                  <c:v>40.206557441942309</c:v>
                </c:pt>
                <c:pt idx="38">
                  <c:v>153.31722686864791</c:v>
                </c:pt>
                <c:pt idx="39">
                  <c:v>92.808470238095268</c:v>
                </c:pt>
                <c:pt idx="40">
                  <c:v>103.8058717357911</c:v>
                </c:pt>
                <c:pt idx="41">
                  <c:v>134.09615476190481</c:v>
                </c:pt>
                <c:pt idx="42">
                  <c:v>185.3070468509984</c:v>
                </c:pt>
                <c:pt idx="43">
                  <c:v>336.13052419354841</c:v>
                </c:pt>
                <c:pt idx="44">
                  <c:v>232.6840773809524</c:v>
                </c:pt>
                <c:pt idx="45">
                  <c:v>60.905833974235733</c:v>
                </c:pt>
                <c:pt idx="46">
                  <c:v>50.570779265873028</c:v>
                </c:pt>
                <c:pt idx="47">
                  <c:v>142.3334091781874</c:v>
                </c:pt>
                <c:pt idx="48">
                  <c:v>37.011457373271902</c:v>
                </c:pt>
                <c:pt idx="49">
                  <c:v>45.22194434670422</c:v>
                </c:pt>
                <c:pt idx="50">
                  <c:v>16.60629569455887</c:v>
                </c:pt>
                <c:pt idx="51">
                  <c:v>25.44197023809528</c:v>
                </c:pt>
                <c:pt idx="52">
                  <c:v>5.9136136712749447</c:v>
                </c:pt>
                <c:pt idx="53">
                  <c:v>12.161335317460329</c:v>
                </c:pt>
                <c:pt idx="54">
                  <c:v>-24.919821428571421</c:v>
                </c:pt>
                <c:pt idx="55">
                  <c:v>-34.65271505376343</c:v>
                </c:pt>
                <c:pt idx="56">
                  <c:v>-25.39613095238094</c:v>
                </c:pt>
                <c:pt idx="57">
                  <c:v>-16.12012834070369</c:v>
                </c:pt>
                <c:pt idx="58">
                  <c:v>-0.97885962301585039</c:v>
                </c:pt>
                <c:pt idx="59">
                  <c:v>-37.849695660522272</c:v>
                </c:pt>
                <c:pt idx="60">
                  <c:v>-0.81545122887864352</c:v>
                </c:pt>
                <c:pt idx="61">
                  <c:v>-14.280249824067541</c:v>
                </c:pt>
                <c:pt idx="62">
                  <c:v>-21.28132913675017</c:v>
                </c:pt>
                <c:pt idx="63">
                  <c:v>-11.664210317460279</c:v>
                </c:pt>
                <c:pt idx="64">
                  <c:v>-9.5353110599078548</c:v>
                </c:pt>
                <c:pt idx="65">
                  <c:v>-16.581053571428559</c:v>
                </c:pt>
                <c:pt idx="66">
                  <c:v>-27.70077572964669</c:v>
                </c:pt>
                <c:pt idx="67">
                  <c:v>-47.666021505376342</c:v>
                </c:pt>
                <c:pt idx="68">
                  <c:v>-38.421992063492063</c:v>
                </c:pt>
                <c:pt idx="69">
                  <c:v>0.49408431070949632</c:v>
                </c:pt>
                <c:pt idx="70">
                  <c:v>6.7711681547619236</c:v>
                </c:pt>
                <c:pt idx="71">
                  <c:v>-15.49477630568356</c:v>
                </c:pt>
                <c:pt idx="72">
                  <c:v>22.4355837173579</c:v>
                </c:pt>
                <c:pt idx="73">
                  <c:v>39.933774703847078</c:v>
                </c:pt>
                <c:pt idx="74">
                  <c:v>1.8412271821745629</c:v>
                </c:pt>
                <c:pt idx="75">
                  <c:v>4.3314702380952781</c:v>
                </c:pt>
                <c:pt idx="76">
                  <c:v>-3.818751920122907</c:v>
                </c:pt>
                <c:pt idx="77">
                  <c:v>-21.549470238095228</c:v>
                </c:pt>
                <c:pt idx="78">
                  <c:v>-6.9292031490015384</c:v>
                </c:pt>
                <c:pt idx="79">
                  <c:v>-47.14606182795697</c:v>
                </c:pt>
                <c:pt idx="80">
                  <c:v>-37.73689484126983</c:v>
                </c:pt>
                <c:pt idx="81">
                  <c:v>2.1959113631994001</c:v>
                </c:pt>
                <c:pt idx="82">
                  <c:v>3.7399632936508169</c:v>
                </c:pt>
                <c:pt idx="83">
                  <c:v>-24.89474270353303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B32-EF4C-AD29-4DE9EA9B95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  <c:txPr>
        <a:bodyPr/>
        <a:lstStyle/>
        <a:p>
          <a:pPr rtl="0">
            <a:defRPr/>
          </a:pPr>
          <a:endParaRPr lang="en-DK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Monthly Spot Prices - DK1 (Primary) and DK2 (Robustness)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'Electricity Price Data'!$B$1</c:f>
              <c:strCache>
                <c:ptCount val="1"/>
                <c:pt idx="0">
                  <c:v>DK1 Spot Price (EUR/MWh)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'Electricity Price Data'!$B$2:$B$85</c:f>
              <c:numCache>
                <c:formatCode>General</c:formatCode>
                <c:ptCount val="84"/>
                <c:pt idx="0">
                  <c:v>50.295645161290317</c:v>
                </c:pt>
                <c:pt idx="1">
                  <c:v>42.813958333333332</c:v>
                </c:pt>
                <c:pt idx="2">
                  <c:v>33.608259109311753</c:v>
                </c:pt>
                <c:pt idx="3">
                  <c:v>39.068416666666657</c:v>
                </c:pt>
                <c:pt idx="4">
                  <c:v>37.429516129032258</c:v>
                </c:pt>
                <c:pt idx="5">
                  <c:v>32.879222222222232</c:v>
                </c:pt>
                <c:pt idx="6">
                  <c:v>38.817311827956978</c:v>
                </c:pt>
                <c:pt idx="7">
                  <c:v>37.865698924731177</c:v>
                </c:pt>
                <c:pt idx="8">
                  <c:v>35.378861111111107</c:v>
                </c:pt>
                <c:pt idx="9">
                  <c:v>38.347402422611033</c:v>
                </c:pt>
                <c:pt idx="10">
                  <c:v>41.745069444444447</c:v>
                </c:pt>
                <c:pt idx="11">
                  <c:v>34.04197580645161</c:v>
                </c:pt>
                <c:pt idx="12">
                  <c:v>24.99454301075269</c:v>
                </c:pt>
                <c:pt idx="13">
                  <c:v>17.585071839080459</c:v>
                </c:pt>
                <c:pt idx="14">
                  <c:v>18.301727395411611</c:v>
                </c:pt>
                <c:pt idx="15">
                  <c:v>14.533777777777781</c:v>
                </c:pt>
                <c:pt idx="16">
                  <c:v>16.053991935483872</c:v>
                </c:pt>
                <c:pt idx="17">
                  <c:v>26.276277777777771</c:v>
                </c:pt>
                <c:pt idx="18">
                  <c:v>24.61956989247312</c:v>
                </c:pt>
                <c:pt idx="19">
                  <c:v>34.539287634408602</c:v>
                </c:pt>
                <c:pt idx="20">
                  <c:v>38.535041666666658</c:v>
                </c:pt>
                <c:pt idx="21">
                  <c:v>25.814751009421261</c:v>
                </c:pt>
                <c:pt idx="22">
                  <c:v>23.754583333333329</c:v>
                </c:pt>
                <c:pt idx="23">
                  <c:v>34.511129032258061</c:v>
                </c:pt>
                <c:pt idx="24">
                  <c:v>50.205107526881719</c:v>
                </c:pt>
                <c:pt idx="25">
                  <c:v>47.261502976190478</c:v>
                </c:pt>
                <c:pt idx="26">
                  <c:v>45.129446693657208</c:v>
                </c:pt>
                <c:pt idx="27">
                  <c:v>47.967111111111109</c:v>
                </c:pt>
                <c:pt idx="28">
                  <c:v>54.30756720430108</c:v>
                </c:pt>
                <c:pt idx="29">
                  <c:v>73.71981944444444</c:v>
                </c:pt>
                <c:pt idx="30">
                  <c:v>79.999247311827958</c:v>
                </c:pt>
                <c:pt idx="31">
                  <c:v>82.788763440860208</c:v>
                </c:pt>
                <c:pt idx="32">
                  <c:v>125.3637638888889</c:v>
                </c:pt>
                <c:pt idx="33">
                  <c:v>117.0398115746972</c:v>
                </c:pt>
                <c:pt idx="34">
                  <c:v>141.79758333333331</c:v>
                </c:pt>
                <c:pt idx="35">
                  <c:v>189.34932795698921</c:v>
                </c:pt>
                <c:pt idx="36">
                  <c:v>117.9946505376344</c:v>
                </c:pt>
                <c:pt idx="37">
                  <c:v>113.120744047619</c:v>
                </c:pt>
                <c:pt idx="38">
                  <c:v>235.8248448043185</c:v>
                </c:pt>
                <c:pt idx="39">
                  <c:v>163.63747222222219</c:v>
                </c:pt>
                <c:pt idx="40">
                  <c:v>171.85803763440859</c:v>
                </c:pt>
                <c:pt idx="41">
                  <c:v>214.43025</c:v>
                </c:pt>
                <c:pt idx="42">
                  <c:v>275.03817204301072</c:v>
                </c:pt>
                <c:pt idx="43">
                  <c:v>456.75034946236559</c:v>
                </c:pt>
                <c:pt idx="44">
                  <c:v>342.81965277777778</c:v>
                </c:pt>
                <c:pt idx="45">
                  <c:v>137.13172274562581</c:v>
                </c:pt>
                <c:pt idx="46">
                  <c:v>139.7042083333333</c:v>
                </c:pt>
                <c:pt idx="47">
                  <c:v>249.66561827956991</c:v>
                </c:pt>
                <c:pt idx="48">
                  <c:v>112.5418413978495</c:v>
                </c:pt>
                <c:pt idx="49">
                  <c:v>118.136130952381</c:v>
                </c:pt>
                <c:pt idx="50">
                  <c:v>99.113913630229419</c:v>
                </c:pt>
                <c:pt idx="51">
                  <c:v>96.270972222222227</c:v>
                </c:pt>
                <c:pt idx="52">
                  <c:v>73.965779569892476</c:v>
                </c:pt>
                <c:pt idx="53">
                  <c:v>92.495430555555558</c:v>
                </c:pt>
                <c:pt idx="54">
                  <c:v>64.811303763440861</c:v>
                </c:pt>
                <c:pt idx="55">
                  <c:v>85.967110215053765</c:v>
                </c:pt>
                <c:pt idx="56">
                  <c:v>84.739444444444445</c:v>
                </c:pt>
                <c:pt idx="57">
                  <c:v>60.105760430686409</c:v>
                </c:pt>
                <c:pt idx="58">
                  <c:v>88.154569444444448</c:v>
                </c:pt>
                <c:pt idx="59">
                  <c:v>69.482513440860217</c:v>
                </c:pt>
                <c:pt idx="60">
                  <c:v>74.714932795698928</c:v>
                </c:pt>
                <c:pt idx="61">
                  <c:v>58.633936781609187</c:v>
                </c:pt>
                <c:pt idx="62">
                  <c:v>61.226288798920379</c:v>
                </c:pt>
                <c:pt idx="63">
                  <c:v>59.164791666666673</c:v>
                </c:pt>
                <c:pt idx="64">
                  <c:v>58.516854838709683</c:v>
                </c:pt>
                <c:pt idx="65">
                  <c:v>63.753041666666668</c:v>
                </c:pt>
                <c:pt idx="66">
                  <c:v>62.030349462365592</c:v>
                </c:pt>
                <c:pt idx="67">
                  <c:v>72.95380376344086</c:v>
                </c:pt>
                <c:pt idx="68">
                  <c:v>71.713583333333332</c:v>
                </c:pt>
                <c:pt idx="69">
                  <c:v>76.7199730820996</c:v>
                </c:pt>
                <c:pt idx="70">
                  <c:v>95.904597222222222</c:v>
                </c:pt>
                <c:pt idx="71">
                  <c:v>91.83743279569893</c:v>
                </c:pt>
                <c:pt idx="72">
                  <c:v>97.965967741935472</c:v>
                </c:pt>
                <c:pt idx="73">
                  <c:v>112.8479613095238</c:v>
                </c:pt>
                <c:pt idx="74">
                  <c:v>84.348845117845116</c:v>
                </c:pt>
                <c:pt idx="75">
                  <c:v>75.160472222222225</c:v>
                </c:pt>
                <c:pt idx="76">
                  <c:v>64.233413978494625</c:v>
                </c:pt>
                <c:pt idx="77">
                  <c:v>58.784624999999998</c:v>
                </c:pt>
                <c:pt idx="78">
                  <c:v>82.801922043010748</c:v>
                </c:pt>
                <c:pt idx="79">
                  <c:v>73.473763440860225</c:v>
                </c:pt>
                <c:pt idx="80">
                  <c:v>72.398680555555558</c:v>
                </c:pt>
                <c:pt idx="81">
                  <c:v>78.421800134589503</c:v>
                </c:pt>
                <c:pt idx="82">
                  <c:v>92.873392361111115</c:v>
                </c:pt>
                <c:pt idx="83">
                  <c:v>82.437466397849462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36D-184F-8549-779FB6C0A523}"/>
            </c:ext>
          </c:extLst>
        </c:ser>
        <c:ser>
          <c:idx val="1"/>
          <c:order val="1"/>
          <c:tx>
            <c:strRef>
              <c:f>'Electricity Price Data'!$C$1</c:f>
              <c:strCache>
                <c:ptCount val="1"/>
                <c:pt idx="0">
                  <c:v>DK2 Spot Price (EUR/MWh)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'Electricity Price Data'!$C$2:$C$85</c:f>
              <c:numCache>
                <c:formatCode>General</c:formatCode>
                <c:ptCount val="84"/>
                <c:pt idx="0">
                  <c:v>51.655026881720417</c:v>
                </c:pt>
                <c:pt idx="1">
                  <c:v>43.932946428571427</c:v>
                </c:pt>
                <c:pt idx="2">
                  <c:v>35.667354925775967</c:v>
                </c:pt>
                <c:pt idx="3">
                  <c:v>39.892097222222233</c:v>
                </c:pt>
                <c:pt idx="4">
                  <c:v>38.151397849462363</c:v>
                </c:pt>
                <c:pt idx="5">
                  <c:v>33.622236111111107</c:v>
                </c:pt>
                <c:pt idx="6">
                  <c:v>39.000174731182803</c:v>
                </c:pt>
                <c:pt idx="7">
                  <c:v>39.493172043010752</c:v>
                </c:pt>
                <c:pt idx="8">
                  <c:v>37.321347222222222</c:v>
                </c:pt>
                <c:pt idx="9">
                  <c:v>41.599353970390311</c:v>
                </c:pt>
                <c:pt idx="10">
                  <c:v>42.696444444444452</c:v>
                </c:pt>
                <c:pt idx="11">
                  <c:v>35.34711021505376</c:v>
                </c:pt>
                <c:pt idx="12">
                  <c:v>27.385241935483869</c:v>
                </c:pt>
                <c:pt idx="13">
                  <c:v>18.816997126436782</c:v>
                </c:pt>
                <c:pt idx="14">
                  <c:v>20.05249662618084</c:v>
                </c:pt>
                <c:pt idx="15">
                  <c:v>17.354861111111109</c:v>
                </c:pt>
                <c:pt idx="16">
                  <c:v>19.04407258064516</c:v>
                </c:pt>
                <c:pt idx="17">
                  <c:v>29.82329166666667</c:v>
                </c:pt>
                <c:pt idx="18">
                  <c:v>25.886680107526882</c:v>
                </c:pt>
                <c:pt idx="19">
                  <c:v>40.923817204301074</c:v>
                </c:pt>
                <c:pt idx="20">
                  <c:v>39.51423611111111</c:v>
                </c:pt>
                <c:pt idx="21">
                  <c:v>26.933512786002691</c:v>
                </c:pt>
                <c:pt idx="22">
                  <c:v>35.711347222222223</c:v>
                </c:pt>
                <c:pt idx="23">
                  <c:v>39.257150537634409</c:v>
                </c:pt>
                <c:pt idx="24">
                  <c:v>50.858951612903233</c:v>
                </c:pt>
                <c:pt idx="25">
                  <c:v>54.54806547619048</c:v>
                </c:pt>
                <c:pt idx="26">
                  <c:v>46.732213225371119</c:v>
                </c:pt>
                <c:pt idx="27">
                  <c:v>47.862958333333339</c:v>
                </c:pt>
                <c:pt idx="28">
                  <c:v>55.208803763440862</c:v>
                </c:pt>
                <c:pt idx="29">
                  <c:v>73.58690277777778</c:v>
                </c:pt>
                <c:pt idx="30">
                  <c:v>81.44088709677419</c:v>
                </c:pt>
                <c:pt idx="31">
                  <c:v>84.363548387096785</c:v>
                </c:pt>
                <c:pt idx="32">
                  <c:v>123.9021111111111</c:v>
                </c:pt>
                <c:pt idx="33">
                  <c:v>106.9322745625841</c:v>
                </c:pt>
                <c:pt idx="34">
                  <c:v>136.38005555555549</c:v>
                </c:pt>
                <c:pt idx="35">
                  <c:v>191.06861559139779</c:v>
                </c:pt>
                <c:pt idx="36">
                  <c:v>111.62209677419349</c:v>
                </c:pt>
                <c:pt idx="37">
                  <c:v>100.2914136904762</c:v>
                </c:pt>
                <c:pt idx="38">
                  <c:v>227.92036437246961</c:v>
                </c:pt>
                <c:pt idx="39">
                  <c:v>152.83280555555561</c:v>
                </c:pt>
                <c:pt idx="40">
                  <c:v>162.65841397849459</c:v>
                </c:pt>
                <c:pt idx="41">
                  <c:v>213.2331388888889</c:v>
                </c:pt>
                <c:pt idx="42">
                  <c:v>233.47774193548389</c:v>
                </c:pt>
                <c:pt idx="43">
                  <c:v>449.7688306451613</c:v>
                </c:pt>
                <c:pt idx="44">
                  <c:v>328.80015277777778</c:v>
                </c:pt>
                <c:pt idx="45">
                  <c:v>136.89783310901751</c:v>
                </c:pt>
                <c:pt idx="46">
                  <c:v>145.05780555555549</c:v>
                </c:pt>
                <c:pt idx="47">
                  <c:v>248.88206989247311</c:v>
                </c:pt>
                <c:pt idx="48">
                  <c:v>99.762889784946225</c:v>
                </c:pt>
                <c:pt idx="49">
                  <c:v>100.6489285714286</c:v>
                </c:pt>
                <c:pt idx="50">
                  <c:v>89.795614035087723</c:v>
                </c:pt>
                <c:pt idx="51">
                  <c:v>83.651124999999993</c:v>
                </c:pt>
                <c:pt idx="52">
                  <c:v>66.151747311827961</c:v>
                </c:pt>
                <c:pt idx="53">
                  <c:v>91.423152777777773</c:v>
                </c:pt>
                <c:pt idx="54">
                  <c:v>65.24004032258064</c:v>
                </c:pt>
                <c:pt idx="55">
                  <c:v>86.293736559139788</c:v>
                </c:pt>
                <c:pt idx="56">
                  <c:v>85.484125000000006</c:v>
                </c:pt>
                <c:pt idx="57">
                  <c:v>56.925814266487208</c:v>
                </c:pt>
                <c:pt idx="58">
                  <c:v>81.486041666666665</c:v>
                </c:pt>
                <c:pt idx="59">
                  <c:v>70.879731182795695</c:v>
                </c:pt>
                <c:pt idx="60">
                  <c:v>78.214811827956993</c:v>
                </c:pt>
                <c:pt idx="61">
                  <c:v>54.722241379310347</c:v>
                </c:pt>
                <c:pt idx="62">
                  <c:v>61.040863697705802</c:v>
                </c:pt>
                <c:pt idx="63">
                  <c:v>60.476708333333328</c:v>
                </c:pt>
                <c:pt idx="64">
                  <c:v>58.122983870967737</c:v>
                </c:pt>
                <c:pt idx="65">
                  <c:v>66.79098611111111</c:v>
                </c:pt>
                <c:pt idx="66">
                  <c:v>62.841706989247307</c:v>
                </c:pt>
                <c:pt idx="67">
                  <c:v>72.614260752688182</c:v>
                </c:pt>
                <c:pt idx="68">
                  <c:v>70.411833333333334</c:v>
                </c:pt>
                <c:pt idx="69">
                  <c:v>76.326123822341856</c:v>
                </c:pt>
                <c:pt idx="70">
                  <c:v>95.282694444444431</c:v>
                </c:pt>
                <c:pt idx="71">
                  <c:v>92.728158602150543</c:v>
                </c:pt>
                <c:pt idx="72">
                  <c:v>100.1237365591398</c:v>
                </c:pt>
                <c:pt idx="73">
                  <c:v>117.9355505952381</c:v>
                </c:pt>
                <c:pt idx="74">
                  <c:v>82.846865319865316</c:v>
                </c:pt>
                <c:pt idx="75">
                  <c:v>75.806652777777785</c:v>
                </c:pt>
                <c:pt idx="76">
                  <c:v>63.082553763440863</c:v>
                </c:pt>
                <c:pt idx="77">
                  <c:v>56.448249999999987</c:v>
                </c:pt>
                <c:pt idx="78">
                  <c:v>79.959690860215062</c:v>
                </c:pt>
                <c:pt idx="79">
                  <c:v>75.315497311827954</c:v>
                </c:pt>
                <c:pt idx="80">
                  <c:v>83.288930555555552</c:v>
                </c:pt>
                <c:pt idx="81">
                  <c:v>82.368075370121133</c:v>
                </c:pt>
                <c:pt idx="82">
                  <c:v>93.695572916666663</c:v>
                </c:pt>
                <c:pt idx="83">
                  <c:v>82.081528897849466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36D-184F-8549-779FB6C0A5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DK1 De-seasonalised Price Series (Primary)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'Electricity Price Data'!$E$1</c:f>
              <c:strCache>
                <c:ptCount val="1"/>
                <c:pt idx="0">
                  <c:v>DK1 De-seasonalised Price (EUR/MWh)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'Electricity Price Data'!$E$2:$E$85</c:f>
              <c:numCache>
                <c:formatCode>General</c:formatCode>
                <c:ptCount val="84"/>
                <c:pt idx="0">
                  <c:v>-25.234738863287252</c:v>
                </c:pt>
                <c:pt idx="1">
                  <c:v>-30.100228272343401</c:v>
                </c:pt>
                <c:pt idx="2">
                  <c:v>-48.899358826358807</c:v>
                </c:pt>
                <c:pt idx="3">
                  <c:v>-31.760585317460279</c:v>
                </c:pt>
                <c:pt idx="4">
                  <c:v>-30.622649769585269</c:v>
                </c:pt>
                <c:pt idx="5">
                  <c:v>-47.454873015873012</c:v>
                </c:pt>
                <c:pt idx="6">
                  <c:v>-50.913813364055301</c:v>
                </c:pt>
                <c:pt idx="7">
                  <c:v>-82.754126344086018</c:v>
                </c:pt>
                <c:pt idx="8">
                  <c:v>-74.756714285714281</c:v>
                </c:pt>
                <c:pt idx="9">
                  <c:v>-37.87848634877907</c:v>
                </c:pt>
                <c:pt idx="10">
                  <c:v>-47.388359623015852</c:v>
                </c:pt>
                <c:pt idx="11">
                  <c:v>-73.290233294930886</c:v>
                </c:pt>
                <c:pt idx="12">
                  <c:v>-50.535841013824893</c:v>
                </c:pt>
                <c:pt idx="13">
                  <c:v>-55.329114766596277</c:v>
                </c:pt>
                <c:pt idx="14">
                  <c:v>-64.205890540258949</c:v>
                </c:pt>
                <c:pt idx="15">
                  <c:v>-56.295224206349168</c:v>
                </c:pt>
                <c:pt idx="16">
                  <c:v>-51.998173963133659</c:v>
                </c:pt>
                <c:pt idx="17">
                  <c:v>-54.057817460317452</c:v>
                </c:pt>
                <c:pt idx="18">
                  <c:v>-65.111555299539162</c:v>
                </c:pt>
                <c:pt idx="19">
                  <c:v>-86.080537634408586</c:v>
                </c:pt>
                <c:pt idx="20">
                  <c:v>-71.60053373015873</c:v>
                </c:pt>
                <c:pt idx="21">
                  <c:v>-50.411137761968838</c:v>
                </c:pt>
                <c:pt idx="22">
                  <c:v>-65.378845734126969</c:v>
                </c:pt>
                <c:pt idx="23">
                  <c:v>-72.821080069124434</c:v>
                </c:pt>
                <c:pt idx="24">
                  <c:v>-25.32527649769585</c:v>
                </c:pt>
                <c:pt idx="25">
                  <c:v>-25.652683629486251</c:v>
                </c:pt>
                <c:pt idx="26">
                  <c:v>-37.378171242013337</c:v>
                </c:pt>
                <c:pt idx="27">
                  <c:v>-22.861890873015842</c:v>
                </c:pt>
                <c:pt idx="28">
                  <c:v>-13.74459869431645</c:v>
                </c:pt>
                <c:pt idx="29">
                  <c:v>-6.6142757936507914</c:v>
                </c:pt>
                <c:pt idx="30">
                  <c:v>-9.731877880184328</c:v>
                </c:pt>
                <c:pt idx="31">
                  <c:v>-37.831061827956987</c:v>
                </c:pt>
                <c:pt idx="32">
                  <c:v>15.228188492063509</c:v>
                </c:pt>
                <c:pt idx="33">
                  <c:v>40.813922803307079</c:v>
                </c:pt>
                <c:pt idx="34">
                  <c:v>52.664154265873037</c:v>
                </c:pt>
                <c:pt idx="35">
                  <c:v>82.017118855606753</c:v>
                </c:pt>
                <c:pt idx="36">
                  <c:v>42.464266513056842</c:v>
                </c:pt>
                <c:pt idx="37">
                  <c:v>40.206557441942309</c:v>
                </c:pt>
                <c:pt idx="38">
                  <c:v>153.31722686864791</c:v>
                </c:pt>
                <c:pt idx="39">
                  <c:v>92.808470238095268</c:v>
                </c:pt>
                <c:pt idx="40">
                  <c:v>103.8058717357911</c:v>
                </c:pt>
                <c:pt idx="41">
                  <c:v>134.09615476190481</c:v>
                </c:pt>
                <c:pt idx="42">
                  <c:v>185.3070468509984</c:v>
                </c:pt>
                <c:pt idx="43">
                  <c:v>336.13052419354841</c:v>
                </c:pt>
                <c:pt idx="44">
                  <c:v>232.6840773809524</c:v>
                </c:pt>
                <c:pt idx="45">
                  <c:v>60.905833974235733</c:v>
                </c:pt>
                <c:pt idx="46">
                  <c:v>50.570779265873028</c:v>
                </c:pt>
                <c:pt idx="47">
                  <c:v>142.3334091781874</c:v>
                </c:pt>
                <c:pt idx="48">
                  <c:v>37.011457373271902</c:v>
                </c:pt>
                <c:pt idx="49">
                  <c:v>45.22194434670422</c:v>
                </c:pt>
                <c:pt idx="50">
                  <c:v>16.60629569455887</c:v>
                </c:pt>
                <c:pt idx="51">
                  <c:v>25.44197023809528</c:v>
                </c:pt>
                <c:pt idx="52">
                  <c:v>5.9136136712749447</c:v>
                </c:pt>
                <c:pt idx="53">
                  <c:v>12.161335317460329</c:v>
                </c:pt>
                <c:pt idx="54">
                  <c:v>-24.919821428571421</c:v>
                </c:pt>
                <c:pt idx="55">
                  <c:v>-34.65271505376343</c:v>
                </c:pt>
                <c:pt idx="56">
                  <c:v>-25.39613095238094</c:v>
                </c:pt>
                <c:pt idx="57">
                  <c:v>-16.12012834070369</c:v>
                </c:pt>
                <c:pt idx="58">
                  <c:v>-0.97885962301585039</c:v>
                </c:pt>
                <c:pt idx="59">
                  <c:v>-37.849695660522272</c:v>
                </c:pt>
                <c:pt idx="60">
                  <c:v>-0.81545122887864352</c:v>
                </c:pt>
                <c:pt idx="61">
                  <c:v>-14.280249824067541</c:v>
                </c:pt>
                <c:pt idx="62">
                  <c:v>-21.28132913675017</c:v>
                </c:pt>
                <c:pt idx="63">
                  <c:v>-11.664210317460279</c:v>
                </c:pt>
                <c:pt idx="64">
                  <c:v>-9.5353110599078548</c:v>
                </c:pt>
                <c:pt idx="65">
                  <c:v>-16.581053571428559</c:v>
                </c:pt>
                <c:pt idx="66">
                  <c:v>-27.70077572964669</c:v>
                </c:pt>
                <c:pt idx="67">
                  <c:v>-47.666021505376342</c:v>
                </c:pt>
                <c:pt idx="68">
                  <c:v>-38.421992063492063</c:v>
                </c:pt>
                <c:pt idx="69">
                  <c:v>0.49408431070949632</c:v>
                </c:pt>
                <c:pt idx="70">
                  <c:v>6.7711681547619236</c:v>
                </c:pt>
                <c:pt idx="71">
                  <c:v>-15.49477630568356</c:v>
                </c:pt>
                <c:pt idx="72">
                  <c:v>22.4355837173579</c:v>
                </c:pt>
                <c:pt idx="73">
                  <c:v>39.933774703847078</c:v>
                </c:pt>
                <c:pt idx="74">
                  <c:v>1.8412271821745629</c:v>
                </c:pt>
                <c:pt idx="75">
                  <c:v>4.3314702380952781</c:v>
                </c:pt>
                <c:pt idx="76">
                  <c:v>-3.818751920122907</c:v>
                </c:pt>
                <c:pt idx="77">
                  <c:v>-21.549470238095228</c:v>
                </c:pt>
                <c:pt idx="78">
                  <c:v>-6.9292031490015384</c:v>
                </c:pt>
                <c:pt idx="79">
                  <c:v>-47.14606182795697</c:v>
                </c:pt>
                <c:pt idx="80">
                  <c:v>-37.73689484126983</c:v>
                </c:pt>
                <c:pt idx="81">
                  <c:v>2.1959113631994001</c:v>
                </c:pt>
                <c:pt idx="82">
                  <c:v>3.7399632936508169</c:v>
                </c:pt>
                <c:pt idx="83">
                  <c:v>-24.89474270353303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3FD-3047-8084-1EBE1138D2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  <c:txPr>
        <a:bodyPr/>
        <a:lstStyle/>
        <a:p>
          <a:pPr rtl="0">
            <a:defRPr/>
          </a:pPr>
          <a:endParaRPr lang="en-DK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Monthly Spot Prices - DK1 (Primary) and DK2 (Robustness)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'Electricity Price Data'!$B$1</c:f>
              <c:strCache>
                <c:ptCount val="1"/>
                <c:pt idx="0">
                  <c:v>DK1 Spot Price (EUR/MWh)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'Electricity Price Data'!$B$2:$B$85</c:f>
              <c:numCache>
                <c:formatCode>General</c:formatCode>
                <c:ptCount val="84"/>
                <c:pt idx="0">
                  <c:v>50.295645161290317</c:v>
                </c:pt>
                <c:pt idx="1">
                  <c:v>42.813958333333332</c:v>
                </c:pt>
                <c:pt idx="2">
                  <c:v>33.608259109311753</c:v>
                </c:pt>
                <c:pt idx="3">
                  <c:v>39.068416666666657</c:v>
                </c:pt>
                <c:pt idx="4">
                  <c:v>37.429516129032258</c:v>
                </c:pt>
                <c:pt idx="5">
                  <c:v>32.879222222222232</c:v>
                </c:pt>
                <c:pt idx="6">
                  <c:v>38.817311827956978</c:v>
                </c:pt>
                <c:pt idx="7">
                  <c:v>37.865698924731177</c:v>
                </c:pt>
                <c:pt idx="8">
                  <c:v>35.378861111111107</c:v>
                </c:pt>
                <c:pt idx="9">
                  <c:v>38.347402422611033</c:v>
                </c:pt>
                <c:pt idx="10">
                  <c:v>41.745069444444447</c:v>
                </c:pt>
                <c:pt idx="11">
                  <c:v>34.04197580645161</c:v>
                </c:pt>
                <c:pt idx="12">
                  <c:v>24.99454301075269</c:v>
                </c:pt>
                <c:pt idx="13">
                  <c:v>17.585071839080459</c:v>
                </c:pt>
                <c:pt idx="14">
                  <c:v>18.301727395411611</c:v>
                </c:pt>
                <c:pt idx="15">
                  <c:v>14.533777777777781</c:v>
                </c:pt>
                <c:pt idx="16">
                  <c:v>16.053991935483872</c:v>
                </c:pt>
                <c:pt idx="17">
                  <c:v>26.276277777777771</c:v>
                </c:pt>
                <c:pt idx="18">
                  <c:v>24.61956989247312</c:v>
                </c:pt>
                <c:pt idx="19">
                  <c:v>34.539287634408602</c:v>
                </c:pt>
                <c:pt idx="20">
                  <c:v>38.535041666666658</c:v>
                </c:pt>
                <c:pt idx="21">
                  <c:v>25.814751009421261</c:v>
                </c:pt>
                <c:pt idx="22">
                  <c:v>23.754583333333329</c:v>
                </c:pt>
                <c:pt idx="23">
                  <c:v>34.511129032258061</c:v>
                </c:pt>
                <c:pt idx="24">
                  <c:v>50.205107526881719</c:v>
                </c:pt>
                <c:pt idx="25">
                  <c:v>47.261502976190478</c:v>
                </c:pt>
                <c:pt idx="26">
                  <c:v>45.129446693657208</c:v>
                </c:pt>
                <c:pt idx="27">
                  <c:v>47.967111111111109</c:v>
                </c:pt>
                <c:pt idx="28">
                  <c:v>54.30756720430108</c:v>
                </c:pt>
                <c:pt idx="29">
                  <c:v>73.71981944444444</c:v>
                </c:pt>
                <c:pt idx="30">
                  <c:v>79.999247311827958</c:v>
                </c:pt>
                <c:pt idx="31">
                  <c:v>82.788763440860208</c:v>
                </c:pt>
                <c:pt idx="32">
                  <c:v>125.3637638888889</c:v>
                </c:pt>
                <c:pt idx="33">
                  <c:v>117.0398115746972</c:v>
                </c:pt>
                <c:pt idx="34">
                  <c:v>141.79758333333331</c:v>
                </c:pt>
                <c:pt idx="35">
                  <c:v>189.34932795698921</c:v>
                </c:pt>
                <c:pt idx="36">
                  <c:v>117.9946505376344</c:v>
                </c:pt>
                <c:pt idx="37">
                  <c:v>113.120744047619</c:v>
                </c:pt>
                <c:pt idx="38">
                  <c:v>235.8248448043185</c:v>
                </c:pt>
                <c:pt idx="39">
                  <c:v>163.63747222222219</c:v>
                </c:pt>
                <c:pt idx="40">
                  <c:v>171.85803763440859</c:v>
                </c:pt>
                <c:pt idx="41">
                  <c:v>214.43025</c:v>
                </c:pt>
                <c:pt idx="42">
                  <c:v>275.03817204301072</c:v>
                </c:pt>
                <c:pt idx="43">
                  <c:v>456.75034946236559</c:v>
                </c:pt>
                <c:pt idx="44">
                  <c:v>342.81965277777778</c:v>
                </c:pt>
                <c:pt idx="45">
                  <c:v>137.13172274562581</c:v>
                </c:pt>
                <c:pt idx="46">
                  <c:v>139.7042083333333</c:v>
                </c:pt>
                <c:pt idx="47">
                  <c:v>249.66561827956991</c:v>
                </c:pt>
                <c:pt idx="48">
                  <c:v>112.5418413978495</c:v>
                </c:pt>
                <c:pt idx="49">
                  <c:v>118.136130952381</c:v>
                </c:pt>
                <c:pt idx="50">
                  <c:v>99.113913630229419</c:v>
                </c:pt>
                <c:pt idx="51">
                  <c:v>96.270972222222227</c:v>
                </c:pt>
                <c:pt idx="52">
                  <c:v>73.965779569892476</c:v>
                </c:pt>
                <c:pt idx="53">
                  <c:v>92.495430555555558</c:v>
                </c:pt>
                <c:pt idx="54">
                  <c:v>64.811303763440861</c:v>
                </c:pt>
                <c:pt idx="55">
                  <c:v>85.967110215053765</c:v>
                </c:pt>
                <c:pt idx="56">
                  <c:v>84.739444444444445</c:v>
                </c:pt>
                <c:pt idx="57">
                  <c:v>60.105760430686409</c:v>
                </c:pt>
                <c:pt idx="58">
                  <c:v>88.154569444444448</c:v>
                </c:pt>
                <c:pt idx="59">
                  <c:v>69.482513440860217</c:v>
                </c:pt>
                <c:pt idx="60">
                  <c:v>74.714932795698928</c:v>
                </c:pt>
                <c:pt idx="61">
                  <c:v>58.633936781609187</c:v>
                </c:pt>
                <c:pt idx="62">
                  <c:v>61.226288798920379</c:v>
                </c:pt>
                <c:pt idx="63">
                  <c:v>59.164791666666673</c:v>
                </c:pt>
                <c:pt idx="64">
                  <c:v>58.516854838709683</c:v>
                </c:pt>
                <c:pt idx="65">
                  <c:v>63.753041666666668</c:v>
                </c:pt>
                <c:pt idx="66">
                  <c:v>62.030349462365592</c:v>
                </c:pt>
                <c:pt idx="67">
                  <c:v>72.95380376344086</c:v>
                </c:pt>
                <c:pt idx="68">
                  <c:v>71.713583333333332</c:v>
                </c:pt>
                <c:pt idx="69">
                  <c:v>76.7199730820996</c:v>
                </c:pt>
                <c:pt idx="70">
                  <c:v>95.904597222222222</c:v>
                </c:pt>
                <c:pt idx="71">
                  <c:v>91.83743279569893</c:v>
                </c:pt>
                <c:pt idx="72">
                  <c:v>97.965967741935472</c:v>
                </c:pt>
                <c:pt idx="73">
                  <c:v>112.8479613095238</c:v>
                </c:pt>
                <c:pt idx="74">
                  <c:v>84.348845117845116</c:v>
                </c:pt>
                <c:pt idx="75">
                  <c:v>75.160472222222225</c:v>
                </c:pt>
                <c:pt idx="76">
                  <c:v>64.233413978494625</c:v>
                </c:pt>
                <c:pt idx="77">
                  <c:v>58.784624999999998</c:v>
                </c:pt>
                <c:pt idx="78">
                  <c:v>82.801922043010748</c:v>
                </c:pt>
                <c:pt idx="79">
                  <c:v>73.473763440860225</c:v>
                </c:pt>
                <c:pt idx="80">
                  <c:v>72.398680555555558</c:v>
                </c:pt>
                <c:pt idx="81">
                  <c:v>78.421800134589503</c:v>
                </c:pt>
                <c:pt idx="82">
                  <c:v>92.873392361111115</c:v>
                </c:pt>
                <c:pt idx="83">
                  <c:v>82.437466397849462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109-CF48-9B80-A39621B2DF7A}"/>
            </c:ext>
          </c:extLst>
        </c:ser>
        <c:ser>
          <c:idx val="1"/>
          <c:order val="1"/>
          <c:tx>
            <c:strRef>
              <c:f>'Electricity Price Data'!$C$1</c:f>
              <c:strCache>
                <c:ptCount val="1"/>
                <c:pt idx="0">
                  <c:v>DK2 Spot Price (EUR/MWh)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'Electricity Price Data'!$C$2:$C$85</c:f>
              <c:numCache>
                <c:formatCode>General</c:formatCode>
                <c:ptCount val="84"/>
                <c:pt idx="0">
                  <c:v>51.655026881720417</c:v>
                </c:pt>
                <c:pt idx="1">
                  <c:v>43.932946428571427</c:v>
                </c:pt>
                <c:pt idx="2">
                  <c:v>35.667354925775967</c:v>
                </c:pt>
                <c:pt idx="3">
                  <c:v>39.892097222222233</c:v>
                </c:pt>
                <c:pt idx="4">
                  <c:v>38.151397849462363</c:v>
                </c:pt>
                <c:pt idx="5">
                  <c:v>33.622236111111107</c:v>
                </c:pt>
                <c:pt idx="6">
                  <c:v>39.000174731182803</c:v>
                </c:pt>
                <c:pt idx="7">
                  <c:v>39.493172043010752</c:v>
                </c:pt>
                <c:pt idx="8">
                  <c:v>37.321347222222222</c:v>
                </c:pt>
                <c:pt idx="9">
                  <c:v>41.599353970390311</c:v>
                </c:pt>
                <c:pt idx="10">
                  <c:v>42.696444444444452</c:v>
                </c:pt>
                <c:pt idx="11">
                  <c:v>35.34711021505376</c:v>
                </c:pt>
                <c:pt idx="12">
                  <c:v>27.385241935483869</c:v>
                </c:pt>
                <c:pt idx="13">
                  <c:v>18.816997126436782</c:v>
                </c:pt>
                <c:pt idx="14">
                  <c:v>20.05249662618084</c:v>
                </c:pt>
                <c:pt idx="15">
                  <c:v>17.354861111111109</c:v>
                </c:pt>
                <c:pt idx="16">
                  <c:v>19.04407258064516</c:v>
                </c:pt>
                <c:pt idx="17">
                  <c:v>29.82329166666667</c:v>
                </c:pt>
                <c:pt idx="18">
                  <c:v>25.886680107526882</c:v>
                </c:pt>
                <c:pt idx="19">
                  <c:v>40.923817204301074</c:v>
                </c:pt>
                <c:pt idx="20">
                  <c:v>39.51423611111111</c:v>
                </c:pt>
                <c:pt idx="21">
                  <c:v>26.933512786002691</c:v>
                </c:pt>
                <c:pt idx="22">
                  <c:v>35.711347222222223</c:v>
                </c:pt>
                <c:pt idx="23">
                  <c:v>39.257150537634409</c:v>
                </c:pt>
                <c:pt idx="24">
                  <c:v>50.858951612903233</c:v>
                </c:pt>
                <c:pt idx="25">
                  <c:v>54.54806547619048</c:v>
                </c:pt>
                <c:pt idx="26">
                  <c:v>46.732213225371119</c:v>
                </c:pt>
                <c:pt idx="27">
                  <c:v>47.862958333333339</c:v>
                </c:pt>
                <c:pt idx="28">
                  <c:v>55.208803763440862</c:v>
                </c:pt>
                <c:pt idx="29">
                  <c:v>73.58690277777778</c:v>
                </c:pt>
                <c:pt idx="30">
                  <c:v>81.44088709677419</c:v>
                </c:pt>
                <c:pt idx="31">
                  <c:v>84.363548387096785</c:v>
                </c:pt>
                <c:pt idx="32">
                  <c:v>123.9021111111111</c:v>
                </c:pt>
                <c:pt idx="33">
                  <c:v>106.9322745625841</c:v>
                </c:pt>
                <c:pt idx="34">
                  <c:v>136.38005555555549</c:v>
                </c:pt>
                <c:pt idx="35">
                  <c:v>191.06861559139779</c:v>
                </c:pt>
                <c:pt idx="36">
                  <c:v>111.62209677419349</c:v>
                </c:pt>
                <c:pt idx="37">
                  <c:v>100.2914136904762</c:v>
                </c:pt>
                <c:pt idx="38">
                  <c:v>227.92036437246961</c:v>
                </c:pt>
                <c:pt idx="39">
                  <c:v>152.83280555555561</c:v>
                </c:pt>
                <c:pt idx="40">
                  <c:v>162.65841397849459</c:v>
                </c:pt>
                <c:pt idx="41">
                  <c:v>213.2331388888889</c:v>
                </c:pt>
                <c:pt idx="42">
                  <c:v>233.47774193548389</c:v>
                </c:pt>
                <c:pt idx="43">
                  <c:v>449.7688306451613</c:v>
                </c:pt>
                <c:pt idx="44">
                  <c:v>328.80015277777778</c:v>
                </c:pt>
                <c:pt idx="45">
                  <c:v>136.89783310901751</c:v>
                </c:pt>
                <c:pt idx="46">
                  <c:v>145.05780555555549</c:v>
                </c:pt>
                <c:pt idx="47">
                  <c:v>248.88206989247311</c:v>
                </c:pt>
                <c:pt idx="48">
                  <c:v>99.762889784946225</c:v>
                </c:pt>
                <c:pt idx="49">
                  <c:v>100.6489285714286</c:v>
                </c:pt>
                <c:pt idx="50">
                  <c:v>89.795614035087723</c:v>
                </c:pt>
                <c:pt idx="51">
                  <c:v>83.651124999999993</c:v>
                </c:pt>
                <c:pt idx="52">
                  <c:v>66.151747311827961</c:v>
                </c:pt>
                <c:pt idx="53">
                  <c:v>91.423152777777773</c:v>
                </c:pt>
                <c:pt idx="54">
                  <c:v>65.24004032258064</c:v>
                </c:pt>
                <c:pt idx="55">
                  <c:v>86.293736559139788</c:v>
                </c:pt>
                <c:pt idx="56">
                  <c:v>85.484125000000006</c:v>
                </c:pt>
                <c:pt idx="57">
                  <c:v>56.925814266487208</c:v>
                </c:pt>
                <c:pt idx="58">
                  <c:v>81.486041666666665</c:v>
                </c:pt>
                <c:pt idx="59">
                  <c:v>70.879731182795695</c:v>
                </c:pt>
                <c:pt idx="60">
                  <c:v>78.214811827956993</c:v>
                </c:pt>
                <c:pt idx="61">
                  <c:v>54.722241379310347</c:v>
                </c:pt>
                <c:pt idx="62">
                  <c:v>61.040863697705802</c:v>
                </c:pt>
                <c:pt idx="63">
                  <c:v>60.476708333333328</c:v>
                </c:pt>
                <c:pt idx="64">
                  <c:v>58.122983870967737</c:v>
                </c:pt>
                <c:pt idx="65">
                  <c:v>66.79098611111111</c:v>
                </c:pt>
                <c:pt idx="66">
                  <c:v>62.841706989247307</c:v>
                </c:pt>
                <c:pt idx="67">
                  <c:v>72.614260752688182</c:v>
                </c:pt>
                <c:pt idx="68">
                  <c:v>70.411833333333334</c:v>
                </c:pt>
                <c:pt idx="69">
                  <c:v>76.326123822341856</c:v>
                </c:pt>
                <c:pt idx="70">
                  <c:v>95.282694444444431</c:v>
                </c:pt>
                <c:pt idx="71">
                  <c:v>92.728158602150543</c:v>
                </c:pt>
                <c:pt idx="72">
                  <c:v>100.1237365591398</c:v>
                </c:pt>
                <c:pt idx="73">
                  <c:v>117.9355505952381</c:v>
                </c:pt>
                <c:pt idx="74">
                  <c:v>82.846865319865316</c:v>
                </c:pt>
                <c:pt idx="75">
                  <c:v>75.806652777777785</c:v>
                </c:pt>
                <c:pt idx="76">
                  <c:v>63.082553763440863</c:v>
                </c:pt>
                <c:pt idx="77">
                  <c:v>56.448249999999987</c:v>
                </c:pt>
                <c:pt idx="78">
                  <c:v>79.959690860215062</c:v>
                </c:pt>
                <c:pt idx="79">
                  <c:v>75.315497311827954</c:v>
                </c:pt>
                <c:pt idx="80">
                  <c:v>83.288930555555552</c:v>
                </c:pt>
                <c:pt idx="81">
                  <c:v>82.368075370121133</c:v>
                </c:pt>
                <c:pt idx="82">
                  <c:v>93.695572916666663</c:v>
                </c:pt>
                <c:pt idx="83">
                  <c:v>82.081528897849466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109-CF48-9B80-A39621B2DF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DK1 De-seasonalised Price Series (Primary)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'Electricity Price Data'!$E$1</c:f>
              <c:strCache>
                <c:ptCount val="1"/>
                <c:pt idx="0">
                  <c:v>DK1 De-seasonalised Price (EUR/MWh)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'Electricity Price Data'!$E$2:$E$85</c:f>
              <c:numCache>
                <c:formatCode>General</c:formatCode>
                <c:ptCount val="84"/>
                <c:pt idx="0">
                  <c:v>-25.234738863287252</c:v>
                </c:pt>
                <c:pt idx="1">
                  <c:v>-30.100228272343401</c:v>
                </c:pt>
                <c:pt idx="2">
                  <c:v>-48.899358826358807</c:v>
                </c:pt>
                <c:pt idx="3">
                  <c:v>-31.760585317460279</c:v>
                </c:pt>
                <c:pt idx="4">
                  <c:v>-30.622649769585269</c:v>
                </c:pt>
                <c:pt idx="5">
                  <c:v>-47.454873015873012</c:v>
                </c:pt>
                <c:pt idx="6">
                  <c:v>-50.913813364055301</c:v>
                </c:pt>
                <c:pt idx="7">
                  <c:v>-82.754126344086018</c:v>
                </c:pt>
                <c:pt idx="8">
                  <c:v>-74.756714285714281</c:v>
                </c:pt>
                <c:pt idx="9">
                  <c:v>-37.87848634877907</c:v>
                </c:pt>
                <c:pt idx="10">
                  <c:v>-47.388359623015852</c:v>
                </c:pt>
                <c:pt idx="11">
                  <c:v>-73.290233294930886</c:v>
                </c:pt>
                <c:pt idx="12">
                  <c:v>-50.535841013824893</c:v>
                </c:pt>
                <c:pt idx="13">
                  <c:v>-55.329114766596277</c:v>
                </c:pt>
                <c:pt idx="14">
                  <c:v>-64.205890540258949</c:v>
                </c:pt>
                <c:pt idx="15">
                  <c:v>-56.295224206349168</c:v>
                </c:pt>
                <c:pt idx="16">
                  <c:v>-51.998173963133659</c:v>
                </c:pt>
                <c:pt idx="17">
                  <c:v>-54.057817460317452</c:v>
                </c:pt>
                <c:pt idx="18">
                  <c:v>-65.111555299539162</c:v>
                </c:pt>
                <c:pt idx="19">
                  <c:v>-86.080537634408586</c:v>
                </c:pt>
                <c:pt idx="20">
                  <c:v>-71.60053373015873</c:v>
                </c:pt>
                <c:pt idx="21">
                  <c:v>-50.411137761968838</c:v>
                </c:pt>
                <c:pt idx="22">
                  <c:v>-65.378845734126969</c:v>
                </c:pt>
                <c:pt idx="23">
                  <c:v>-72.821080069124434</c:v>
                </c:pt>
                <c:pt idx="24">
                  <c:v>-25.32527649769585</c:v>
                </c:pt>
                <c:pt idx="25">
                  <c:v>-25.652683629486251</c:v>
                </c:pt>
                <c:pt idx="26">
                  <c:v>-37.378171242013337</c:v>
                </c:pt>
                <c:pt idx="27">
                  <c:v>-22.861890873015842</c:v>
                </c:pt>
                <c:pt idx="28">
                  <c:v>-13.74459869431645</c:v>
                </c:pt>
                <c:pt idx="29">
                  <c:v>-6.6142757936507914</c:v>
                </c:pt>
                <c:pt idx="30">
                  <c:v>-9.731877880184328</c:v>
                </c:pt>
                <c:pt idx="31">
                  <c:v>-37.831061827956987</c:v>
                </c:pt>
                <c:pt idx="32">
                  <c:v>15.228188492063509</c:v>
                </c:pt>
                <c:pt idx="33">
                  <c:v>40.813922803307079</c:v>
                </c:pt>
                <c:pt idx="34">
                  <c:v>52.664154265873037</c:v>
                </c:pt>
                <c:pt idx="35">
                  <c:v>82.017118855606753</c:v>
                </c:pt>
                <c:pt idx="36">
                  <c:v>42.464266513056842</c:v>
                </c:pt>
                <c:pt idx="37">
                  <c:v>40.206557441942309</c:v>
                </c:pt>
                <c:pt idx="38">
                  <c:v>153.31722686864791</c:v>
                </c:pt>
                <c:pt idx="39">
                  <c:v>92.808470238095268</c:v>
                </c:pt>
                <c:pt idx="40">
                  <c:v>103.8058717357911</c:v>
                </c:pt>
                <c:pt idx="41">
                  <c:v>134.09615476190481</c:v>
                </c:pt>
                <c:pt idx="42">
                  <c:v>185.3070468509984</c:v>
                </c:pt>
                <c:pt idx="43">
                  <c:v>336.13052419354841</c:v>
                </c:pt>
                <c:pt idx="44">
                  <c:v>232.6840773809524</c:v>
                </c:pt>
                <c:pt idx="45">
                  <c:v>60.905833974235733</c:v>
                </c:pt>
                <c:pt idx="46">
                  <c:v>50.570779265873028</c:v>
                </c:pt>
                <c:pt idx="47">
                  <c:v>142.3334091781874</c:v>
                </c:pt>
                <c:pt idx="48">
                  <c:v>37.011457373271902</c:v>
                </c:pt>
                <c:pt idx="49">
                  <c:v>45.22194434670422</c:v>
                </c:pt>
                <c:pt idx="50">
                  <c:v>16.60629569455887</c:v>
                </c:pt>
                <c:pt idx="51">
                  <c:v>25.44197023809528</c:v>
                </c:pt>
                <c:pt idx="52">
                  <c:v>5.9136136712749447</c:v>
                </c:pt>
                <c:pt idx="53">
                  <c:v>12.161335317460329</c:v>
                </c:pt>
                <c:pt idx="54">
                  <c:v>-24.919821428571421</c:v>
                </c:pt>
                <c:pt idx="55">
                  <c:v>-34.65271505376343</c:v>
                </c:pt>
                <c:pt idx="56">
                  <c:v>-25.39613095238094</c:v>
                </c:pt>
                <c:pt idx="57">
                  <c:v>-16.12012834070369</c:v>
                </c:pt>
                <c:pt idx="58">
                  <c:v>-0.97885962301585039</c:v>
                </c:pt>
                <c:pt idx="59">
                  <c:v>-37.849695660522272</c:v>
                </c:pt>
                <c:pt idx="60">
                  <c:v>-0.81545122887864352</c:v>
                </c:pt>
                <c:pt idx="61">
                  <c:v>-14.280249824067541</c:v>
                </c:pt>
                <c:pt idx="62">
                  <c:v>-21.28132913675017</c:v>
                </c:pt>
                <c:pt idx="63">
                  <c:v>-11.664210317460279</c:v>
                </c:pt>
                <c:pt idx="64">
                  <c:v>-9.5353110599078548</c:v>
                </c:pt>
                <c:pt idx="65">
                  <c:v>-16.581053571428559</c:v>
                </c:pt>
                <c:pt idx="66">
                  <c:v>-27.70077572964669</c:v>
                </c:pt>
                <c:pt idx="67">
                  <c:v>-47.666021505376342</c:v>
                </c:pt>
                <c:pt idx="68">
                  <c:v>-38.421992063492063</c:v>
                </c:pt>
                <c:pt idx="69">
                  <c:v>0.49408431070949632</c:v>
                </c:pt>
                <c:pt idx="70">
                  <c:v>6.7711681547619236</c:v>
                </c:pt>
                <c:pt idx="71">
                  <c:v>-15.49477630568356</c:v>
                </c:pt>
                <c:pt idx="72">
                  <c:v>22.4355837173579</c:v>
                </c:pt>
                <c:pt idx="73">
                  <c:v>39.933774703847078</c:v>
                </c:pt>
                <c:pt idx="74">
                  <c:v>1.8412271821745629</c:v>
                </c:pt>
                <c:pt idx="75">
                  <c:v>4.3314702380952781</c:v>
                </c:pt>
                <c:pt idx="76">
                  <c:v>-3.818751920122907</c:v>
                </c:pt>
                <c:pt idx="77">
                  <c:v>-21.549470238095228</c:v>
                </c:pt>
                <c:pt idx="78">
                  <c:v>-6.9292031490015384</c:v>
                </c:pt>
                <c:pt idx="79">
                  <c:v>-47.14606182795697</c:v>
                </c:pt>
                <c:pt idx="80">
                  <c:v>-37.73689484126983</c:v>
                </c:pt>
                <c:pt idx="81">
                  <c:v>2.1959113631994001</c:v>
                </c:pt>
                <c:pt idx="82">
                  <c:v>3.7399632936508169</c:v>
                </c:pt>
                <c:pt idx="83">
                  <c:v>-24.89474270353303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686-504C-8604-BA10C1E61F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  <c:txPr>
        <a:bodyPr/>
        <a:lstStyle/>
        <a:p>
          <a:pPr rtl="0">
            <a:defRPr/>
          </a:pPr>
          <a:endParaRPr lang="en-DK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Monthly Spot Prices - DK1 (Primary) and DK2 (Robustness)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'Electricity Price Data'!$B$1</c:f>
              <c:strCache>
                <c:ptCount val="1"/>
                <c:pt idx="0">
                  <c:v>DK1 Spot Price (EUR/MWh)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'Electricity Price Data'!$B$2:$B$85</c:f>
              <c:numCache>
                <c:formatCode>General</c:formatCode>
                <c:ptCount val="84"/>
                <c:pt idx="0">
                  <c:v>50.295645161290317</c:v>
                </c:pt>
                <c:pt idx="1">
                  <c:v>42.813958333333332</c:v>
                </c:pt>
                <c:pt idx="2">
                  <c:v>33.608259109311753</c:v>
                </c:pt>
                <c:pt idx="3">
                  <c:v>39.068416666666657</c:v>
                </c:pt>
                <c:pt idx="4">
                  <c:v>37.429516129032258</c:v>
                </c:pt>
                <c:pt idx="5">
                  <c:v>32.879222222222232</c:v>
                </c:pt>
                <c:pt idx="6">
                  <c:v>38.817311827956978</c:v>
                </c:pt>
                <c:pt idx="7">
                  <c:v>37.865698924731177</c:v>
                </c:pt>
                <c:pt idx="8">
                  <c:v>35.378861111111107</c:v>
                </c:pt>
                <c:pt idx="9">
                  <c:v>38.347402422611033</c:v>
                </c:pt>
                <c:pt idx="10">
                  <c:v>41.745069444444447</c:v>
                </c:pt>
                <c:pt idx="11">
                  <c:v>34.04197580645161</c:v>
                </c:pt>
                <c:pt idx="12">
                  <c:v>24.99454301075269</c:v>
                </c:pt>
                <c:pt idx="13">
                  <c:v>17.585071839080459</c:v>
                </c:pt>
                <c:pt idx="14">
                  <c:v>18.301727395411611</c:v>
                </c:pt>
                <c:pt idx="15">
                  <c:v>14.533777777777781</c:v>
                </c:pt>
                <c:pt idx="16">
                  <c:v>16.053991935483872</c:v>
                </c:pt>
                <c:pt idx="17">
                  <c:v>26.276277777777771</c:v>
                </c:pt>
                <c:pt idx="18">
                  <c:v>24.61956989247312</c:v>
                </c:pt>
                <c:pt idx="19">
                  <c:v>34.539287634408602</c:v>
                </c:pt>
                <c:pt idx="20">
                  <c:v>38.535041666666658</c:v>
                </c:pt>
                <c:pt idx="21">
                  <c:v>25.814751009421261</c:v>
                </c:pt>
                <c:pt idx="22">
                  <c:v>23.754583333333329</c:v>
                </c:pt>
                <c:pt idx="23">
                  <c:v>34.511129032258061</c:v>
                </c:pt>
                <c:pt idx="24">
                  <c:v>50.205107526881719</c:v>
                </c:pt>
                <c:pt idx="25">
                  <c:v>47.261502976190478</c:v>
                </c:pt>
                <c:pt idx="26">
                  <c:v>45.129446693657208</c:v>
                </c:pt>
                <c:pt idx="27">
                  <c:v>47.967111111111109</c:v>
                </c:pt>
                <c:pt idx="28">
                  <c:v>54.30756720430108</c:v>
                </c:pt>
                <c:pt idx="29">
                  <c:v>73.71981944444444</c:v>
                </c:pt>
                <c:pt idx="30">
                  <c:v>79.999247311827958</c:v>
                </c:pt>
                <c:pt idx="31">
                  <c:v>82.788763440860208</c:v>
                </c:pt>
                <c:pt idx="32">
                  <c:v>125.3637638888889</c:v>
                </c:pt>
                <c:pt idx="33">
                  <c:v>117.0398115746972</c:v>
                </c:pt>
                <c:pt idx="34">
                  <c:v>141.79758333333331</c:v>
                </c:pt>
                <c:pt idx="35">
                  <c:v>189.34932795698921</c:v>
                </c:pt>
                <c:pt idx="36">
                  <c:v>117.9946505376344</c:v>
                </c:pt>
                <c:pt idx="37">
                  <c:v>113.120744047619</c:v>
                </c:pt>
                <c:pt idx="38">
                  <c:v>235.8248448043185</c:v>
                </c:pt>
                <c:pt idx="39">
                  <c:v>163.63747222222219</c:v>
                </c:pt>
                <c:pt idx="40">
                  <c:v>171.85803763440859</c:v>
                </c:pt>
                <c:pt idx="41">
                  <c:v>214.43025</c:v>
                </c:pt>
                <c:pt idx="42">
                  <c:v>275.03817204301072</c:v>
                </c:pt>
                <c:pt idx="43">
                  <c:v>456.75034946236559</c:v>
                </c:pt>
                <c:pt idx="44">
                  <c:v>342.81965277777778</c:v>
                </c:pt>
                <c:pt idx="45">
                  <c:v>137.13172274562581</c:v>
                </c:pt>
                <c:pt idx="46">
                  <c:v>139.7042083333333</c:v>
                </c:pt>
                <c:pt idx="47">
                  <c:v>249.66561827956991</c:v>
                </c:pt>
                <c:pt idx="48">
                  <c:v>112.5418413978495</c:v>
                </c:pt>
                <c:pt idx="49">
                  <c:v>118.136130952381</c:v>
                </c:pt>
                <c:pt idx="50">
                  <c:v>99.113913630229419</c:v>
                </c:pt>
                <c:pt idx="51">
                  <c:v>96.270972222222227</c:v>
                </c:pt>
                <c:pt idx="52">
                  <c:v>73.965779569892476</c:v>
                </c:pt>
                <c:pt idx="53">
                  <c:v>92.495430555555558</c:v>
                </c:pt>
                <c:pt idx="54">
                  <c:v>64.811303763440861</c:v>
                </c:pt>
                <c:pt idx="55">
                  <c:v>85.967110215053765</c:v>
                </c:pt>
                <c:pt idx="56">
                  <c:v>84.739444444444445</c:v>
                </c:pt>
                <c:pt idx="57">
                  <c:v>60.105760430686409</c:v>
                </c:pt>
                <c:pt idx="58">
                  <c:v>88.154569444444448</c:v>
                </c:pt>
                <c:pt idx="59">
                  <c:v>69.482513440860217</c:v>
                </c:pt>
                <c:pt idx="60">
                  <c:v>74.714932795698928</c:v>
                </c:pt>
                <c:pt idx="61">
                  <c:v>58.633936781609187</c:v>
                </c:pt>
                <c:pt idx="62">
                  <c:v>61.226288798920379</c:v>
                </c:pt>
                <c:pt idx="63">
                  <c:v>59.164791666666673</c:v>
                </c:pt>
                <c:pt idx="64">
                  <c:v>58.516854838709683</c:v>
                </c:pt>
                <c:pt idx="65">
                  <c:v>63.753041666666668</c:v>
                </c:pt>
                <c:pt idx="66">
                  <c:v>62.030349462365592</c:v>
                </c:pt>
                <c:pt idx="67">
                  <c:v>72.95380376344086</c:v>
                </c:pt>
                <c:pt idx="68">
                  <c:v>71.713583333333332</c:v>
                </c:pt>
                <c:pt idx="69">
                  <c:v>76.7199730820996</c:v>
                </c:pt>
                <c:pt idx="70">
                  <c:v>95.904597222222222</c:v>
                </c:pt>
                <c:pt idx="71">
                  <c:v>91.83743279569893</c:v>
                </c:pt>
                <c:pt idx="72">
                  <c:v>97.965967741935472</c:v>
                </c:pt>
                <c:pt idx="73">
                  <c:v>112.8479613095238</c:v>
                </c:pt>
                <c:pt idx="74">
                  <c:v>84.348845117845116</c:v>
                </c:pt>
                <c:pt idx="75">
                  <c:v>75.160472222222225</c:v>
                </c:pt>
                <c:pt idx="76">
                  <c:v>64.233413978494625</c:v>
                </c:pt>
                <c:pt idx="77">
                  <c:v>58.784624999999998</c:v>
                </c:pt>
                <c:pt idx="78">
                  <c:v>82.801922043010748</c:v>
                </c:pt>
                <c:pt idx="79">
                  <c:v>73.473763440860225</c:v>
                </c:pt>
                <c:pt idx="80">
                  <c:v>72.398680555555558</c:v>
                </c:pt>
                <c:pt idx="81">
                  <c:v>78.421800134589503</c:v>
                </c:pt>
                <c:pt idx="82">
                  <c:v>92.873392361111115</c:v>
                </c:pt>
                <c:pt idx="83">
                  <c:v>82.437466397849462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2A5-B34C-8445-37F269F38C50}"/>
            </c:ext>
          </c:extLst>
        </c:ser>
        <c:ser>
          <c:idx val="1"/>
          <c:order val="1"/>
          <c:tx>
            <c:strRef>
              <c:f>'Electricity Price Data'!$C$1</c:f>
              <c:strCache>
                <c:ptCount val="1"/>
                <c:pt idx="0">
                  <c:v>DK2 Spot Price (EUR/MWh)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'Electricity Price Data'!$C$2:$C$85</c:f>
              <c:numCache>
                <c:formatCode>General</c:formatCode>
                <c:ptCount val="84"/>
                <c:pt idx="0">
                  <c:v>51.655026881720417</c:v>
                </c:pt>
                <c:pt idx="1">
                  <c:v>43.932946428571427</c:v>
                </c:pt>
                <c:pt idx="2">
                  <c:v>35.667354925775967</c:v>
                </c:pt>
                <c:pt idx="3">
                  <c:v>39.892097222222233</c:v>
                </c:pt>
                <c:pt idx="4">
                  <c:v>38.151397849462363</c:v>
                </c:pt>
                <c:pt idx="5">
                  <c:v>33.622236111111107</c:v>
                </c:pt>
                <c:pt idx="6">
                  <c:v>39.000174731182803</c:v>
                </c:pt>
                <c:pt idx="7">
                  <c:v>39.493172043010752</c:v>
                </c:pt>
                <c:pt idx="8">
                  <c:v>37.321347222222222</c:v>
                </c:pt>
                <c:pt idx="9">
                  <c:v>41.599353970390311</c:v>
                </c:pt>
                <c:pt idx="10">
                  <c:v>42.696444444444452</c:v>
                </c:pt>
                <c:pt idx="11">
                  <c:v>35.34711021505376</c:v>
                </c:pt>
                <c:pt idx="12">
                  <c:v>27.385241935483869</c:v>
                </c:pt>
                <c:pt idx="13">
                  <c:v>18.816997126436782</c:v>
                </c:pt>
                <c:pt idx="14">
                  <c:v>20.05249662618084</c:v>
                </c:pt>
                <c:pt idx="15">
                  <c:v>17.354861111111109</c:v>
                </c:pt>
                <c:pt idx="16">
                  <c:v>19.04407258064516</c:v>
                </c:pt>
                <c:pt idx="17">
                  <c:v>29.82329166666667</c:v>
                </c:pt>
                <c:pt idx="18">
                  <c:v>25.886680107526882</c:v>
                </c:pt>
                <c:pt idx="19">
                  <c:v>40.923817204301074</c:v>
                </c:pt>
                <c:pt idx="20">
                  <c:v>39.51423611111111</c:v>
                </c:pt>
                <c:pt idx="21">
                  <c:v>26.933512786002691</c:v>
                </c:pt>
                <c:pt idx="22">
                  <c:v>35.711347222222223</c:v>
                </c:pt>
                <c:pt idx="23">
                  <c:v>39.257150537634409</c:v>
                </c:pt>
                <c:pt idx="24">
                  <c:v>50.858951612903233</c:v>
                </c:pt>
                <c:pt idx="25">
                  <c:v>54.54806547619048</c:v>
                </c:pt>
                <c:pt idx="26">
                  <c:v>46.732213225371119</c:v>
                </c:pt>
                <c:pt idx="27">
                  <c:v>47.862958333333339</c:v>
                </c:pt>
                <c:pt idx="28">
                  <c:v>55.208803763440862</c:v>
                </c:pt>
                <c:pt idx="29">
                  <c:v>73.58690277777778</c:v>
                </c:pt>
                <c:pt idx="30">
                  <c:v>81.44088709677419</c:v>
                </c:pt>
                <c:pt idx="31">
                  <c:v>84.363548387096785</c:v>
                </c:pt>
                <c:pt idx="32">
                  <c:v>123.9021111111111</c:v>
                </c:pt>
                <c:pt idx="33">
                  <c:v>106.9322745625841</c:v>
                </c:pt>
                <c:pt idx="34">
                  <c:v>136.38005555555549</c:v>
                </c:pt>
                <c:pt idx="35">
                  <c:v>191.06861559139779</c:v>
                </c:pt>
                <c:pt idx="36">
                  <c:v>111.62209677419349</c:v>
                </c:pt>
                <c:pt idx="37">
                  <c:v>100.2914136904762</c:v>
                </c:pt>
                <c:pt idx="38">
                  <c:v>227.92036437246961</c:v>
                </c:pt>
                <c:pt idx="39">
                  <c:v>152.83280555555561</c:v>
                </c:pt>
                <c:pt idx="40">
                  <c:v>162.65841397849459</c:v>
                </c:pt>
                <c:pt idx="41">
                  <c:v>213.2331388888889</c:v>
                </c:pt>
                <c:pt idx="42">
                  <c:v>233.47774193548389</c:v>
                </c:pt>
                <c:pt idx="43">
                  <c:v>449.7688306451613</c:v>
                </c:pt>
                <c:pt idx="44">
                  <c:v>328.80015277777778</c:v>
                </c:pt>
                <c:pt idx="45">
                  <c:v>136.89783310901751</c:v>
                </c:pt>
                <c:pt idx="46">
                  <c:v>145.05780555555549</c:v>
                </c:pt>
                <c:pt idx="47">
                  <c:v>248.88206989247311</c:v>
                </c:pt>
                <c:pt idx="48">
                  <c:v>99.762889784946225</c:v>
                </c:pt>
                <c:pt idx="49">
                  <c:v>100.6489285714286</c:v>
                </c:pt>
                <c:pt idx="50">
                  <c:v>89.795614035087723</c:v>
                </c:pt>
                <c:pt idx="51">
                  <c:v>83.651124999999993</c:v>
                </c:pt>
                <c:pt idx="52">
                  <c:v>66.151747311827961</c:v>
                </c:pt>
                <c:pt idx="53">
                  <c:v>91.423152777777773</c:v>
                </c:pt>
                <c:pt idx="54">
                  <c:v>65.24004032258064</c:v>
                </c:pt>
                <c:pt idx="55">
                  <c:v>86.293736559139788</c:v>
                </c:pt>
                <c:pt idx="56">
                  <c:v>85.484125000000006</c:v>
                </c:pt>
                <c:pt idx="57">
                  <c:v>56.925814266487208</c:v>
                </c:pt>
                <c:pt idx="58">
                  <c:v>81.486041666666665</c:v>
                </c:pt>
                <c:pt idx="59">
                  <c:v>70.879731182795695</c:v>
                </c:pt>
                <c:pt idx="60">
                  <c:v>78.214811827956993</c:v>
                </c:pt>
                <c:pt idx="61">
                  <c:v>54.722241379310347</c:v>
                </c:pt>
                <c:pt idx="62">
                  <c:v>61.040863697705802</c:v>
                </c:pt>
                <c:pt idx="63">
                  <c:v>60.476708333333328</c:v>
                </c:pt>
                <c:pt idx="64">
                  <c:v>58.122983870967737</c:v>
                </c:pt>
                <c:pt idx="65">
                  <c:v>66.79098611111111</c:v>
                </c:pt>
                <c:pt idx="66">
                  <c:v>62.841706989247307</c:v>
                </c:pt>
                <c:pt idx="67">
                  <c:v>72.614260752688182</c:v>
                </c:pt>
                <c:pt idx="68">
                  <c:v>70.411833333333334</c:v>
                </c:pt>
                <c:pt idx="69">
                  <c:v>76.326123822341856</c:v>
                </c:pt>
                <c:pt idx="70">
                  <c:v>95.282694444444431</c:v>
                </c:pt>
                <c:pt idx="71">
                  <c:v>92.728158602150543</c:v>
                </c:pt>
                <c:pt idx="72">
                  <c:v>100.1237365591398</c:v>
                </c:pt>
                <c:pt idx="73">
                  <c:v>117.9355505952381</c:v>
                </c:pt>
                <c:pt idx="74">
                  <c:v>82.846865319865316</c:v>
                </c:pt>
                <c:pt idx="75">
                  <c:v>75.806652777777785</c:v>
                </c:pt>
                <c:pt idx="76">
                  <c:v>63.082553763440863</c:v>
                </c:pt>
                <c:pt idx="77">
                  <c:v>56.448249999999987</c:v>
                </c:pt>
                <c:pt idx="78">
                  <c:v>79.959690860215062</c:v>
                </c:pt>
                <c:pt idx="79">
                  <c:v>75.315497311827954</c:v>
                </c:pt>
                <c:pt idx="80">
                  <c:v>83.288930555555552</c:v>
                </c:pt>
                <c:pt idx="81">
                  <c:v>82.368075370121133</c:v>
                </c:pt>
                <c:pt idx="82">
                  <c:v>93.695572916666663</c:v>
                </c:pt>
                <c:pt idx="83">
                  <c:v>82.081528897849466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2A5-B34C-8445-37F269F38C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DK1 De-seasonalised Price Series (Primary)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'Electricity Price Data'!$E$1</c:f>
              <c:strCache>
                <c:ptCount val="1"/>
                <c:pt idx="0">
                  <c:v>DK1 De-seasonalised Price (EUR/MWh)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'Electricity Price Data'!$E$2:$E$85</c:f>
              <c:numCache>
                <c:formatCode>General</c:formatCode>
                <c:ptCount val="84"/>
                <c:pt idx="0">
                  <c:v>-25.234738863287252</c:v>
                </c:pt>
                <c:pt idx="1">
                  <c:v>-30.100228272343401</c:v>
                </c:pt>
                <c:pt idx="2">
                  <c:v>-48.899358826358807</c:v>
                </c:pt>
                <c:pt idx="3">
                  <c:v>-31.760585317460279</c:v>
                </c:pt>
                <c:pt idx="4">
                  <c:v>-30.622649769585269</c:v>
                </c:pt>
                <c:pt idx="5">
                  <c:v>-47.454873015873012</c:v>
                </c:pt>
                <c:pt idx="6">
                  <c:v>-50.913813364055301</c:v>
                </c:pt>
                <c:pt idx="7">
                  <c:v>-82.754126344086018</c:v>
                </c:pt>
                <c:pt idx="8">
                  <c:v>-74.756714285714281</c:v>
                </c:pt>
                <c:pt idx="9">
                  <c:v>-37.87848634877907</c:v>
                </c:pt>
                <c:pt idx="10">
                  <c:v>-47.388359623015852</c:v>
                </c:pt>
                <c:pt idx="11">
                  <c:v>-73.290233294930886</c:v>
                </c:pt>
                <c:pt idx="12">
                  <c:v>-50.535841013824893</c:v>
                </c:pt>
                <c:pt idx="13">
                  <c:v>-55.329114766596277</c:v>
                </c:pt>
                <c:pt idx="14">
                  <c:v>-64.205890540258949</c:v>
                </c:pt>
                <c:pt idx="15">
                  <c:v>-56.295224206349168</c:v>
                </c:pt>
                <c:pt idx="16">
                  <c:v>-51.998173963133659</c:v>
                </c:pt>
                <c:pt idx="17">
                  <c:v>-54.057817460317452</c:v>
                </c:pt>
                <c:pt idx="18">
                  <c:v>-65.111555299539162</c:v>
                </c:pt>
                <c:pt idx="19">
                  <c:v>-86.080537634408586</c:v>
                </c:pt>
                <c:pt idx="20">
                  <c:v>-71.60053373015873</c:v>
                </c:pt>
                <c:pt idx="21">
                  <c:v>-50.411137761968838</c:v>
                </c:pt>
                <c:pt idx="22">
                  <c:v>-65.378845734126969</c:v>
                </c:pt>
                <c:pt idx="23">
                  <c:v>-72.821080069124434</c:v>
                </c:pt>
                <c:pt idx="24">
                  <c:v>-25.32527649769585</c:v>
                </c:pt>
                <c:pt idx="25">
                  <c:v>-25.652683629486251</c:v>
                </c:pt>
                <c:pt idx="26">
                  <c:v>-37.378171242013337</c:v>
                </c:pt>
                <c:pt idx="27">
                  <c:v>-22.861890873015842</c:v>
                </c:pt>
                <c:pt idx="28">
                  <c:v>-13.74459869431645</c:v>
                </c:pt>
                <c:pt idx="29">
                  <c:v>-6.6142757936507914</c:v>
                </c:pt>
                <c:pt idx="30">
                  <c:v>-9.731877880184328</c:v>
                </c:pt>
                <c:pt idx="31">
                  <c:v>-37.831061827956987</c:v>
                </c:pt>
                <c:pt idx="32">
                  <c:v>15.228188492063509</c:v>
                </c:pt>
                <c:pt idx="33">
                  <c:v>40.813922803307079</c:v>
                </c:pt>
                <c:pt idx="34">
                  <c:v>52.664154265873037</c:v>
                </c:pt>
                <c:pt idx="35">
                  <c:v>82.017118855606753</c:v>
                </c:pt>
                <c:pt idx="36">
                  <c:v>42.464266513056842</c:v>
                </c:pt>
                <c:pt idx="37">
                  <c:v>40.206557441942309</c:v>
                </c:pt>
                <c:pt idx="38">
                  <c:v>153.31722686864791</c:v>
                </c:pt>
                <c:pt idx="39">
                  <c:v>92.808470238095268</c:v>
                </c:pt>
                <c:pt idx="40">
                  <c:v>103.8058717357911</c:v>
                </c:pt>
                <c:pt idx="41">
                  <c:v>134.09615476190481</c:v>
                </c:pt>
                <c:pt idx="42">
                  <c:v>185.3070468509984</c:v>
                </c:pt>
                <c:pt idx="43">
                  <c:v>336.13052419354841</c:v>
                </c:pt>
                <c:pt idx="44">
                  <c:v>232.6840773809524</c:v>
                </c:pt>
                <c:pt idx="45">
                  <c:v>60.905833974235733</c:v>
                </c:pt>
                <c:pt idx="46">
                  <c:v>50.570779265873028</c:v>
                </c:pt>
                <c:pt idx="47">
                  <c:v>142.3334091781874</c:v>
                </c:pt>
                <c:pt idx="48">
                  <c:v>37.011457373271902</c:v>
                </c:pt>
                <c:pt idx="49">
                  <c:v>45.22194434670422</c:v>
                </c:pt>
                <c:pt idx="50">
                  <c:v>16.60629569455887</c:v>
                </c:pt>
                <c:pt idx="51">
                  <c:v>25.44197023809528</c:v>
                </c:pt>
                <c:pt idx="52">
                  <c:v>5.9136136712749447</c:v>
                </c:pt>
                <c:pt idx="53">
                  <c:v>12.161335317460329</c:v>
                </c:pt>
                <c:pt idx="54">
                  <c:v>-24.919821428571421</c:v>
                </c:pt>
                <c:pt idx="55">
                  <c:v>-34.65271505376343</c:v>
                </c:pt>
                <c:pt idx="56">
                  <c:v>-25.39613095238094</c:v>
                </c:pt>
                <c:pt idx="57">
                  <c:v>-16.12012834070369</c:v>
                </c:pt>
                <c:pt idx="58">
                  <c:v>-0.97885962301585039</c:v>
                </c:pt>
                <c:pt idx="59">
                  <c:v>-37.849695660522272</c:v>
                </c:pt>
                <c:pt idx="60">
                  <c:v>-0.81545122887864352</c:v>
                </c:pt>
                <c:pt idx="61">
                  <c:v>-14.280249824067541</c:v>
                </c:pt>
                <c:pt idx="62">
                  <c:v>-21.28132913675017</c:v>
                </c:pt>
                <c:pt idx="63">
                  <c:v>-11.664210317460279</c:v>
                </c:pt>
                <c:pt idx="64">
                  <c:v>-9.5353110599078548</c:v>
                </c:pt>
                <c:pt idx="65">
                  <c:v>-16.581053571428559</c:v>
                </c:pt>
                <c:pt idx="66">
                  <c:v>-27.70077572964669</c:v>
                </c:pt>
                <c:pt idx="67">
                  <c:v>-47.666021505376342</c:v>
                </c:pt>
                <c:pt idx="68">
                  <c:v>-38.421992063492063</c:v>
                </c:pt>
                <c:pt idx="69">
                  <c:v>0.49408431070949632</c:v>
                </c:pt>
                <c:pt idx="70">
                  <c:v>6.7711681547619236</c:v>
                </c:pt>
                <c:pt idx="71">
                  <c:v>-15.49477630568356</c:v>
                </c:pt>
                <c:pt idx="72">
                  <c:v>22.4355837173579</c:v>
                </c:pt>
                <c:pt idx="73">
                  <c:v>39.933774703847078</c:v>
                </c:pt>
                <c:pt idx="74">
                  <c:v>1.8412271821745629</c:v>
                </c:pt>
                <c:pt idx="75">
                  <c:v>4.3314702380952781</c:v>
                </c:pt>
                <c:pt idx="76">
                  <c:v>-3.818751920122907</c:v>
                </c:pt>
                <c:pt idx="77">
                  <c:v>-21.549470238095228</c:v>
                </c:pt>
                <c:pt idx="78">
                  <c:v>-6.9292031490015384</c:v>
                </c:pt>
                <c:pt idx="79">
                  <c:v>-47.14606182795697</c:v>
                </c:pt>
                <c:pt idx="80">
                  <c:v>-37.73689484126983</c:v>
                </c:pt>
                <c:pt idx="81">
                  <c:v>2.1959113631994001</c:v>
                </c:pt>
                <c:pt idx="82">
                  <c:v>3.7399632936508169</c:v>
                </c:pt>
                <c:pt idx="83">
                  <c:v>-24.89474270353303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E20-864F-8F51-696F50BFF3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  <c:txPr>
        <a:bodyPr/>
        <a:lstStyle/>
        <a:p>
          <a:pPr rtl="0">
            <a:defRPr/>
          </a:pPr>
          <a:endParaRPr lang="en-DK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Monthly Spot Prices - DK1 (Primary) and DK2 (Robustness)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'Electricity Price Data'!$B$1</c:f>
              <c:strCache>
                <c:ptCount val="1"/>
                <c:pt idx="0">
                  <c:v>DK1 Spot Price (EUR/MWh)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'Electricity Price Data'!$B$2:$B$85</c:f>
              <c:numCache>
                <c:formatCode>General</c:formatCode>
                <c:ptCount val="84"/>
                <c:pt idx="0">
                  <c:v>50.295645161290317</c:v>
                </c:pt>
                <c:pt idx="1">
                  <c:v>42.813958333333332</c:v>
                </c:pt>
                <c:pt idx="2">
                  <c:v>33.608259109311753</c:v>
                </c:pt>
                <c:pt idx="3">
                  <c:v>39.068416666666657</c:v>
                </c:pt>
                <c:pt idx="4">
                  <c:v>37.429516129032258</c:v>
                </c:pt>
                <c:pt idx="5">
                  <c:v>32.879222222222232</c:v>
                </c:pt>
                <c:pt idx="6">
                  <c:v>38.817311827956978</c:v>
                </c:pt>
                <c:pt idx="7">
                  <c:v>37.865698924731177</c:v>
                </c:pt>
                <c:pt idx="8">
                  <c:v>35.378861111111107</c:v>
                </c:pt>
                <c:pt idx="9">
                  <c:v>38.347402422611033</c:v>
                </c:pt>
                <c:pt idx="10">
                  <c:v>41.745069444444447</c:v>
                </c:pt>
                <c:pt idx="11">
                  <c:v>34.04197580645161</c:v>
                </c:pt>
                <c:pt idx="12">
                  <c:v>24.99454301075269</c:v>
                </c:pt>
                <c:pt idx="13">
                  <c:v>17.585071839080459</c:v>
                </c:pt>
                <c:pt idx="14">
                  <c:v>18.301727395411611</c:v>
                </c:pt>
                <c:pt idx="15">
                  <c:v>14.533777777777781</c:v>
                </c:pt>
                <c:pt idx="16">
                  <c:v>16.053991935483872</c:v>
                </c:pt>
                <c:pt idx="17">
                  <c:v>26.276277777777771</c:v>
                </c:pt>
                <c:pt idx="18">
                  <c:v>24.61956989247312</c:v>
                </c:pt>
                <c:pt idx="19">
                  <c:v>34.539287634408602</c:v>
                </c:pt>
                <c:pt idx="20">
                  <c:v>38.535041666666658</c:v>
                </c:pt>
                <c:pt idx="21">
                  <c:v>25.814751009421261</c:v>
                </c:pt>
                <c:pt idx="22">
                  <c:v>23.754583333333329</c:v>
                </c:pt>
                <c:pt idx="23">
                  <c:v>34.511129032258061</c:v>
                </c:pt>
                <c:pt idx="24">
                  <c:v>50.205107526881719</c:v>
                </c:pt>
                <c:pt idx="25">
                  <c:v>47.261502976190478</c:v>
                </c:pt>
                <c:pt idx="26">
                  <c:v>45.129446693657208</c:v>
                </c:pt>
                <c:pt idx="27">
                  <c:v>47.967111111111109</c:v>
                </c:pt>
                <c:pt idx="28">
                  <c:v>54.30756720430108</c:v>
                </c:pt>
                <c:pt idx="29">
                  <c:v>73.71981944444444</c:v>
                </c:pt>
                <c:pt idx="30">
                  <c:v>79.999247311827958</c:v>
                </c:pt>
                <c:pt idx="31">
                  <c:v>82.788763440860208</c:v>
                </c:pt>
                <c:pt idx="32">
                  <c:v>125.3637638888889</c:v>
                </c:pt>
                <c:pt idx="33">
                  <c:v>117.0398115746972</c:v>
                </c:pt>
                <c:pt idx="34">
                  <c:v>141.79758333333331</c:v>
                </c:pt>
                <c:pt idx="35">
                  <c:v>189.34932795698921</c:v>
                </c:pt>
                <c:pt idx="36">
                  <c:v>117.9946505376344</c:v>
                </c:pt>
                <c:pt idx="37">
                  <c:v>113.120744047619</c:v>
                </c:pt>
                <c:pt idx="38">
                  <c:v>235.8248448043185</c:v>
                </c:pt>
                <c:pt idx="39">
                  <c:v>163.63747222222219</c:v>
                </c:pt>
                <c:pt idx="40">
                  <c:v>171.85803763440859</c:v>
                </c:pt>
                <c:pt idx="41">
                  <c:v>214.43025</c:v>
                </c:pt>
                <c:pt idx="42">
                  <c:v>275.03817204301072</c:v>
                </c:pt>
                <c:pt idx="43">
                  <c:v>456.75034946236559</c:v>
                </c:pt>
                <c:pt idx="44">
                  <c:v>342.81965277777778</c:v>
                </c:pt>
                <c:pt idx="45">
                  <c:v>137.13172274562581</c:v>
                </c:pt>
                <c:pt idx="46">
                  <c:v>139.7042083333333</c:v>
                </c:pt>
                <c:pt idx="47">
                  <c:v>249.66561827956991</c:v>
                </c:pt>
                <c:pt idx="48">
                  <c:v>112.5418413978495</c:v>
                </c:pt>
                <c:pt idx="49">
                  <c:v>118.136130952381</c:v>
                </c:pt>
                <c:pt idx="50">
                  <c:v>99.113913630229419</c:v>
                </c:pt>
                <c:pt idx="51">
                  <c:v>96.270972222222227</c:v>
                </c:pt>
                <c:pt idx="52">
                  <c:v>73.965779569892476</c:v>
                </c:pt>
                <c:pt idx="53">
                  <c:v>92.495430555555558</c:v>
                </c:pt>
                <c:pt idx="54">
                  <c:v>64.811303763440861</c:v>
                </c:pt>
                <c:pt idx="55">
                  <c:v>85.967110215053765</c:v>
                </c:pt>
                <c:pt idx="56">
                  <c:v>84.739444444444445</c:v>
                </c:pt>
                <c:pt idx="57">
                  <c:v>60.105760430686409</c:v>
                </c:pt>
                <c:pt idx="58">
                  <c:v>88.154569444444448</c:v>
                </c:pt>
                <c:pt idx="59">
                  <c:v>69.482513440860217</c:v>
                </c:pt>
                <c:pt idx="60">
                  <c:v>74.714932795698928</c:v>
                </c:pt>
                <c:pt idx="61">
                  <c:v>58.633936781609187</c:v>
                </c:pt>
                <c:pt idx="62">
                  <c:v>61.226288798920379</c:v>
                </c:pt>
                <c:pt idx="63">
                  <c:v>59.164791666666673</c:v>
                </c:pt>
                <c:pt idx="64">
                  <c:v>58.516854838709683</c:v>
                </c:pt>
                <c:pt idx="65">
                  <c:v>63.753041666666668</c:v>
                </c:pt>
                <c:pt idx="66">
                  <c:v>62.030349462365592</c:v>
                </c:pt>
                <c:pt idx="67">
                  <c:v>72.95380376344086</c:v>
                </c:pt>
                <c:pt idx="68">
                  <c:v>71.713583333333332</c:v>
                </c:pt>
                <c:pt idx="69">
                  <c:v>76.7199730820996</c:v>
                </c:pt>
                <c:pt idx="70">
                  <c:v>95.904597222222222</c:v>
                </c:pt>
                <c:pt idx="71">
                  <c:v>91.83743279569893</c:v>
                </c:pt>
                <c:pt idx="72">
                  <c:v>97.965967741935472</c:v>
                </c:pt>
                <c:pt idx="73">
                  <c:v>112.8479613095238</c:v>
                </c:pt>
                <c:pt idx="74">
                  <c:v>84.348845117845116</c:v>
                </c:pt>
                <c:pt idx="75">
                  <c:v>75.160472222222225</c:v>
                </c:pt>
                <c:pt idx="76">
                  <c:v>64.233413978494625</c:v>
                </c:pt>
                <c:pt idx="77">
                  <c:v>58.784624999999998</c:v>
                </c:pt>
                <c:pt idx="78">
                  <c:v>82.801922043010748</c:v>
                </c:pt>
                <c:pt idx="79">
                  <c:v>73.473763440860225</c:v>
                </c:pt>
                <c:pt idx="80">
                  <c:v>72.398680555555558</c:v>
                </c:pt>
                <c:pt idx="81">
                  <c:v>78.421800134589503</c:v>
                </c:pt>
                <c:pt idx="82">
                  <c:v>92.873392361111115</c:v>
                </c:pt>
                <c:pt idx="83">
                  <c:v>82.437466397849462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F80-3C41-95DD-A2CACD4DF5D1}"/>
            </c:ext>
          </c:extLst>
        </c:ser>
        <c:ser>
          <c:idx val="1"/>
          <c:order val="1"/>
          <c:tx>
            <c:strRef>
              <c:f>'Electricity Price Data'!$C$1</c:f>
              <c:strCache>
                <c:ptCount val="1"/>
                <c:pt idx="0">
                  <c:v>DK2 Spot Price (EUR/MWh)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'Electricity Price Data'!$C$2:$C$85</c:f>
              <c:numCache>
                <c:formatCode>General</c:formatCode>
                <c:ptCount val="84"/>
                <c:pt idx="0">
                  <c:v>51.655026881720417</c:v>
                </c:pt>
                <c:pt idx="1">
                  <c:v>43.932946428571427</c:v>
                </c:pt>
                <c:pt idx="2">
                  <c:v>35.667354925775967</c:v>
                </c:pt>
                <c:pt idx="3">
                  <c:v>39.892097222222233</c:v>
                </c:pt>
                <c:pt idx="4">
                  <c:v>38.151397849462363</c:v>
                </c:pt>
                <c:pt idx="5">
                  <c:v>33.622236111111107</c:v>
                </c:pt>
                <c:pt idx="6">
                  <c:v>39.000174731182803</c:v>
                </c:pt>
                <c:pt idx="7">
                  <c:v>39.493172043010752</c:v>
                </c:pt>
                <c:pt idx="8">
                  <c:v>37.321347222222222</c:v>
                </c:pt>
                <c:pt idx="9">
                  <c:v>41.599353970390311</c:v>
                </c:pt>
                <c:pt idx="10">
                  <c:v>42.696444444444452</c:v>
                </c:pt>
                <c:pt idx="11">
                  <c:v>35.34711021505376</c:v>
                </c:pt>
                <c:pt idx="12">
                  <c:v>27.385241935483869</c:v>
                </c:pt>
                <c:pt idx="13">
                  <c:v>18.816997126436782</c:v>
                </c:pt>
                <c:pt idx="14">
                  <c:v>20.05249662618084</c:v>
                </c:pt>
                <c:pt idx="15">
                  <c:v>17.354861111111109</c:v>
                </c:pt>
                <c:pt idx="16">
                  <c:v>19.04407258064516</c:v>
                </c:pt>
                <c:pt idx="17">
                  <c:v>29.82329166666667</c:v>
                </c:pt>
                <c:pt idx="18">
                  <c:v>25.886680107526882</c:v>
                </c:pt>
                <c:pt idx="19">
                  <c:v>40.923817204301074</c:v>
                </c:pt>
                <c:pt idx="20">
                  <c:v>39.51423611111111</c:v>
                </c:pt>
                <c:pt idx="21">
                  <c:v>26.933512786002691</c:v>
                </c:pt>
                <c:pt idx="22">
                  <c:v>35.711347222222223</c:v>
                </c:pt>
                <c:pt idx="23">
                  <c:v>39.257150537634409</c:v>
                </c:pt>
                <c:pt idx="24">
                  <c:v>50.858951612903233</c:v>
                </c:pt>
                <c:pt idx="25">
                  <c:v>54.54806547619048</c:v>
                </c:pt>
                <c:pt idx="26">
                  <c:v>46.732213225371119</c:v>
                </c:pt>
                <c:pt idx="27">
                  <c:v>47.862958333333339</c:v>
                </c:pt>
                <c:pt idx="28">
                  <c:v>55.208803763440862</c:v>
                </c:pt>
                <c:pt idx="29">
                  <c:v>73.58690277777778</c:v>
                </c:pt>
                <c:pt idx="30">
                  <c:v>81.44088709677419</c:v>
                </c:pt>
                <c:pt idx="31">
                  <c:v>84.363548387096785</c:v>
                </c:pt>
                <c:pt idx="32">
                  <c:v>123.9021111111111</c:v>
                </c:pt>
                <c:pt idx="33">
                  <c:v>106.9322745625841</c:v>
                </c:pt>
                <c:pt idx="34">
                  <c:v>136.38005555555549</c:v>
                </c:pt>
                <c:pt idx="35">
                  <c:v>191.06861559139779</c:v>
                </c:pt>
                <c:pt idx="36">
                  <c:v>111.62209677419349</c:v>
                </c:pt>
                <c:pt idx="37">
                  <c:v>100.2914136904762</c:v>
                </c:pt>
                <c:pt idx="38">
                  <c:v>227.92036437246961</c:v>
                </c:pt>
                <c:pt idx="39">
                  <c:v>152.83280555555561</c:v>
                </c:pt>
                <c:pt idx="40">
                  <c:v>162.65841397849459</c:v>
                </c:pt>
                <c:pt idx="41">
                  <c:v>213.2331388888889</c:v>
                </c:pt>
                <c:pt idx="42">
                  <c:v>233.47774193548389</c:v>
                </c:pt>
                <c:pt idx="43">
                  <c:v>449.7688306451613</c:v>
                </c:pt>
                <c:pt idx="44">
                  <c:v>328.80015277777778</c:v>
                </c:pt>
                <c:pt idx="45">
                  <c:v>136.89783310901751</c:v>
                </c:pt>
                <c:pt idx="46">
                  <c:v>145.05780555555549</c:v>
                </c:pt>
                <c:pt idx="47">
                  <c:v>248.88206989247311</c:v>
                </c:pt>
                <c:pt idx="48">
                  <c:v>99.762889784946225</c:v>
                </c:pt>
                <c:pt idx="49">
                  <c:v>100.6489285714286</c:v>
                </c:pt>
                <c:pt idx="50">
                  <c:v>89.795614035087723</c:v>
                </c:pt>
                <c:pt idx="51">
                  <c:v>83.651124999999993</c:v>
                </c:pt>
                <c:pt idx="52">
                  <c:v>66.151747311827961</c:v>
                </c:pt>
                <c:pt idx="53">
                  <c:v>91.423152777777773</c:v>
                </c:pt>
                <c:pt idx="54">
                  <c:v>65.24004032258064</c:v>
                </c:pt>
                <c:pt idx="55">
                  <c:v>86.293736559139788</c:v>
                </c:pt>
                <c:pt idx="56">
                  <c:v>85.484125000000006</c:v>
                </c:pt>
                <c:pt idx="57">
                  <c:v>56.925814266487208</c:v>
                </c:pt>
                <c:pt idx="58">
                  <c:v>81.486041666666665</c:v>
                </c:pt>
                <c:pt idx="59">
                  <c:v>70.879731182795695</c:v>
                </c:pt>
                <c:pt idx="60">
                  <c:v>78.214811827956993</c:v>
                </c:pt>
                <c:pt idx="61">
                  <c:v>54.722241379310347</c:v>
                </c:pt>
                <c:pt idx="62">
                  <c:v>61.040863697705802</c:v>
                </c:pt>
                <c:pt idx="63">
                  <c:v>60.476708333333328</c:v>
                </c:pt>
                <c:pt idx="64">
                  <c:v>58.122983870967737</c:v>
                </c:pt>
                <c:pt idx="65">
                  <c:v>66.79098611111111</c:v>
                </c:pt>
                <c:pt idx="66">
                  <c:v>62.841706989247307</c:v>
                </c:pt>
                <c:pt idx="67">
                  <c:v>72.614260752688182</c:v>
                </c:pt>
                <c:pt idx="68">
                  <c:v>70.411833333333334</c:v>
                </c:pt>
                <c:pt idx="69">
                  <c:v>76.326123822341856</c:v>
                </c:pt>
                <c:pt idx="70">
                  <c:v>95.282694444444431</c:v>
                </c:pt>
                <c:pt idx="71">
                  <c:v>92.728158602150543</c:v>
                </c:pt>
                <c:pt idx="72">
                  <c:v>100.1237365591398</c:v>
                </c:pt>
                <c:pt idx="73">
                  <c:v>117.9355505952381</c:v>
                </c:pt>
                <c:pt idx="74">
                  <c:v>82.846865319865316</c:v>
                </c:pt>
                <c:pt idx="75">
                  <c:v>75.806652777777785</c:v>
                </c:pt>
                <c:pt idx="76">
                  <c:v>63.082553763440863</c:v>
                </c:pt>
                <c:pt idx="77">
                  <c:v>56.448249999999987</c:v>
                </c:pt>
                <c:pt idx="78">
                  <c:v>79.959690860215062</c:v>
                </c:pt>
                <c:pt idx="79">
                  <c:v>75.315497311827954</c:v>
                </c:pt>
                <c:pt idx="80">
                  <c:v>83.288930555555552</c:v>
                </c:pt>
                <c:pt idx="81">
                  <c:v>82.368075370121133</c:v>
                </c:pt>
                <c:pt idx="82">
                  <c:v>93.695572916666663</c:v>
                </c:pt>
                <c:pt idx="83">
                  <c:v>82.081528897849466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F80-3C41-95DD-A2CACD4DF5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DK1 De-seasonalised Price Series (Primary)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'Electricity Price Data'!$E$1</c:f>
              <c:strCache>
                <c:ptCount val="1"/>
                <c:pt idx="0">
                  <c:v>DK1 De-seasonalised Price (EUR/MWh)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'Electricity Price Data'!$E$2:$E$85</c:f>
              <c:numCache>
                <c:formatCode>General</c:formatCode>
                <c:ptCount val="84"/>
                <c:pt idx="0">
                  <c:v>-25.234738863287252</c:v>
                </c:pt>
                <c:pt idx="1">
                  <c:v>-30.100228272343401</c:v>
                </c:pt>
                <c:pt idx="2">
                  <c:v>-48.899358826358807</c:v>
                </c:pt>
                <c:pt idx="3">
                  <c:v>-31.760585317460279</c:v>
                </c:pt>
                <c:pt idx="4">
                  <c:v>-30.622649769585269</c:v>
                </c:pt>
                <c:pt idx="5">
                  <c:v>-47.454873015873012</c:v>
                </c:pt>
                <c:pt idx="6">
                  <c:v>-50.913813364055301</c:v>
                </c:pt>
                <c:pt idx="7">
                  <c:v>-82.754126344086018</c:v>
                </c:pt>
                <c:pt idx="8">
                  <c:v>-74.756714285714281</c:v>
                </c:pt>
                <c:pt idx="9">
                  <c:v>-37.87848634877907</c:v>
                </c:pt>
                <c:pt idx="10">
                  <c:v>-47.388359623015852</c:v>
                </c:pt>
                <c:pt idx="11">
                  <c:v>-73.290233294930886</c:v>
                </c:pt>
                <c:pt idx="12">
                  <c:v>-50.535841013824893</c:v>
                </c:pt>
                <c:pt idx="13">
                  <c:v>-55.329114766596277</c:v>
                </c:pt>
                <c:pt idx="14">
                  <c:v>-64.205890540258949</c:v>
                </c:pt>
                <c:pt idx="15">
                  <c:v>-56.295224206349168</c:v>
                </c:pt>
                <c:pt idx="16">
                  <c:v>-51.998173963133659</c:v>
                </c:pt>
                <c:pt idx="17">
                  <c:v>-54.057817460317452</c:v>
                </c:pt>
                <c:pt idx="18">
                  <c:v>-65.111555299539162</c:v>
                </c:pt>
                <c:pt idx="19">
                  <c:v>-86.080537634408586</c:v>
                </c:pt>
                <c:pt idx="20">
                  <c:v>-71.60053373015873</c:v>
                </c:pt>
                <c:pt idx="21">
                  <c:v>-50.411137761968838</c:v>
                </c:pt>
                <c:pt idx="22">
                  <c:v>-65.378845734126969</c:v>
                </c:pt>
                <c:pt idx="23">
                  <c:v>-72.821080069124434</c:v>
                </c:pt>
                <c:pt idx="24">
                  <c:v>-25.32527649769585</c:v>
                </c:pt>
                <c:pt idx="25">
                  <c:v>-25.652683629486251</c:v>
                </c:pt>
                <c:pt idx="26">
                  <c:v>-37.378171242013337</c:v>
                </c:pt>
                <c:pt idx="27">
                  <c:v>-22.861890873015842</c:v>
                </c:pt>
                <c:pt idx="28">
                  <c:v>-13.74459869431645</c:v>
                </c:pt>
                <c:pt idx="29">
                  <c:v>-6.6142757936507914</c:v>
                </c:pt>
                <c:pt idx="30">
                  <c:v>-9.731877880184328</c:v>
                </c:pt>
                <c:pt idx="31">
                  <c:v>-37.831061827956987</c:v>
                </c:pt>
                <c:pt idx="32">
                  <c:v>15.228188492063509</c:v>
                </c:pt>
                <c:pt idx="33">
                  <c:v>40.813922803307079</c:v>
                </c:pt>
                <c:pt idx="34">
                  <c:v>52.664154265873037</c:v>
                </c:pt>
                <c:pt idx="35">
                  <c:v>82.017118855606753</c:v>
                </c:pt>
                <c:pt idx="36">
                  <c:v>42.464266513056842</c:v>
                </c:pt>
                <c:pt idx="37">
                  <c:v>40.206557441942309</c:v>
                </c:pt>
                <c:pt idx="38">
                  <c:v>153.31722686864791</c:v>
                </c:pt>
                <c:pt idx="39">
                  <c:v>92.808470238095268</c:v>
                </c:pt>
                <c:pt idx="40">
                  <c:v>103.8058717357911</c:v>
                </c:pt>
                <c:pt idx="41">
                  <c:v>134.09615476190481</c:v>
                </c:pt>
                <c:pt idx="42">
                  <c:v>185.3070468509984</c:v>
                </c:pt>
                <c:pt idx="43">
                  <c:v>336.13052419354841</c:v>
                </c:pt>
                <c:pt idx="44">
                  <c:v>232.6840773809524</c:v>
                </c:pt>
                <c:pt idx="45">
                  <c:v>60.905833974235733</c:v>
                </c:pt>
                <c:pt idx="46">
                  <c:v>50.570779265873028</c:v>
                </c:pt>
                <c:pt idx="47">
                  <c:v>142.3334091781874</c:v>
                </c:pt>
                <c:pt idx="48">
                  <c:v>37.011457373271902</c:v>
                </c:pt>
                <c:pt idx="49">
                  <c:v>45.22194434670422</c:v>
                </c:pt>
                <c:pt idx="50">
                  <c:v>16.60629569455887</c:v>
                </c:pt>
                <c:pt idx="51">
                  <c:v>25.44197023809528</c:v>
                </c:pt>
                <c:pt idx="52">
                  <c:v>5.9136136712749447</c:v>
                </c:pt>
                <c:pt idx="53">
                  <c:v>12.161335317460329</c:v>
                </c:pt>
                <c:pt idx="54">
                  <c:v>-24.919821428571421</c:v>
                </c:pt>
                <c:pt idx="55">
                  <c:v>-34.65271505376343</c:v>
                </c:pt>
                <c:pt idx="56">
                  <c:v>-25.39613095238094</c:v>
                </c:pt>
                <c:pt idx="57">
                  <c:v>-16.12012834070369</c:v>
                </c:pt>
                <c:pt idx="58">
                  <c:v>-0.97885962301585039</c:v>
                </c:pt>
                <c:pt idx="59">
                  <c:v>-37.849695660522272</c:v>
                </c:pt>
                <c:pt idx="60">
                  <c:v>-0.81545122887864352</c:v>
                </c:pt>
                <c:pt idx="61">
                  <c:v>-14.280249824067541</c:v>
                </c:pt>
                <c:pt idx="62">
                  <c:v>-21.28132913675017</c:v>
                </c:pt>
                <c:pt idx="63">
                  <c:v>-11.664210317460279</c:v>
                </c:pt>
                <c:pt idx="64">
                  <c:v>-9.5353110599078548</c:v>
                </c:pt>
                <c:pt idx="65">
                  <c:v>-16.581053571428559</c:v>
                </c:pt>
                <c:pt idx="66">
                  <c:v>-27.70077572964669</c:v>
                </c:pt>
                <c:pt idx="67">
                  <c:v>-47.666021505376342</c:v>
                </c:pt>
                <c:pt idx="68">
                  <c:v>-38.421992063492063</c:v>
                </c:pt>
                <c:pt idx="69">
                  <c:v>0.49408431070949632</c:v>
                </c:pt>
                <c:pt idx="70">
                  <c:v>6.7711681547619236</c:v>
                </c:pt>
                <c:pt idx="71">
                  <c:v>-15.49477630568356</c:v>
                </c:pt>
                <c:pt idx="72">
                  <c:v>22.4355837173579</c:v>
                </c:pt>
                <c:pt idx="73">
                  <c:v>39.933774703847078</c:v>
                </c:pt>
                <c:pt idx="74">
                  <c:v>1.8412271821745629</c:v>
                </c:pt>
                <c:pt idx="75">
                  <c:v>4.3314702380952781</c:v>
                </c:pt>
                <c:pt idx="76">
                  <c:v>-3.818751920122907</c:v>
                </c:pt>
                <c:pt idx="77">
                  <c:v>-21.549470238095228</c:v>
                </c:pt>
                <c:pt idx="78">
                  <c:v>-6.9292031490015384</c:v>
                </c:pt>
                <c:pt idx="79">
                  <c:v>-47.14606182795697</c:v>
                </c:pt>
                <c:pt idx="80">
                  <c:v>-37.73689484126983</c:v>
                </c:pt>
                <c:pt idx="81">
                  <c:v>2.1959113631994001</c:v>
                </c:pt>
                <c:pt idx="82">
                  <c:v>3.7399632936508169</c:v>
                </c:pt>
                <c:pt idx="83">
                  <c:v>-24.89474270353303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9C6-5443-8AF2-FB26691122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  <c:txPr>
        <a:bodyPr/>
        <a:lstStyle/>
        <a:p>
          <a:pPr rtl="0">
            <a:defRPr/>
          </a:pPr>
          <a:endParaRPr lang="en-DK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Monthly Spot Prices - DK1 (Primary) and DK2 (Robustness)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'Electricity Price Data'!$B$1</c:f>
              <c:strCache>
                <c:ptCount val="1"/>
                <c:pt idx="0">
                  <c:v>DK1 Spot Price (EUR/MWh)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'Electricity Price Data'!$B$2:$B$85</c:f>
              <c:numCache>
                <c:formatCode>General</c:formatCode>
                <c:ptCount val="84"/>
                <c:pt idx="0">
                  <c:v>50.295645161290317</c:v>
                </c:pt>
                <c:pt idx="1">
                  <c:v>42.813958333333332</c:v>
                </c:pt>
                <c:pt idx="2">
                  <c:v>33.608259109311753</c:v>
                </c:pt>
                <c:pt idx="3">
                  <c:v>39.068416666666657</c:v>
                </c:pt>
                <c:pt idx="4">
                  <c:v>37.429516129032258</c:v>
                </c:pt>
                <c:pt idx="5">
                  <c:v>32.879222222222232</c:v>
                </c:pt>
                <c:pt idx="6">
                  <c:v>38.817311827956978</c:v>
                </c:pt>
                <c:pt idx="7">
                  <c:v>37.865698924731177</c:v>
                </c:pt>
                <c:pt idx="8">
                  <c:v>35.378861111111107</c:v>
                </c:pt>
                <c:pt idx="9">
                  <c:v>38.347402422611033</c:v>
                </c:pt>
                <c:pt idx="10">
                  <c:v>41.745069444444447</c:v>
                </c:pt>
                <c:pt idx="11">
                  <c:v>34.04197580645161</c:v>
                </c:pt>
                <c:pt idx="12">
                  <c:v>24.99454301075269</c:v>
                </c:pt>
                <c:pt idx="13">
                  <c:v>17.585071839080459</c:v>
                </c:pt>
                <c:pt idx="14">
                  <c:v>18.301727395411611</c:v>
                </c:pt>
                <c:pt idx="15">
                  <c:v>14.533777777777781</c:v>
                </c:pt>
                <c:pt idx="16">
                  <c:v>16.053991935483872</c:v>
                </c:pt>
                <c:pt idx="17">
                  <c:v>26.276277777777771</c:v>
                </c:pt>
                <c:pt idx="18">
                  <c:v>24.61956989247312</c:v>
                </c:pt>
                <c:pt idx="19">
                  <c:v>34.539287634408602</c:v>
                </c:pt>
                <c:pt idx="20">
                  <c:v>38.535041666666658</c:v>
                </c:pt>
                <c:pt idx="21">
                  <c:v>25.814751009421261</c:v>
                </c:pt>
                <c:pt idx="22">
                  <c:v>23.754583333333329</c:v>
                </c:pt>
                <c:pt idx="23">
                  <c:v>34.511129032258061</c:v>
                </c:pt>
                <c:pt idx="24">
                  <c:v>50.205107526881719</c:v>
                </c:pt>
                <c:pt idx="25">
                  <c:v>47.261502976190478</c:v>
                </c:pt>
                <c:pt idx="26">
                  <c:v>45.129446693657208</c:v>
                </c:pt>
                <c:pt idx="27">
                  <c:v>47.967111111111109</c:v>
                </c:pt>
                <c:pt idx="28">
                  <c:v>54.30756720430108</c:v>
                </c:pt>
                <c:pt idx="29">
                  <c:v>73.71981944444444</c:v>
                </c:pt>
                <c:pt idx="30">
                  <c:v>79.999247311827958</c:v>
                </c:pt>
                <c:pt idx="31">
                  <c:v>82.788763440860208</c:v>
                </c:pt>
                <c:pt idx="32">
                  <c:v>125.3637638888889</c:v>
                </c:pt>
                <c:pt idx="33">
                  <c:v>117.0398115746972</c:v>
                </c:pt>
                <c:pt idx="34">
                  <c:v>141.79758333333331</c:v>
                </c:pt>
                <c:pt idx="35">
                  <c:v>189.34932795698921</c:v>
                </c:pt>
                <c:pt idx="36">
                  <c:v>117.9946505376344</c:v>
                </c:pt>
                <c:pt idx="37">
                  <c:v>113.120744047619</c:v>
                </c:pt>
                <c:pt idx="38">
                  <c:v>235.8248448043185</c:v>
                </c:pt>
                <c:pt idx="39">
                  <c:v>163.63747222222219</c:v>
                </c:pt>
                <c:pt idx="40">
                  <c:v>171.85803763440859</c:v>
                </c:pt>
                <c:pt idx="41">
                  <c:v>214.43025</c:v>
                </c:pt>
                <c:pt idx="42">
                  <c:v>275.03817204301072</c:v>
                </c:pt>
                <c:pt idx="43">
                  <c:v>456.75034946236559</c:v>
                </c:pt>
                <c:pt idx="44">
                  <c:v>342.81965277777778</c:v>
                </c:pt>
                <c:pt idx="45">
                  <c:v>137.13172274562581</c:v>
                </c:pt>
                <c:pt idx="46">
                  <c:v>139.7042083333333</c:v>
                </c:pt>
                <c:pt idx="47">
                  <c:v>249.66561827956991</c:v>
                </c:pt>
                <c:pt idx="48">
                  <c:v>112.5418413978495</c:v>
                </c:pt>
                <c:pt idx="49">
                  <c:v>118.136130952381</c:v>
                </c:pt>
                <c:pt idx="50">
                  <c:v>99.113913630229419</c:v>
                </c:pt>
                <c:pt idx="51">
                  <c:v>96.270972222222227</c:v>
                </c:pt>
                <c:pt idx="52">
                  <c:v>73.965779569892476</c:v>
                </c:pt>
                <c:pt idx="53">
                  <c:v>92.495430555555558</c:v>
                </c:pt>
                <c:pt idx="54">
                  <c:v>64.811303763440861</c:v>
                </c:pt>
                <c:pt idx="55">
                  <c:v>85.967110215053765</c:v>
                </c:pt>
                <c:pt idx="56">
                  <c:v>84.739444444444445</c:v>
                </c:pt>
                <c:pt idx="57">
                  <c:v>60.105760430686409</c:v>
                </c:pt>
                <c:pt idx="58">
                  <c:v>88.154569444444448</c:v>
                </c:pt>
                <c:pt idx="59">
                  <c:v>69.482513440860217</c:v>
                </c:pt>
                <c:pt idx="60">
                  <c:v>74.714932795698928</c:v>
                </c:pt>
                <c:pt idx="61">
                  <c:v>58.633936781609187</c:v>
                </c:pt>
                <c:pt idx="62">
                  <c:v>61.226288798920379</c:v>
                </c:pt>
                <c:pt idx="63">
                  <c:v>59.164791666666673</c:v>
                </c:pt>
                <c:pt idx="64">
                  <c:v>58.516854838709683</c:v>
                </c:pt>
                <c:pt idx="65">
                  <c:v>63.753041666666668</c:v>
                </c:pt>
                <c:pt idx="66">
                  <c:v>62.030349462365592</c:v>
                </c:pt>
                <c:pt idx="67">
                  <c:v>72.95380376344086</c:v>
                </c:pt>
                <c:pt idx="68">
                  <c:v>71.713583333333332</c:v>
                </c:pt>
                <c:pt idx="69">
                  <c:v>76.7199730820996</c:v>
                </c:pt>
                <c:pt idx="70">
                  <c:v>95.904597222222222</c:v>
                </c:pt>
                <c:pt idx="71">
                  <c:v>91.83743279569893</c:v>
                </c:pt>
                <c:pt idx="72">
                  <c:v>97.965967741935472</c:v>
                </c:pt>
                <c:pt idx="73">
                  <c:v>112.8479613095238</c:v>
                </c:pt>
                <c:pt idx="74">
                  <c:v>84.348845117845116</c:v>
                </c:pt>
                <c:pt idx="75">
                  <c:v>75.160472222222225</c:v>
                </c:pt>
                <c:pt idx="76">
                  <c:v>64.233413978494625</c:v>
                </c:pt>
                <c:pt idx="77">
                  <c:v>58.784624999999998</c:v>
                </c:pt>
                <c:pt idx="78">
                  <c:v>82.801922043010748</c:v>
                </c:pt>
                <c:pt idx="79">
                  <c:v>73.473763440860225</c:v>
                </c:pt>
                <c:pt idx="80">
                  <c:v>72.398680555555558</c:v>
                </c:pt>
                <c:pt idx="81">
                  <c:v>78.421800134589503</c:v>
                </c:pt>
                <c:pt idx="82">
                  <c:v>92.873392361111115</c:v>
                </c:pt>
                <c:pt idx="83">
                  <c:v>82.437466397849462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D6B-1443-8E87-5A986D1F79C2}"/>
            </c:ext>
          </c:extLst>
        </c:ser>
        <c:ser>
          <c:idx val="1"/>
          <c:order val="1"/>
          <c:tx>
            <c:strRef>
              <c:f>'Electricity Price Data'!$C$1</c:f>
              <c:strCache>
                <c:ptCount val="1"/>
                <c:pt idx="0">
                  <c:v>DK2 Spot Price (EUR/MWh)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'Electricity Price Data'!$C$2:$C$85</c:f>
              <c:numCache>
                <c:formatCode>General</c:formatCode>
                <c:ptCount val="84"/>
                <c:pt idx="0">
                  <c:v>51.655026881720417</c:v>
                </c:pt>
                <c:pt idx="1">
                  <c:v>43.932946428571427</c:v>
                </c:pt>
                <c:pt idx="2">
                  <c:v>35.667354925775967</c:v>
                </c:pt>
                <c:pt idx="3">
                  <c:v>39.892097222222233</c:v>
                </c:pt>
                <c:pt idx="4">
                  <c:v>38.151397849462363</c:v>
                </c:pt>
                <c:pt idx="5">
                  <c:v>33.622236111111107</c:v>
                </c:pt>
                <c:pt idx="6">
                  <c:v>39.000174731182803</c:v>
                </c:pt>
                <c:pt idx="7">
                  <c:v>39.493172043010752</c:v>
                </c:pt>
                <c:pt idx="8">
                  <c:v>37.321347222222222</c:v>
                </c:pt>
                <c:pt idx="9">
                  <c:v>41.599353970390311</c:v>
                </c:pt>
                <c:pt idx="10">
                  <c:v>42.696444444444452</c:v>
                </c:pt>
                <c:pt idx="11">
                  <c:v>35.34711021505376</c:v>
                </c:pt>
                <c:pt idx="12">
                  <c:v>27.385241935483869</c:v>
                </c:pt>
                <c:pt idx="13">
                  <c:v>18.816997126436782</c:v>
                </c:pt>
                <c:pt idx="14">
                  <c:v>20.05249662618084</c:v>
                </c:pt>
                <c:pt idx="15">
                  <c:v>17.354861111111109</c:v>
                </c:pt>
                <c:pt idx="16">
                  <c:v>19.04407258064516</c:v>
                </c:pt>
                <c:pt idx="17">
                  <c:v>29.82329166666667</c:v>
                </c:pt>
                <c:pt idx="18">
                  <c:v>25.886680107526882</c:v>
                </c:pt>
                <c:pt idx="19">
                  <c:v>40.923817204301074</c:v>
                </c:pt>
                <c:pt idx="20">
                  <c:v>39.51423611111111</c:v>
                </c:pt>
                <c:pt idx="21">
                  <c:v>26.933512786002691</c:v>
                </c:pt>
                <c:pt idx="22">
                  <c:v>35.711347222222223</c:v>
                </c:pt>
                <c:pt idx="23">
                  <c:v>39.257150537634409</c:v>
                </c:pt>
                <c:pt idx="24">
                  <c:v>50.858951612903233</c:v>
                </c:pt>
                <c:pt idx="25">
                  <c:v>54.54806547619048</c:v>
                </c:pt>
                <c:pt idx="26">
                  <c:v>46.732213225371119</c:v>
                </c:pt>
                <c:pt idx="27">
                  <c:v>47.862958333333339</c:v>
                </c:pt>
                <c:pt idx="28">
                  <c:v>55.208803763440862</c:v>
                </c:pt>
                <c:pt idx="29">
                  <c:v>73.58690277777778</c:v>
                </c:pt>
                <c:pt idx="30">
                  <c:v>81.44088709677419</c:v>
                </c:pt>
                <c:pt idx="31">
                  <c:v>84.363548387096785</c:v>
                </c:pt>
                <c:pt idx="32">
                  <c:v>123.9021111111111</c:v>
                </c:pt>
                <c:pt idx="33">
                  <c:v>106.9322745625841</c:v>
                </c:pt>
                <c:pt idx="34">
                  <c:v>136.38005555555549</c:v>
                </c:pt>
                <c:pt idx="35">
                  <c:v>191.06861559139779</c:v>
                </c:pt>
                <c:pt idx="36">
                  <c:v>111.62209677419349</c:v>
                </c:pt>
                <c:pt idx="37">
                  <c:v>100.2914136904762</c:v>
                </c:pt>
                <c:pt idx="38">
                  <c:v>227.92036437246961</c:v>
                </c:pt>
                <c:pt idx="39">
                  <c:v>152.83280555555561</c:v>
                </c:pt>
                <c:pt idx="40">
                  <c:v>162.65841397849459</c:v>
                </c:pt>
                <c:pt idx="41">
                  <c:v>213.2331388888889</c:v>
                </c:pt>
                <c:pt idx="42">
                  <c:v>233.47774193548389</c:v>
                </c:pt>
                <c:pt idx="43">
                  <c:v>449.7688306451613</c:v>
                </c:pt>
                <c:pt idx="44">
                  <c:v>328.80015277777778</c:v>
                </c:pt>
                <c:pt idx="45">
                  <c:v>136.89783310901751</c:v>
                </c:pt>
                <c:pt idx="46">
                  <c:v>145.05780555555549</c:v>
                </c:pt>
                <c:pt idx="47">
                  <c:v>248.88206989247311</c:v>
                </c:pt>
                <c:pt idx="48">
                  <c:v>99.762889784946225</c:v>
                </c:pt>
                <c:pt idx="49">
                  <c:v>100.6489285714286</c:v>
                </c:pt>
                <c:pt idx="50">
                  <c:v>89.795614035087723</c:v>
                </c:pt>
                <c:pt idx="51">
                  <c:v>83.651124999999993</c:v>
                </c:pt>
                <c:pt idx="52">
                  <c:v>66.151747311827961</c:v>
                </c:pt>
                <c:pt idx="53">
                  <c:v>91.423152777777773</c:v>
                </c:pt>
                <c:pt idx="54">
                  <c:v>65.24004032258064</c:v>
                </c:pt>
                <c:pt idx="55">
                  <c:v>86.293736559139788</c:v>
                </c:pt>
                <c:pt idx="56">
                  <c:v>85.484125000000006</c:v>
                </c:pt>
                <c:pt idx="57">
                  <c:v>56.925814266487208</c:v>
                </c:pt>
                <c:pt idx="58">
                  <c:v>81.486041666666665</c:v>
                </c:pt>
                <c:pt idx="59">
                  <c:v>70.879731182795695</c:v>
                </c:pt>
                <c:pt idx="60">
                  <c:v>78.214811827956993</c:v>
                </c:pt>
                <c:pt idx="61">
                  <c:v>54.722241379310347</c:v>
                </c:pt>
                <c:pt idx="62">
                  <c:v>61.040863697705802</c:v>
                </c:pt>
                <c:pt idx="63">
                  <c:v>60.476708333333328</c:v>
                </c:pt>
                <c:pt idx="64">
                  <c:v>58.122983870967737</c:v>
                </c:pt>
                <c:pt idx="65">
                  <c:v>66.79098611111111</c:v>
                </c:pt>
                <c:pt idx="66">
                  <c:v>62.841706989247307</c:v>
                </c:pt>
                <c:pt idx="67">
                  <c:v>72.614260752688182</c:v>
                </c:pt>
                <c:pt idx="68">
                  <c:v>70.411833333333334</c:v>
                </c:pt>
                <c:pt idx="69">
                  <c:v>76.326123822341856</c:v>
                </c:pt>
                <c:pt idx="70">
                  <c:v>95.282694444444431</c:v>
                </c:pt>
                <c:pt idx="71">
                  <c:v>92.728158602150543</c:v>
                </c:pt>
                <c:pt idx="72">
                  <c:v>100.1237365591398</c:v>
                </c:pt>
                <c:pt idx="73">
                  <c:v>117.9355505952381</c:v>
                </c:pt>
                <c:pt idx="74">
                  <c:v>82.846865319865316</c:v>
                </c:pt>
                <c:pt idx="75">
                  <c:v>75.806652777777785</c:v>
                </c:pt>
                <c:pt idx="76">
                  <c:v>63.082553763440863</c:v>
                </c:pt>
                <c:pt idx="77">
                  <c:v>56.448249999999987</c:v>
                </c:pt>
                <c:pt idx="78">
                  <c:v>79.959690860215062</c:v>
                </c:pt>
                <c:pt idx="79">
                  <c:v>75.315497311827954</c:v>
                </c:pt>
                <c:pt idx="80">
                  <c:v>83.288930555555552</c:v>
                </c:pt>
                <c:pt idx="81">
                  <c:v>82.368075370121133</c:v>
                </c:pt>
                <c:pt idx="82">
                  <c:v>93.695572916666663</c:v>
                </c:pt>
                <c:pt idx="83">
                  <c:v>82.081528897849466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D6B-1443-8E87-5A986D1F79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DK1 De-seasonalised Price Series (Primary)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'Electricity Price Data'!$E$1</c:f>
              <c:strCache>
                <c:ptCount val="1"/>
                <c:pt idx="0">
                  <c:v>DK1 De-seasonalised Price (EUR/MWh)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'Electricity Price Data'!$E$2:$E$85</c:f>
              <c:numCache>
                <c:formatCode>General</c:formatCode>
                <c:ptCount val="84"/>
                <c:pt idx="0">
                  <c:v>-25.234738863287252</c:v>
                </c:pt>
                <c:pt idx="1">
                  <c:v>-30.100228272343401</c:v>
                </c:pt>
                <c:pt idx="2">
                  <c:v>-48.899358826358807</c:v>
                </c:pt>
                <c:pt idx="3">
                  <c:v>-31.760585317460279</c:v>
                </c:pt>
                <c:pt idx="4">
                  <c:v>-30.622649769585269</c:v>
                </c:pt>
                <c:pt idx="5">
                  <c:v>-47.454873015873012</c:v>
                </c:pt>
                <c:pt idx="6">
                  <c:v>-50.913813364055301</c:v>
                </c:pt>
                <c:pt idx="7">
                  <c:v>-82.754126344086018</c:v>
                </c:pt>
                <c:pt idx="8">
                  <c:v>-74.756714285714281</c:v>
                </c:pt>
                <c:pt idx="9">
                  <c:v>-37.87848634877907</c:v>
                </c:pt>
                <c:pt idx="10">
                  <c:v>-47.388359623015852</c:v>
                </c:pt>
                <c:pt idx="11">
                  <c:v>-73.290233294930886</c:v>
                </c:pt>
                <c:pt idx="12">
                  <c:v>-50.535841013824893</c:v>
                </c:pt>
                <c:pt idx="13">
                  <c:v>-55.329114766596277</c:v>
                </c:pt>
                <c:pt idx="14">
                  <c:v>-64.205890540258949</c:v>
                </c:pt>
                <c:pt idx="15">
                  <c:v>-56.295224206349168</c:v>
                </c:pt>
                <c:pt idx="16">
                  <c:v>-51.998173963133659</c:v>
                </c:pt>
                <c:pt idx="17">
                  <c:v>-54.057817460317452</c:v>
                </c:pt>
                <c:pt idx="18">
                  <c:v>-65.111555299539162</c:v>
                </c:pt>
                <c:pt idx="19">
                  <c:v>-86.080537634408586</c:v>
                </c:pt>
                <c:pt idx="20">
                  <c:v>-71.60053373015873</c:v>
                </c:pt>
                <c:pt idx="21">
                  <c:v>-50.411137761968838</c:v>
                </c:pt>
                <c:pt idx="22">
                  <c:v>-65.378845734126969</c:v>
                </c:pt>
                <c:pt idx="23">
                  <c:v>-72.821080069124434</c:v>
                </c:pt>
                <c:pt idx="24">
                  <c:v>-25.32527649769585</c:v>
                </c:pt>
                <c:pt idx="25">
                  <c:v>-25.652683629486251</c:v>
                </c:pt>
                <c:pt idx="26">
                  <c:v>-37.378171242013337</c:v>
                </c:pt>
                <c:pt idx="27">
                  <c:v>-22.861890873015842</c:v>
                </c:pt>
                <c:pt idx="28">
                  <c:v>-13.74459869431645</c:v>
                </c:pt>
                <c:pt idx="29">
                  <c:v>-6.6142757936507914</c:v>
                </c:pt>
                <c:pt idx="30">
                  <c:v>-9.731877880184328</c:v>
                </c:pt>
                <c:pt idx="31">
                  <c:v>-37.831061827956987</c:v>
                </c:pt>
                <c:pt idx="32">
                  <c:v>15.228188492063509</c:v>
                </c:pt>
                <c:pt idx="33">
                  <c:v>40.813922803307079</c:v>
                </c:pt>
                <c:pt idx="34">
                  <c:v>52.664154265873037</c:v>
                </c:pt>
                <c:pt idx="35">
                  <c:v>82.017118855606753</c:v>
                </c:pt>
                <c:pt idx="36">
                  <c:v>42.464266513056842</c:v>
                </c:pt>
                <c:pt idx="37">
                  <c:v>40.206557441942309</c:v>
                </c:pt>
                <c:pt idx="38">
                  <c:v>153.31722686864791</c:v>
                </c:pt>
                <c:pt idx="39">
                  <c:v>92.808470238095268</c:v>
                </c:pt>
                <c:pt idx="40">
                  <c:v>103.8058717357911</c:v>
                </c:pt>
                <c:pt idx="41">
                  <c:v>134.09615476190481</c:v>
                </c:pt>
                <c:pt idx="42">
                  <c:v>185.3070468509984</c:v>
                </c:pt>
                <c:pt idx="43">
                  <c:v>336.13052419354841</c:v>
                </c:pt>
                <c:pt idx="44">
                  <c:v>232.6840773809524</c:v>
                </c:pt>
                <c:pt idx="45">
                  <c:v>60.905833974235733</c:v>
                </c:pt>
                <c:pt idx="46">
                  <c:v>50.570779265873028</c:v>
                </c:pt>
                <c:pt idx="47">
                  <c:v>142.3334091781874</c:v>
                </c:pt>
                <c:pt idx="48">
                  <c:v>37.011457373271902</c:v>
                </c:pt>
                <c:pt idx="49">
                  <c:v>45.22194434670422</c:v>
                </c:pt>
                <c:pt idx="50">
                  <c:v>16.60629569455887</c:v>
                </c:pt>
                <c:pt idx="51">
                  <c:v>25.44197023809528</c:v>
                </c:pt>
                <c:pt idx="52">
                  <c:v>5.9136136712749447</c:v>
                </c:pt>
                <c:pt idx="53">
                  <c:v>12.161335317460329</c:v>
                </c:pt>
                <c:pt idx="54">
                  <c:v>-24.919821428571421</c:v>
                </c:pt>
                <c:pt idx="55">
                  <c:v>-34.65271505376343</c:v>
                </c:pt>
                <c:pt idx="56">
                  <c:v>-25.39613095238094</c:v>
                </c:pt>
                <c:pt idx="57">
                  <c:v>-16.12012834070369</c:v>
                </c:pt>
                <c:pt idx="58">
                  <c:v>-0.97885962301585039</c:v>
                </c:pt>
                <c:pt idx="59">
                  <c:v>-37.849695660522272</c:v>
                </c:pt>
                <c:pt idx="60">
                  <c:v>-0.81545122887864352</c:v>
                </c:pt>
                <c:pt idx="61">
                  <c:v>-14.280249824067541</c:v>
                </c:pt>
                <c:pt idx="62">
                  <c:v>-21.28132913675017</c:v>
                </c:pt>
                <c:pt idx="63">
                  <c:v>-11.664210317460279</c:v>
                </c:pt>
                <c:pt idx="64">
                  <c:v>-9.5353110599078548</c:v>
                </c:pt>
                <c:pt idx="65">
                  <c:v>-16.581053571428559</c:v>
                </c:pt>
                <c:pt idx="66">
                  <c:v>-27.70077572964669</c:v>
                </c:pt>
                <c:pt idx="67">
                  <c:v>-47.666021505376342</c:v>
                </c:pt>
                <c:pt idx="68">
                  <c:v>-38.421992063492063</c:v>
                </c:pt>
                <c:pt idx="69">
                  <c:v>0.49408431070949632</c:v>
                </c:pt>
                <c:pt idx="70">
                  <c:v>6.7711681547619236</c:v>
                </c:pt>
                <c:pt idx="71">
                  <c:v>-15.49477630568356</c:v>
                </c:pt>
                <c:pt idx="72">
                  <c:v>22.4355837173579</c:v>
                </c:pt>
                <c:pt idx="73">
                  <c:v>39.933774703847078</c:v>
                </c:pt>
                <c:pt idx="74">
                  <c:v>1.8412271821745629</c:v>
                </c:pt>
                <c:pt idx="75">
                  <c:v>4.3314702380952781</c:v>
                </c:pt>
                <c:pt idx="76">
                  <c:v>-3.818751920122907</c:v>
                </c:pt>
                <c:pt idx="77">
                  <c:v>-21.549470238095228</c:v>
                </c:pt>
                <c:pt idx="78">
                  <c:v>-6.9292031490015384</c:v>
                </c:pt>
                <c:pt idx="79">
                  <c:v>-47.14606182795697</c:v>
                </c:pt>
                <c:pt idx="80">
                  <c:v>-37.73689484126983</c:v>
                </c:pt>
                <c:pt idx="81">
                  <c:v>2.1959113631994001</c:v>
                </c:pt>
                <c:pt idx="82">
                  <c:v>3.7399632936508169</c:v>
                </c:pt>
                <c:pt idx="83">
                  <c:v>-24.89474270353303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EB2-ED44-8E8F-94ABC38EF9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  <c:txPr>
        <a:bodyPr/>
        <a:lstStyle/>
        <a:p>
          <a:pPr rtl="0">
            <a:defRPr/>
          </a:pPr>
          <a:endParaRPr lang="en-DK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Monthly Spot Prices - DK1 (Primary) and DK2 (Robustness)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'Electricity Price Data'!$B$1</c:f>
              <c:strCache>
                <c:ptCount val="1"/>
                <c:pt idx="0">
                  <c:v>DK1 Spot Price (EUR/MWh)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'Electricity Price Data'!$B$2:$B$85</c:f>
              <c:numCache>
                <c:formatCode>General</c:formatCode>
                <c:ptCount val="84"/>
                <c:pt idx="0">
                  <c:v>50.295645161290317</c:v>
                </c:pt>
                <c:pt idx="1">
                  <c:v>42.813958333333332</c:v>
                </c:pt>
                <c:pt idx="2">
                  <c:v>33.608259109311753</c:v>
                </c:pt>
                <c:pt idx="3">
                  <c:v>39.068416666666657</c:v>
                </c:pt>
                <c:pt idx="4">
                  <c:v>37.429516129032258</c:v>
                </c:pt>
                <c:pt idx="5">
                  <c:v>32.879222222222232</c:v>
                </c:pt>
                <c:pt idx="6">
                  <c:v>38.817311827956978</c:v>
                </c:pt>
                <c:pt idx="7">
                  <c:v>37.865698924731177</c:v>
                </c:pt>
                <c:pt idx="8">
                  <c:v>35.378861111111107</c:v>
                </c:pt>
                <c:pt idx="9">
                  <c:v>38.347402422611033</c:v>
                </c:pt>
                <c:pt idx="10">
                  <c:v>41.745069444444447</c:v>
                </c:pt>
                <c:pt idx="11">
                  <c:v>34.04197580645161</c:v>
                </c:pt>
                <c:pt idx="12">
                  <c:v>24.99454301075269</c:v>
                </c:pt>
                <c:pt idx="13">
                  <c:v>17.585071839080459</c:v>
                </c:pt>
                <c:pt idx="14">
                  <c:v>18.301727395411611</c:v>
                </c:pt>
                <c:pt idx="15">
                  <c:v>14.533777777777781</c:v>
                </c:pt>
                <c:pt idx="16">
                  <c:v>16.053991935483872</c:v>
                </c:pt>
                <c:pt idx="17">
                  <c:v>26.276277777777771</c:v>
                </c:pt>
                <c:pt idx="18">
                  <c:v>24.61956989247312</c:v>
                </c:pt>
                <c:pt idx="19">
                  <c:v>34.539287634408602</c:v>
                </c:pt>
                <c:pt idx="20">
                  <c:v>38.535041666666658</c:v>
                </c:pt>
                <c:pt idx="21">
                  <c:v>25.814751009421261</c:v>
                </c:pt>
                <c:pt idx="22">
                  <c:v>23.754583333333329</c:v>
                </c:pt>
                <c:pt idx="23">
                  <c:v>34.511129032258061</c:v>
                </c:pt>
                <c:pt idx="24">
                  <c:v>50.205107526881719</c:v>
                </c:pt>
                <c:pt idx="25">
                  <c:v>47.261502976190478</c:v>
                </c:pt>
                <c:pt idx="26">
                  <c:v>45.129446693657208</c:v>
                </c:pt>
                <c:pt idx="27">
                  <c:v>47.967111111111109</c:v>
                </c:pt>
                <c:pt idx="28">
                  <c:v>54.30756720430108</c:v>
                </c:pt>
                <c:pt idx="29">
                  <c:v>73.71981944444444</c:v>
                </c:pt>
                <c:pt idx="30">
                  <c:v>79.999247311827958</c:v>
                </c:pt>
                <c:pt idx="31">
                  <c:v>82.788763440860208</c:v>
                </c:pt>
                <c:pt idx="32">
                  <c:v>125.3637638888889</c:v>
                </c:pt>
                <c:pt idx="33">
                  <c:v>117.0398115746972</c:v>
                </c:pt>
                <c:pt idx="34">
                  <c:v>141.79758333333331</c:v>
                </c:pt>
                <c:pt idx="35">
                  <c:v>189.34932795698921</c:v>
                </c:pt>
                <c:pt idx="36">
                  <c:v>117.9946505376344</c:v>
                </c:pt>
                <c:pt idx="37">
                  <c:v>113.120744047619</c:v>
                </c:pt>
                <c:pt idx="38">
                  <c:v>235.8248448043185</c:v>
                </c:pt>
                <c:pt idx="39">
                  <c:v>163.63747222222219</c:v>
                </c:pt>
                <c:pt idx="40">
                  <c:v>171.85803763440859</c:v>
                </c:pt>
                <c:pt idx="41">
                  <c:v>214.43025</c:v>
                </c:pt>
                <c:pt idx="42">
                  <c:v>275.03817204301072</c:v>
                </c:pt>
                <c:pt idx="43">
                  <c:v>456.75034946236559</c:v>
                </c:pt>
                <c:pt idx="44">
                  <c:v>342.81965277777778</c:v>
                </c:pt>
                <c:pt idx="45">
                  <c:v>137.13172274562581</c:v>
                </c:pt>
                <c:pt idx="46">
                  <c:v>139.7042083333333</c:v>
                </c:pt>
                <c:pt idx="47">
                  <c:v>249.66561827956991</c:v>
                </c:pt>
                <c:pt idx="48">
                  <c:v>112.5418413978495</c:v>
                </c:pt>
                <c:pt idx="49">
                  <c:v>118.136130952381</c:v>
                </c:pt>
                <c:pt idx="50">
                  <c:v>99.113913630229419</c:v>
                </c:pt>
                <c:pt idx="51">
                  <c:v>96.270972222222227</c:v>
                </c:pt>
                <c:pt idx="52">
                  <c:v>73.965779569892476</c:v>
                </c:pt>
                <c:pt idx="53">
                  <c:v>92.495430555555558</c:v>
                </c:pt>
                <c:pt idx="54">
                  <c:v>64.811303763440861</c:v>
                </c:pt>
                <c:pt idx="55">
                  <c:v>85.967110215053765</c:v>
                </c:pt>
                <c:pt idx="56">
                  <c:v>84.739444444444445</c:v>
                </c:pt>
                <c:pt idx="57">
                  <c:v>60.105760430686409</c:v>
                </c:pt>
                <c:pt idx="58">
                  <c:v>88.154569444444448</c:v>
                </c:pt>
                <c:pt idx="59">
                  <c:v>69.482513440860217</c:v>
                </c:pt>
                <c:pt idx="60">
                  <c:v>74.714932795698928</c:v>
                </c:pt>
                <c:pt idx="61">
                  <c:v>58.633936781609187</c:v>
                </c:pt>
                <c:pt idx="62">
                  <c:v>61.226288798920379</c:v>
                </c:pt>
                <c:pt idx="63">
                  <c:v>59.164791666666673</c:v>
                </c:pt>
                <c:pt idx="64">
                  <c:v>58.516854838709683</c:v>
                </c:pt>
                <c:pt idx="65">
                  <c:v>63.753041666666668</c:v>
                </c:pt>
                <c:pt idx="66">
                  <c:v>62.030349462365592</c:v>
                </c:pt>
                <c:pt idx="67">
                  <c:v>72.95380376344086</c:v>
                </c:pt>
                <c:pt idx="68">
                  <c:v>71.713583333333332</c:v>
                </c:pt>
                <c:pt idx="69">
                  <c:v>76.7199730820996</c:v>
                </c:pt>
                <c:pt idx="70">
                  <c:v>95.904597222222222</c:v>
                </c:pt>
                <c:pt idx="71">
                  <c:v>91.83743279569893</c:v>
                </c:pt>
                <c:pt idx="72">
                  <c:v>97.965967741935472</c:v>
                </c:pt>
                <c:pt idx="73">
                  <c:v>112.8479613095238</c:v>
                </c:pt>
                <c:pt idx="74">
                  <c:v>84.348845117845116</c:v>
                </c:pt>
                <c:pt idx="75">
                  <c:v>75.160472222222225</c:v>
                </c:pt>
                <c:pt idx="76">
                  <c:v>64.233413978494625</c:v>
                </c:pt>
                <c:pt idx="77">
                  <c:v>58.784624999999998</c:v>
                </c:pt>
                <c:pt idx="78">
                  <c:v>82.801922043010748</c:v>
                </c:pt>
                <c:pt idx="79">
                  <c:v>73.473763440860225</c:v>
                </c:pt>
                <c:pt idx="80">
                  <c:v>72.398680555555558</c:v>
                </c:pt>
                <c:pt idx="81">
                  <c:v>78.421800134589503</c:v>
                </c:pt>
                <c:pt idx="82">
                  <c:v>92.873392361111115</c:v>
                </c:pt>
                <c:pt idx="83">
                  <c:v>82.437466397849462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587-8A4D-BC09-C0D1E1519396}"/>
            </c:ext>
          </c:extLst>
        </c:ser>
        <c:ser>
          <c:idx val="1"/>
          <c:order val="1"/>
          <c:tx>
            <c:strRef>
              <c:f>'Electricity Price Data'!$C$1</c:f>
              <c:strCache>
                <c:ptCount val="1"/>
                <c:pt idx="0">
                  <c:v>DK2 Spot Price (EUR/MWh)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'Electricity Price Data'!$C$2:$C$85</c:f>
              <c:numCache>
                <c:formatCode>General</c:formatCode>
                <c:ptCount val="84"/>
                <c:pt idx="0">
                  <c:v>51.655026881720417</c:v>
                </c:pt>
                <c:pt idx="1">
                  <c:v>43.932946428571427</c:v>
                </c:pt>
                <c:pt idx="2">
                  <c:v>35.667354925775967</c:v>
                </c:pt>
                <c:pt idx="3">
                  <c:v>39.892097222222233</c:v>
                </c:pt>
                <c:pt idx="4">
                  <c:v>38.151397849462363</c:v>
                </c:pt>
                <c:pt idx="5">
                  <c:v>33.622236111111107</c:v>
                </c:pt>
                <c:pt idx="6">
                  <c:v>39.000174731182803</c:v>
                </c:pt>
                <c:pt idx="7">
                  <c:v>39.493172043010752</c:v>
                </c:pt>
                <c:pt idx="8">
                  <c:v>37.321347222222222</c:v>
                </c:pt>
                <c:pt idx="9">
                  <c:v>41.599353970390311</c:v>
                </c:pt>
                <c:pt idx="10">
                  <c:v>42.696444444444452</c:v>
                </c:pt>
                <c:pt idx="11">
                  <c:v>35.34711021505376</c:v>
                </c:pt>
                <c:pt idx="12">
                  <c:v>27.385241935483869</c:v>
                </c:pt>
                <c:pt idx="13">
                  <c:v>18.816997126436782</c:v>
                </c:pt>
                <c:pt idx="14">
                  <c:v>20.05249662618084</c:v>
                </c:pt>
                <c:pt idx="15">
                  <c:v>17.354861111111109</c:v>
                </c:pt>
                <c:pt idx="16">
                  <c:v>19.04407258064516</c:v>
                </c:pt>
                <c:pt idx="17">
                  <c:v>29.82329166666667</c:v>
                </c:pt>
                <c:pt idx="18">
                  <c:v>25.886680107526882</c:v>
                </c:pt>
                <c:pt idx="19">
                  <c:v>40.923817204301074</c:v>
                </c:pt>
                <c:pt idx="20">
                  <c:v>39.51423611111111</c:v>
                </c:pt>
                <c:pt idx="21">
                  <c:v>26.933512786002691</c:v>
                </c:pt>
                <c:pt idx="22">
                  <c:v>35.711347222222223</c:v>
                </c:pt>
                <c:pt idx="23">
                  <c:v>39.257150537634409</c:v>
                </c:pt>
                <c:pt idx="24">
                  <c:v>50.858951612903233</c:v>
                </c:pt>
                <c:pt idx="25">
                  <c:v>54.54806547619048</c:v>
                </c:pt>
                <c:pt idx="26">
                  <c:v>46.732213225371119</c:v>
                </c:pt>
                <c:pt idx="27">
                  <c:v>47.862958333333339</c:v>
                </c:pt>
                <c:pt idx="28">
                  <c:v>55.208803763440862</c:v>
                </c:pt>
                <c:pt idx="29">
                  <c:v>73.58690277777778</c:v>
                </c:pt>
                <c:pt idx="30">
                  <c:v>81.44088709677419</c:v>
                </c:pt>
                <c:pt idx="31">
                  <c:v>84.363548387096785</c:v>
                </c:pt>
                <c:pt idx="32">
                  <c:v>123.9021111111111</c:v>
                </c:pt>
                <c:pt idx="33">
                  <c:v>106.9322745625841</c:v>
                </c:pt>
                <c:pt idx="34">
                  <c:v>136.38005555555549</c:v>
                </c:pt>
                <c:pt idx="35">
                  <c:v>191.06861559139779</c:v>
                </c:pt>
                <c:pt idx="36">
                  <c:v>111.62209677419349</c:v>
                </c:pt>
                <c:pt idx="37">
                  <c:v>100.2914136904762</c:v>
                </c:pt>
                <c:pt idx="38">
                  <c:v>227.92036437246961</c:v>
                </c:pt>
                <c:pt idx="39">
                  <c:v>152.83280555555561</c:v>
                </c:pt>
                <c:pt idx="40">
                  <c:v>162.65841397849459</c:v>
                </c:pt>
                <c:pt idx="41">
                  <c:v>213.2331388888889</c:v>
                </c:pt>
                <c:pt idx="42">
                  <c:v>233.47774193548389</c:v>
                </c:pt>
                <c:pt idx="43">
                  <c:v>449.7688306451613</c:v>
                </c:pt>
                <c:pt idx="44">
                  <c:v>328.80015277777778</c:v>
                </c:pt>
                <c:pt idx="45">
                  <c:v>136.89783310901751</c:v>
                </c:pt>
                <c:pt idx="46">
                  <c:v>145.05780555555549</c:v>
                </c:pt>
                <c:pt idx="47">
                  <c:v>248.88206989247311</c:v>
                </c:pt>
                <c:pt idx="48">
                  <c:v>99.762889784946225</c:v>
                </c:pt>
                <c:pt idx="49">
                  <c:v>100.6489285714286</c:v>
                </c:pt>
                <c:pt idx="50">
                  <c:v>89.795614035087723</c:v>
                </c:pt>
                <c:pt idx="51">
                  <c:v>83.651124999999993</c:v>
                </c:pt>
                <c:pt idx="52">
                  <c:v>66.151747311827961</c:v>
                </c:pt>
                <c:pt idx="53">
                  <c:v>91.423152777777773</c:v>
                </c:pt>
                <c:pt idx="54">
                  <c:v>65.24004032258064</c:v>
                </c:pt>
                <c:pt idx="55">
                  <c:v>86.293736559139788</c:v>
                </c:pt>
                <c:pt idx="56">
                  <c:v>85.484125000000006</c:v>
                </c:pt>
                <c:pt idx="57">
                  <c:v>56.925814266487208</c:v>
                </c:pt>
                <c:pt idx="58">
                  <c:v>81.486041666666665</c:v>
                </c:pt>
                <c:pt idx="59">
                  <c:v>70.879731182795695</c:v>
                </c:pt>
                <c:pt idx="60">
                  <c:v>78.214811827956993</c:v>
                </c:pt>
                <c:pt idx="61">
                  <c:v>54.722241379310347</c:v>
                </c:pt>
                <c:pt idx="62">
                  <c:v>61.040863697705802</c:v>
                </c:pt>
                <c:pt idx="63">
                  <c:v>60.476708333333328</c:v>
                </c:pt>
                <c:pt idx="64">
                  <c:v>58.122983870967737</c:v>
                </c:pt>
                <c:pt idx="65">
                  <c:v>66.79098611111111</c:v>
                </c:pt>
                <c:pt idx="66">
                  <c:v>62.841706989247307</c:v>
                </c:pt>
                <c:pt idx="67">
                  <c:v>72.614260752688182</c:v>
                </c:pt>
                <c:pt idx="68">
                  <c:v>70.411833333333334</c:v>
                </c:pt>
                <c:pt idx="69">
                  <c:v>76.326123822341856</c:v>
                </c:pt>
                <c:pt idx="70">
                  <c:v>95.282694444444431</c:v>
                </c:pt>
                <c:pt idx="71">
                  <c:v>92.728158602150543</c:v>
                </c:pt>
                <c:pt idx="72">
                  <c:v>100.1237365591398</c:v>
                </c:pt>
                <c:pt idx="73">
                  <c:v>117.9355505952381</c:v>
                </c:pt>
                <c:pt idx="74">
                  <c:v>82.846865319865316</c:v>
                </c:pt>
                <c:pt idx="75">
                  <c:v>75.806652777777785</c:v>
                </c:pt>
                <c:pt idx="76">
                  <c:v>63.082553763440863</c:v>
                </c:pt>
                <c:pt idx="77">
                  <c:v>56.448249999999987</c:v>
                </c:pt>
                <c:pt idx="78">
                  <c:v>79.959690860215062</c:v>
                </c:pt>
                <c:pt idx="79">
                  <c:v>75.315497311827954</c:v>
                </c:pt>
                <c:pt idx="80">
                  <c:v>83.288930555555552</c:v>
                </c:pt>
                <c:pt idx="81">
                  <c:v>82.368075370121133</c:v>
                </c:pt>
                <c:pt idx="82">
                  <c:v>93.695572916666663</c:v>
                </c:pt>
                <c:pt idx="83">
                  <c:v>82.081528897849466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587-8A4D-BC09-C0D1E15193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DK1 De-seasonalised Price Series (Primary)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'Electricity Price Data'!$E$1</c:f>
              <c:strCache>
                <c:ptCount val="1"/>
                <c:pt idx="0">
                  <c:v>DK1 De-seasonalised Price (EUR/MWh)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'Electricity Price Data'!$E$2:$E$85</c:f>
              <c:numCache>
                <c:formatCode>General</c:formatCode>
                <c:ptCount val="84"/>
                <c:pt idx="0">
                  <c:v>-25.234738863287252</c:v>
                </c:pt>
                <c:pt idx="1">
                  <c:v>-30.100228272343401</c:v>
                </c:pt>
                <c:pt idx="2">
                  <c:v>-48.899358826358807</c:v>
                </c:pt>
                <c:pt idx="3">
                  <c:v>-31.760585317460279</c:v>
                </c:pt>
                <c:pt idx="4">
                  <c:v>-30.622649769585269</c:v>
                </c:pt>
                <c:pt idx="5">
                  <c:v>-47.454873015873012</c:v>
                </c:pt>
                <c:pt idx="6">
                  <c:v>-50.913813364055301</c:v>
                </c:pt>
                <c:pt idx="7">
                  <c:v>-82.754126344086018</c:v>
                </c:pt>
                <c:pt idx="8">
                  <c:v>-74.756714285714281</c:v>
                </c:pt>
                <c:pt idx="9">
                  <c:v>-37.87848634877907</c:v>
                </c:pt>
                <c:pt idx="10">
                  <c:v>-47.388359623015852</c:v>
                </c:pt>
                <c:pt idx="11">
                  <c:v>-73.290233294930886</c:v>
                </c:pt>
                <c:pt idx="12">
                  <c:v>-50.535841013824893</c:v>
                </c:pt>
                <c:pt idx="13">
                  <c:v>-55.329114766596277</c:v>
                </c:pt>
                <c:pt idx="14">
                  <c:v>-64.205890540258949</c:v>
                </c:pt>
                <c:pt idx="15">
                  <c:v>-56.295224206349168</c:v>
                </c:pt>
                <c:pt idx="16">
                  <c:v>-51.998173963133659</c:v>
                </c:pt>
                <c:pt idx="17">
                  <c:v>-54.057817460317452</c:v>
                </c:pt>
                <c:pt idx="18">
                  <c:v>-65.111555299539162</c:v>
                </c:pt>
                <c:pt idx="19">
                  <c:v>-86.080537634408586</c:v>
                </c:pt>
                <c:pt idx="20">
                  <c:v>-71.60053373015873</c:v>
                </c:pt>
                <c:pt idx="21">
                  <c:v>-50.411137761968838</c:v>
                </c:pt>
                <c:pt idx="22">
                  <c:v>-65.378845734126969</c:v>
                </c:pt>
                <c:pt idx="23">
                  <c:v>-72.821080069124434</c:v>
                </c:pt>
                <c:pt idx="24">
                  <c:v>-25.32527649769585</c:v>
                </c:pt>
                <c:pt idx="25">
                  <c:v>-25.652683629486251</c:v>
                </c:pt>
                <c:pt idx="26">
                  <c:v>-37.378171242013337</c:v>
                </c:pt>
                <c:pt idx="27">
                  <c:v>-22.861890873015842</c:v>
                </c:pt>
                <c:pt idx="28">
                  <c:v>-13.74459869431645</c:v>
                </c:pt>
                <c:pt idx="29">
                  <c:v>-6.6142757936507914</c:v>
                </c:pt>
                <c:pt idx="30">
                  <c:v>-9.731877880184328</c:v>
                </c:pt>
                <c:pt idx="31">
                  <c:v>-37.831061827956987</c:v>
                </c:pt>
                <c:pt idx="32">
                  <c:v>15.228188492063509</c:v>
                </c:pt>
                <c:pt idx="33">
                  <c:v>40.813922803307079</c:v>
                </c:pt>
                <c:pt idx="34">
                  <c:v>52.664154265873037</c:v>
                </c:pt>
                <c:pt idx="35">
                  <c:v>82.017118855606753</c:v>
                </c:pt>
                <c:pt idx="36">
                  <c:v>42.464266513056842</c:v>
                </c:pt>
                <c:pt idx="37">
                  <c:v>40.206557441942309</c:v>
                </c:pt>
                <c:pt idx="38">
                  <c:v>153.31722686864791</c:v>
                </c:pt>
                <c:pt idx="39">
                  <c:v>92.808470238095268</c:v>
                </c:pt>
                <c:pt idx="40">
                  <c:v>103.8058717357911</c:v>
                </c:pt>
                <c:pt idx="41">
                  <c:v>134.09615476190481</c:v>
                </c:pt>
                <c:pt idx="42">
                  <c:v>185.3070468509984</c:v>
                </c:pt>
                <c:pt idx="43">
                  <c:v>336.13052419354841</c:v>
                </c:pt>
                <c:pt idx="44">
                  <c:v>232.6840773809524</c:v>
                </c:pt>
                <c:pt idx="45">
                  <c:v>60.905833974235733</c:v>
                </c:pt>
                <c:pt idx="46">
                  <c:v>50.570779265873028</c:v>
                </c:pt>
                <c:pt idx="47">
                  <c:v>142.3334091781874</c:v>
                </c:pt>
                <c:pt idx="48">
                  <c:v>37.011457373271902</c:v>
                </c:pt>
                <c:pt idx="49">
                  <c:v>45.22194434670422</c:v>
                </c:pt>
                <c:pt idx="50">
                  <c:v>16.60629569455887</c:v>
                </c:pt>
                <c:pt idx="51">
                  <c:v>25.44197023809528</c:v>
                </c:pt>
                <c:pt idx="52">
                  <c:v>5.9136136712749447</c:v>
                </c:pt>
                <c:pt idx="53">
                  <c:v>12.161335317460329</c:v>
                </c:pt>
                <c:pt idx="54">
                  <c:v>-24.919821428571421</c:v>
                </c:pt>
                <c:pt idx="55">
                  <c:v>-34.65271505376343</c:v>
                </c:pt>
                <c:pt idx="56">
                  <c:v>-25.39613095238094</c:v>
                </c:pt>
                <c:pt idx="57">
                  <c:v>-16.12012834070369</c:v>
                </c:pt>
                <c:pt idx="58">
                  <c:v>-0.97885962301585039</c:v>
                </c:pt>
                <c:pt idx="59">
                  <c:v>-37.849695660522272</c:v>
                </c:pt>
                <c:pt idx="60">
                  <c:v>-0.81545122887864352</c:v>
                </c:pt>
                <c:pt idx="61">
                  <c:v>-14.280249824067541</c:v>
                </c:pt>
                <c:pt idx="62">
                  <c:v>-21.28132913675017</c:v>
                </c:pt>
                <c:pt idx="63">
                  <c:v>-11.664210317460279</c:v>
                </c:pt>
                <c:pt idx="64">
                  <c:v>-9.5353110599078548</c:v>
                </c:pt>
                <c:pt idx="65">
                  <c:v>-16.581053571428559</c:v>
                </c:pt>
                <c:pt idx="66">
                  <c:v>-27.70077572964669</c:v>
                </c:pt>
                <c:pt idx="67">
                  <c:v>-47.666021505376342</c:v>
                </c:pt>
                <c:pt idx="68">
                  <c:v>-38.421992063492063</c:v>
                </c:pt>
                <c:pt idx="69">
                  <c:v>0.49408431070949632</c:v>
                </c:pt>
                <c:pt idx="70">
                  <c:v>6.7711681547619236</c:v>
                </c:pt>
                <c:pt idx="71">
                  <c:v>-15.49477630568356</c:v>
                </c:pt>
                <c:pt idx="72">
                  <c:v>22.4355837173579</c:v>
                </c:pt>
                <c:pt idx="73">
                  <c:v>39.933774703847078</c:v>
                </c:pt>
                <c:pt idx="74">
                  <c:v>1.8412271821745629</c:v>
                </c:pt>
                <c:pt idx="75">
                  <c:v>4.3314702380952781</c:v>
                </c:pt>
                <c:pt idx="76">
                  <c:v>-3.818751920122907</c:v>
                </c:pt>
                <c:pt idx="77">
                  <c:v>-21.549470238095228</c:v>
                </c:pt>
                <c:pt idx="78">
                  <c:v>-6.9292031490015384</c:v>
                </c:pt>
                <c:pt idx="79">
                  <c:v>-47.14606182795697</c:v>
                </c:pt>
                <c:pt idx="80">
                  <c:v>-37.73689484126983</c:v>
                </c:pt>
                <c:pt idx="81">
                  <c:v>2.1959113631994001</c:v>
                </c:pt>
                <c:pt idx="82">
                  <c:v>3.7399632936508169</c:v>
                </c:pt>
                <c:pt idx="83">
                  <c:v>-24.89474270353303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C7-BF46-BADB-112F17BA41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  <c:txPr>
        <a:bodyPr/>
        <a:lstStyle/>
        <a:p>
          <a:pPr rtl="0">
            <a:defRPr/>
          </a:pPr>
          <a:endParaRPr lang="en-DK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Monthly Spot Prices - DK1 (Primary) and DK2 (Robustness)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'Electricity Price Data'!$B$1</c:f>
              <c:strCache>
                <c:ptCount val="1"/>
                <c:pt idx="0">
                  <c:v>DK1 Spot Price (EUR/MWh)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'Electricity Price Data'!$B$2:$B$85</c:f>
              <c:numCache>
                <c:formatCode>General</c:formatCode>
                <c:ptCount val="84"/>
                <c:pt idx="0">
                  <c:v>50.295645161290317</c:v>
                </c:pt>
                <c:pt idx="1">
                  <c:v>42.813958333333332</c:v>
                </c:pt>
                <c:pt idx="2">
                  <c:v>33.608259109311753</c:v>
                </c:pt>
                <c:pt idx="3">
                  <c:v>39.068416666666657</c:v>
                </c:pt>
                <c:pt idx="4">
                  <c:v>37.429516129032258</c:v>
                </c:pt>
                <c:pt idx="5">
                  <c:v>32.879222222222232</c:v>
                </c:pt>
                <c:pt idx="6">
                  <c:v>38.817311827956978</c:v>
                </c:pt>
                <c:pt idx="7">
                  <c:v>37.865698924731177</c:v>
                </c:pt>
                <c:pt idx="8">
                  <c:v>35.378861111111107</c:v>
                </c:pt>
                <c:pt idx="9">
                  <c:v>38.347402422611033</c:v>
                </c:pt>
                <c:pt idx="10">
                  <c:v>41.745069444444447</c:v>
                </c:pt>
                <c:pt idx="11">
                  <c:v>34.04197580645161</c:v>
                </c:pt>
                <c:pt idx="12">
                  <c:v>24.99454301075269</c:v>
                </c:pt>
                <c:pt idx="13">
                  <c:v>17.585071839080459</c:v>
                </c:pt>
                <c:pt idx="14">
                  <c:v>18.301727395411611</c:v>
                </c:pt>
                <c:pt idx="15">
                  <c:v>14.533777777777781</c:v>
                </c:pt>
                <c:pt idx="16">
                  <c:v>16.053991935483872</c:v>
                </c:pt>
                <c:pt idx="17">
                  <c:v>26.276277777777771</c:v>
                </c:pt>
                <c:pt idx="18">
                  <c:v>24.61956989247312</c:v>
                </c:pt>
                <c:pt idx="19">
                  <c:v>34.539287634408602</c:v>
                </c:pt>
                <c:pt idx="20">
                  <c:v>38.535041666666658</c:v>
                </c:pt>
                <c:pt idx="21">
                  <c:v>25.814751009421261</c:v>
                </c:pt>
                <c:pt idx="22">
                  <c:v>23.754583333333329</c:v>
                </c:pt>
                <c:pt idx="23">
                  <c:v>34.511129032258061</c:v>
                </c:pt>
                <c:pt idx="24">
                  <c:v>50.205107526881719</c:v>
                </c:pt>
                <c:pt idx="25">
                  <c:v>47.261502976190478</c:v>
                </c:pt>
                <c:pt idx="26">
                  <c:v>45.129446693657208</c:v>
                </c:pt>
                <c:pt idx="27">
                  <c:v>47.967111111111109</c:v>
                </c:pt>
                <c:pt idx="28">
                  <c:v>54.30756720430108</c:v>
                </c:pt>
                <c:pt idx="29">
                  <c:v>73.71981944444444</c:v>
                </c:pt>
                <c:pt idx="30">
                  <c:v>79.999247311827958</c:v>
                </c:pt>
                <c:pt idx="31">
                  <c:v>82.788763440860208</c:v>
                </c:pt>
                <c:pt idx="32">
                  <c:v>125.3637638888889</c:v>
                </c:pt>
                <c:pt idx="33">
                  <c:v>117.0398115746972</c:v>
                </c:pt>
                <c:pt idx="34">
                  <c:v>141.79758333333331</c:v>
                </c:pt>
                <c:pt idx="35">
                  <c:v>189.34932795698921</c:v>
                </c:pt>
                <c:pt idx="36">
                  <c:v>117.9946505376344</c:v>
                </c:pt>
                <c:pt idx="37">
                  <c:v>113.120744047619</c:v>
                </c:pt>
                <c:pt idx="38">
                  <c:v>235.8248448043185</c:v>
                </c:pt>
                <c:pt idx="39">
                  <c:v>163.63747222222219</c:v>
                </c:pt>
                <c:pt idx="40">
                  <c:v>171.85803763440859</c:v>
                </c:pt>
                <c:pt idx="41">
                  <c:v>214.43025</c:v>
                </c:pt>
                <c:pt idx="42">
                  <c:v>275.03817204301072</c:v>
                </c:pt>
                <c:pt idx="43">
                  <c:v>456.75034946236559</c:v>
                </c:pt>
                <c:pt idx="44">
                  <c:v>342.81965277777778</c:v>
                </c:pt>
                <c:pt idx="45">
                  <c:v>137.13172274562581</c:v>
                </c:pt>
                <c:pt idx="46">
                  <c:v>139.7042083333333</c:v>
                </c:pt>
                <c:pt idx="47">
                  <c:v>249.66561827956991</c:v>
                </c:pt>
                <c:pt idx="48">
                  <c:v>112.5418413978495</c:v>
                </c:pt>
                <c:pt idx="49">
                  <c:v>118.136130952381</c:v>
                </c:pt>
                <c:pt idx="50">
                  <c:v>99.113913630229419</c:v>
                </c:pt>
                <c:pt idx="51">
                  <c:v>96.270972222222227</c:v>
                </c:pt>
                <c:pt idx="52">
                  <c:v>73.965779569892476</c:v>
                </c:pt>
                <c:pt idx="53">
                  <c:v>92.495430555555558</c:v>
                </c:pt>
                <c:pt idx="54">
                  <c:v>64.811303763440861</c:v>
                </c:pt>
                <c:pt idx="55">
                  <c:v>85.967110215053765</c:v>
                </c:pt>
                <c:pt idx="56">
                  <c:v>84.739444444444445</c:v>
                </c:pt>
                <c:pt idx="57">
                  <c:v>60.105760430686409</c:v>
                </c:pt>
                <c:pt idx="58">
                  <c:v>88.154569444444448</c:v>
                </c:pt>
                <c:pt idx="59">
                  <c:v>69.482513440860217</c:v>
                </c:pt>
                <c:pt idx="60">
                  <c:v>74.714932795698928</c:v>
                </c:pt>
                <c:pt idx="61">
                  <c:v>58.633936781609187</c:v>
                </c:pt>
                <c:pt idx="62">
                  <c:v>61.226288798920379</c:v>
                </c:pt>
                <c:pt idx="63">
                  <c:v>59.164791666666673</c:v>
                </c:pt>
                <c:pt idx="64">
                  <c:v>58.516854838709683</c:v>
                </c:pt>
                <c:pt idx="65">
                  <c:v>63.753041666666668</c:v>
                </c:pt>
                <c:pt idx="66">
                  <c:v>62.030349462365592</c:v>
                </c:pt>
                <c:pt idx="67">
                  <c:v>72.95380376344086</c:v>
                </c:pt>
                <c:pt idx="68">
                  <c:v>71.713583333333332</c:v>
                </c:pt>
                <c:pt idx="69">
                  <c:v>76.7199730820996</c:v>
                </c:pt>
                <c:pt idx="70">
                  <c:v>95.904597222222222</c:v>
                </c:pt>
                <c:pt idx="71">
                  <c:v>91.83743279569893</c:v>
                </c:pt>
                <c:pt idx="72">
                  <c:v>97.965967741935472</c:v>
                </c:pt>
                <c:pt idx="73">
                  <c:v>112.8479613095238</c:v>
                </c:pt>
                <c:pt idx="74">
                  <c:v>84.348845117845116</c:v>
                </c:pt>
                <c:pt idx="75">
                  <c:v>75.160472222222225</c:v>
                </c:pt>
                <c:pt idx="76">
                  <c:v>64.233413978494625</c:v>
                </c:pt>
                <c:pt idx="77">
                  <c:v>58.784624999999998</c:v>
                </c:pt>
                <c:pt idx="78">
                  <c:v>82.801922043010748</c:v>
                </c:pt>
                <c:pt idx="79">
                  <c:v>73.473763440860225</c:v>
                </c:pt>
                <c:pt idx="80">
                  <c:v>72.398680555555558</c:v>
                </c:pt>
                <c:pt idx="81">
                  <c:v>78.421800134589503</c:v>
                </c:pt>
                <c:pt idx="82">
                  <c:v>92.873392361111115</c:v>
                </c:pt>
                <c:pt idx="83">
                  <c:v>82.437466397849462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D67-5E49-9557-FF3FF0DBCE42}"/>
            </c:ext>
          </c:extLst>
        </c:ser>
        <c:ser>
          <c:idx val="1"/>
          <c:order val="1"/>
          <c:tx>
            <c:strRef>
              <c:f>'Electricity Price Data'!$C$1</c:f>
              <c:strCache>
                <c:ptCount val="1"/>
                <c:pt idx="0">
                  <c:v>DK2 Spot Price (EUR/MWh)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'Electricity Price Data'!$C$2:$C$85</c:f>
              <c:numCache>
                <c:formatCode>General</c:formatCode>
                <c:ptCount val="84"/>
                <c:pt idx="0">
                  <c:v>51.655026881720417</c:v>
                </c:pt>
                <c:pt idx="1">
                  <c:v>43.932946428571427</c:v>
                </c:pt>
                <c:pt idx="2">
                  <c:v>35.667354925775967</c:v>
                </c:pt>
                <c:pt idx="3">
                  <c:v>39.892097222222233</c:v>
                </c:pt>
                <c:pt idx="4">
                  <c:v>38.151397849462363</c:v>
                </c:pt>
                <c:pt idx="5">
                  <c:v>33.622236111111107</c:v>
                </c:pt>
                <c:pt idx="6">
                  <c:v>39.000174731182803</c:v>
                </c:pt>
                <c:pt idx="7">
                  <c:v>39.493172043010752</c:v>
                </c:pt>
                <c:pt idx="8">
                  <c:v>37.321347222222222</c:v>
                </c:pt>
                <c:pt idx="9">
                  <c:v>41.599353970390311</c:v>
                </c:pt>
                <c:pt idx="10">
                  <c:v>42.696444444444452</c:v>
                </c:pt>
                <c:pt idx="11">
                  <c:v>35.34711021505376</c:v>
                </c:pt>
                <c:pt idx="12">
                  <c:v>27.385241935483869</c:v>
                </c:pt>
                <c:pt idx="13">
                  <c:v>18.816997126436782</c:v>
                </c:pt>
                <c:pt idx="14">
                  <c:v>20.05249662618084</c:v>
                </c:pt>
                <c:pt idx="15">
                  <c:v>17.354861111111109</c:v>
                </c:pt>
                <c:pt idx="16">
                  <c:v>19.04407258064516</c:v>
                </c:pt>
                <c:pt idx="17">
                  <c:v>29.82329166666667</c:v>
                </c:pt>
                <c:pt idx="18">
                  <c:v>25.886680107526882</c:v>
                </c:pt>
                <c:pt idx="19">
                  <c:v>40.923817204301074</c:v>
                </c:pt>
                <c:pt idx="20">
                  <c:v>39.51423611111111</c:v>
                </c:pt>
                <c:pt idx="21">
                  <c:v>26.933512786002691</c:v>
                </c:pt>
                <c:pt idx="22">
                  <c:v>35.711347222222223</c:v>
                </c:pt>
                <c:pt idx="23">
                  <c:v>39.257150537634409</c:v>
                </c:pt>
                <c:pt idx="24">
                  <c:v>50.858951612903233</c:v>
                </c:pt>
                <c:pt idx="25">
                  <c:v>54.54806547619048</c:v>
                </c:pt>
                <c:pt idx="26">
                  <c:v>46.732213225371119</c:v>
                </c:pt>
                <c:pt idx="27">
                  <c:v>47.862958333333339</c:v>
                </c:pt>
                <c:pt idx="28">
                  <c:v>55.208803763440862</c:v>
                </c:pt>
                <c:pt idx="29">
                  <c:v>73.58690277777778</c:v>
                </c:pt>
                <c:pt idx="30">
                  <c:v>81.44088709677419</c:v>
                </c:pt>
                <c:pt idx="31">
                  <c:v>84.363548387096785</c:v>
                </c:pt>
                <c:pt idx="32">
                  <c:v>123.9021111111111</c:v>
                </c:pt>
                <c:pt idx="33">
                  <c:v>106.9322745625841</c:v>
                </c:pt>
                <c:pt idx="34">
                  <c:v>136.38005555555549</c:v>
                </c:pt>
                <c:pt idx="35">
                  <c:v>191.06861559139779</c:v>
                </c:pt>
                <c:pt idx="36">
                  <c:v>111.62209677419349</c:v>
                </c:pt>
                <c:pt idx="37">
                  <c:v>100.2914136904762</c:v>
                </c:pt>
                <c:pt idx="38">
                  <c:v>227.92036437246961</c:v>
                </c:pt>
                <c:pt idx="39">
                  <c:v>152.83280555555561</c:v>
                </c:pt>
                <c:pt idx="40">
                  <c:v>162.65841397849459</c:v>
                </c:pt>
                <c:pt idx="41">
                  <c:v>213.2331388888889</c:v>
                </c:pt>
                <c:pt idx="42">
                  <c:v>233.47774193548389</c:v>
                </c:pt>
                <c:pt idx="43">
                  <c:v>449.7688306451613</c:v>
                </c:pt>
                <c:pt idx="44">
                  <c:v>328.80015277777778</c:v>
                </c:pt>
                <c:pt idx="45">
                  <c:v>136.89783310901751</c:v>
                </c:pt>
                <c:pt idx="46">
                  <c:v>145.05780555555549</c:v>
                </c:pt>
                <c:pt idx="47">
                  <c:v>248.88206989247311</c:v>
                </c:pt>
                <c:pt idx="48">
                  <c:v>99.762889784946225</c:v>
                </c:pt>
                <c:pt idx="49">
                  <c:v>100.6489285714286</c:v>
                </c:pt>
                <c:pt idx="50">
                  <c:v>89.795614035087723</c:v>
                </c:pt>
                <c:pt idx="51">
                  <c:v>83.651124999999993</c:v>
                </c:pt>
                <c:pt idx="52">
                  <c:v>66.151747311827961</c:v>
                </c:pt>
                <c:pt idx="53">
                  <c:v>91.423152777777773</c:v>
                </c:pt>
                <c:pt idx="54">
                  <c:v>65.24004032258064</c:v>
                </c:pt>
                <c:pt idx="55">
                  <c:v>86.293736559139788</c:v>
                </c:pt>
                <c:pt idx="56">
                  <c:v>85.484125000000006</c:v>
                </c:pt>
                <c:pt idx="57">
                  <c:v>56.925814266487208</c:v>
                </c:pt>
                <c:pt idx="58">
                  <c:v>81.486041666666665</c:v>
                </c:pt>
                <c:pt idx="59">
                  <c:v>70.879731182795695</c:v>
                </c:pt>
                <c:pt idx="60">
                  <c:v>78.214811827956993</c:v>
                </c:pt>
                <c:pt idx="61">
                  <c:v>54.722241379310347</c:v>
                </c:pt>
                <c:pt idx="62">
                  <c:v>61.040863697705802</c:v>
                </c:pt>
                <c:pt idx="63">
                  <c:v>60.476708333333328</c:v>
                </c:pt>
                <c:pt idx="64">
                  <c:v>58.122983870967737</c:v>
                </c:pt>
                <c:pt idx="65">
                  <c:v>66.79098611111111</c:v>
                </c:pt>
                <c:pt idx="66">
                  <c:v>62.841706989247307</c:v>
                </c:pt>
                <c:pt idx="67">
                  <c:v>72.614260752688182</c:v>
                </c:pt>
                <c:pt idx="68">
                  <c:v>70.411833333333334</c:v>
                </c:pt>
                <c:pt idx="69">
                  <c:v>76.326123822341856</c:v>
                </c:pt>
                <c:pt idx="70">
                  <c:v>95.282694444444431</c:v>
                </c:pt>
                <c:pt idx="71">
                  <c:v>92.728158602150543</c:v>
                </c:pt>
                <c:pt idx="72">
                  <c:v>100.1237365591398</c:v>
                </c:pt>
                <c:pt idx="73">
                  <c:v>117.9355505952381</c:v>
                </c:pt>
                <c:pt idx="74">
                  <c:v>82.846865319865316</c:v>
                </c:pt>
                <c:pt idx="75">
                  <c:v>75.806652777777785</c:v>
                </c:pt>
                <c:pt idx="76">
                  <c:v>63.082553763440863</c:v>
                </c:pt>
                <c:pt idx="77">
                  <c:v>56.448249999999987</c:v>
                </c:pt>
                <c:pt idx="78">
                  <c:v>79.959690860215062</c:v>
                </c:pt>
                <c:pt idx="79">
                  <c:v>75.315497311827954</c:v>
                </c:pt>
                <c:pt idx="80">
                  <c:v>83.288930555555552</c:v>
                </c:pt>
                <c:pt idx="81">
                  <c:v>82.368075370121133</c:v>
                </c:pt>
                <c:pt idx="82">
                  <c:v>93.695572916666663</c:v>
                </c:pt>
                <c:pt idx="83">
                  <c:v>82.081528897849466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D67-5E49-9557-FF3FF0DBCE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DK1 De-seasonalised Price Series (Primary)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'Electricity Price Data'!$E$1</c:f>
              <c:strCache>
                <c:ptCount val="1"/>
                <c:pt idx="0">
                  <c:v>DK1 De-seasonalised Price (EUR/MWh)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'Electricity Price Data'!$E$2:$E$85</c:f>
              <c:numCache>
                <c:formatCode>General</c:formatCode>
                <c:ptCount val="84"/>
                <c:pt idx="0">
                  <c:v>-25.234738863287252</c:v>
                </c:pt>
                <c:pt idx="1">
                  <c:v>-30.100228272343401</c:v>
                </c:pt>
                <c:pt idx="2">
                  <c:v>-48.899358826358807</c:v>
                </c:pt>
                <c:pt idx="3">
                  <c:v>-31.760585317460279</c:v>
                </c:pt>
                <c:pt idx="4">
                  <c:v>-30.622649769585269</c:v>
                </c:pt>
                <c:pt idx="5">
                  <c:v>-47.454873015873012</c:v>
                </c:pt>
                <c:pt idx="6">
                  <c:v>-50.913813364055301</c:v>
                </c:pt>
                <c:pt idx="7">
                  <c:v>-82.754126344086018</c:v>
                </c:pt>
                <c:pt idx="8">
                  <c:v>-74.756714285714281</c:v>
                </c:pt>
                <c:pt idx="9">
                  <c:v>-37.87848634877907</c:v>
                </c:pt>
                <c:pt idx="10">
                  <c:v>-47.388359623015852</c:v>
                </c:pt>
                <c:pt idx="11">
                  <c:v>-73.290233294930886</c:v>
                </c:pt>
                <c:pt idx="12">
                  <c:v>-50.535841013824893</c:v>
                </c:pt>
                <c:pt idx="13">
                  <c:v>-55.329114766596277</c:v>
                </c:pt>
                <c:pt idx="14">
                  <c:v>-64.205890540258949</c:v>
                </c:pt>
                <c:pt idx="15">
                  <c:v>-56.295224206349168</c:v>
                </c:pt>
                <c:pt idx="16">
                  <c:v>-51.998173963133659</c:v>
                </c:pt>
                <c:pt idx="17">
                  <c:v>-54.057817460317452</c:v>
                </c:pt>
                <c:pt idx="18">
                  <c:v>-65.111555299539162</c:v>
                </c:pt>
                <c:pt idx="19">
                  <c:v>-86.080537634408586</c:v>
                </c:pt>
                <c:pt idx="20">
                  <c:v>-71.60053373015873</c:v>
                </c:pt>
                <c:pt idx="21">
                  <c:v>-50.411137761968838</c:v>
                </c:pt>
                <c:pt idx="22">
                  <c:v>-65.378845734126969</c:v>
                </c:pt>
                <c:pt idx="23">
                  <c:v>-72.821080069124434</c:v>
                </c:pt>
                <c:pt idx="24">
                  <c:v>-25.32527649769585</c:v>
                </c:pt>
                <c:pt idx="25">
                  <c:v>-25.652683629486251</c:v>
                </c:pt>
                <c:pt idx="26">
                  <c:v>-37.378171242013337</c:v>
                </c:pt>
                <c:pt idx="27">
                  <c:v>-22.861890873015842</c:v>
                </c:pt>
                <c:pt idx="28">
                  <c:v>-13.74459869431645</c:v>
                </c:pt>
                <c:pt idx="29">
                  <c:v>-6.6142757936507914</c:v>
                </c:pt>
                <c:pt idx="30">
                  <c:v>-9.731877880184328</c:v>
                </c:pt>
                <c:pt idx="31">
                  <c:v>-37.831061827956987</c:v>
                </c:pt>
                <c:pt idx="32">
                  <c:v>15.228188492063509</c:v>
                </c:pt>
                <c:pt idx="33">
                  <c:v>40.813922803307079</c:v>
                </c:pt>
                <c:pt idx="34">
                  <c:v>52.664154265873037</c:v>
                </c:pt>
                <c:pt idx="35">
                  <c:v>82.017118855606753</c:v>
                </c:pt>
                <c:pt idx="36">
                  <c:v>42.464266513056842</c:v>
                </c:pt>
                <c:pt idx="37">
                  <c:v>40.206557441942309</c:v>
                </c:pt>
                <c:pt idx="38">
                  <c:v>153.31722686864791</c:v>
                </c:pt>
                <c:pt idx="39">
                  <c:v>92.808470238095268</c:v>
                </c:pt>
                <c:pt idx="40">
                  <c:v>103.8058717357911</c:v>
                </c:pt>
                <c:pt idx="41">
                  <c:v>134.09615476190481</c:v>
                </c:pt>
                <c:pt idx="42">
                  <c:v>185.3070468509984</c:v>
                </c:pt>
                <c:pt idx="43">
                  <c:v>336.13052419354841</c:v>
                </c:pt>
                <c:pt idx="44">
                  <c:v>232.6840773809524</c:v>
                </c:pt>
                <c:pt idx="45">
                  <c:v>60.905833974235733</c:v>
                </c:pt>
                <c:pt idx="46">
                  <c:v>50.570779265873028</c:v>
                </c:pt>
                <c:pt idx="47">
                  <c:v>142.3334091781874</c:v>
                </c:pt>
                <c:pt idx="48">
                  <c:v>37.011457373271902</c:v>
                </c:pt>
                <c:pt idx="49">
                  <c:v>45.22194434670422</c:v>
                </c:pt>
                <c:pt idx="50">
                  <c:v>16.60629569455887</c:v>
                </c:pt>
                <c:pt idx="51">
                  <c:v>25.44197023809528</c:v>
                </c:pt>
                <c:pt idx="52">
                  <c:v>5.9136136712749447</c:v>
                </c:pt>
                <c:pt idx="53">
                  <c:v>12.161335317460329</c:v>
                </c:pt>
                <c:pt idx="54">
                  <c:v>-24.919821428571421</c:v>
                </c:pt>
                <c:pt idx="55">
                  <c:v>-34.65271505376343</c:v>
                </c:pt>
                <c:pt idx="56">
                  <c:v>-25.39613095238094</c:v>
                </c:pt>
                <c:pt idx="57">
                  <c:v>-16.12012834070369</c:v>
                </c:pt>
                <c:pt idx="58">
                  <c:v>-0.97885962301585039</c:v>
                </c:pt>
                <c:pt idx="59">
                  <c:v>-37.849695660522272</c:v>
                </c:pt>
                <c:pt idx="60">
                  <c:v>-0.81545122887864352</c:v>
                </c:pt>
                <c:pt idx="61">
                  <c:v>-14.280249824067541</c:v>
                </c:pt>
                <c:pt idx="62">
                  <c:v>-21.28132913675017</c:v>
                </c:pt>
                <c:pt idx="63">
                  <c:v>-11.664210317460279</c:v>
                </c:pt>
                <c:pt idx="64">
                  <c:v>-9.5353110599078548</c:v>
                </c:pt>
                <c:pt idx="65">
                  <c:v>-16.581053571428559</c:v>
                </c:pt>
                <c:pt idx="66">
                  <c:v>-27.70077572964669</c:v>
                </c:pt>
                <c:pt idx="67">
                  <c:v>-47.666021505376342</c:v>
                </c:pt>
                <c:pt idx="68">
                  <c:v>-38.421992063492063</c:v>
                </c:pt>
                <c:pt idx="69">
                  <c:v>0.49408431070949632</c:v>
                </c:pt>
                <c:pt idx="70">
                  <c:v>6.7711681547619236</c:v>
                </c:pt>
                <c:pt idx="71">
                  <c:v>-15.49477630568356</c:v>
                </c:pt>
                <c:pt idx="72">
                  <c:v>22.4355837173579</c:v>
                </c:pt>
                <c:pt idx="73">
                  <c:v>39.933774703847078</c:v>
                </c:pt>
                <c:pt idx="74">
                  <c:v>1.8412271821745629</c:v>
                </c:pt>
                <c:pt idx="75">
                  <c:v>4.3314702380952781</c:v>
                </c:pt>
                <c:pt idx="76">
                  <c:v>-3.818751920122907</c:v>
                </c:pt>
                <c:pt idx="77">
                  <c:v>-21.549470238095228</c:v>
                </c:pt>
                <c:pt idx="78">
                  <c:v>-6.9292031490015384</c:v>
                </c:pt>
                <c:pt idx="79">
                  <c:v>-47.14606182795697</c:v>
                </c:pt>
                <c:pt idx="80">
                  <c:v>-37.73689484126983</c:v>
                </c:pt>
                <c:pt idx="81">
                  <c:v>2.1959113631994001</c:v>
                </c:pt>
                <c:pt idx="82">
                  <c:v>3.7399632936508169</c:v>
                </c:pt>
                <c:pt idx="83">
                  <c:v>-24.89474270353303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C26-134B-A0E5-228615FA85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  <c:txPr>
        <a:bodyPr/>
        <a:lstStyle/>
        <a:p>
          <a:pPr rtl="0">
            <a:defRPr/>
          </a:pPr>
          <a:endParaRPr lang="en-DK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Monthly Spot Prices - DK1 (Primary) and DK2 (Robustness)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'Electricity Price Data'!$B$1</c:f>
              <c:strCache>
                <c:ptCount val="1"/>
                <c:pt idx="0">
                  <c:v>DK1 Spot Price (EUR/MWh)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'Electricity Price Data'!$B$2:$B$85</c:f>
              <c:numCache>
                <c:formatCode>General</c:formatCode>
                <c:ptCount val="84"/>
                <c:pt idx="0">
                  <c:v>50.295645161290317</c:v>
                </c:pt>
                <c:pt idx="1">
                  <c:v>42.813958333333332</c:v>
                </c:pt>
                <c:pt idx="2">
                  <c:v>33.608259109311753</c:v>
                </c:pt>
                <c:pt idx="3">
                  <c:v>39.068416666666657</c:v>
                </c:pt>
                <c:pt idx="4">
                  <c:v>37.429516129032258</c:v>
                </c:pt>
                <c:pt idx="5">
                  <c:v>32.879222222222232</c:v>
                </c:pt>
                <c:pt idx="6">
                  <c:v>38.817311827956978</c:v>
                </c:pt>
                <c:pt idx="7">
                  <c:v>37.865698924731177</c:v>
                </c:pt>
                <c:pt idx="8">
                  <c:v>35.378861111111107</c:v>
                </c:pt>
                <c:pt idx="9">
                  <c:v>38.347402422611033</c:v>
                </c:pt>
                <c:pt idx="10">
                  <c:v>41.745069444444447</c:v>
                </c:pt>
                <c:pt idx="11">
                  <c:v>34.04197580645161</c:v>
                </c:pt>
                <c:pt idx="12">
                  <c:v>24.99454301075269</c:v>
                </c:pt>
                <c:pt idx="13">
                  <c:v>17.585071839080459</c:v>
                </c:pt>
                <c:pt idx="14">
                  <c:v>18.301727395411611</c:v>
                </c:pt>
                <c:pt idx="15">
                  <c:v>14.533777777777781</c:v>
                </c:pt>
                <c:pt idx="16">
                  <c:v>16.053991935483872</c:v>
                </c:pt>
                <c:pt idx="17">
                  <c:v>26.276277777777771</c:v>
                </c:pt>
                <c:pt idx="18">
                  <c:v>24.61956989247312</c:v>
                </c:pt>
                <c:pt idx="19">
                  <c:v>34.539287634408602</c:v>
                </c:pt>
                <c:pt idx="20">
                  <c:v>38.535041666666658</c:v>
                </c:pt>
                <c:pt idx="21">
                  <c:v>25.814751009421261</c:v>
                </c:pt>
                <c:pt idx="22">
                  <c:v>23.754583333333329</c:v>
                </c:pt>
                <c:pt idx="23">
                  <c:v>34.511129032258061</c:v>
                </c:pt>
                <c:pt idx="24">
                  <c:v>50.205107526881719</c:v>
                </c:pt>
                <c:pt idx="25">
                  <c:v>47.261502976190478</c:v>
                </c:pt>
                <c:pt idx="26">
                  <c:v>45.129446693657208</c:v>
                </c:pt>
                <c:pt idx="27">
                  <c:v>47.967111111111109</c:v>
                </c:pt>
                <c:pt idx="28">
                  <c:v>54.30756720430108</c:v>
                </c:pt>
                <c:pt idx="29">
                  <c:v>73.71981944444444</c:v>
                </c:pt>
                <c:pt idx="30">
                  <c:v>79.999247311827958</c:v>
                </c:pt>
                <c:pt idx="31">
                  <c:v>82.788763440860208</c:v>
                </c:pt>
                <c:pt idx="32">
                  <c:v>125.3637638888889</c:v>
                </c:pt>
                <c:pt idx="33">
                  <c:v>117.0398115746972</c:v>
                </c:pt>
                <c:pt idx="34">
                  <c:v>141.79758333333331</c:v>
                </c:pt>
                <c:pt idx="35">
                  <c:v>189.34932795698921</c:v>
                </c:pt>
                <c:pt idx="36">
                  <c:v>117.9946505376344</c:v>
                </c:pt>
                <c:pt idx="37">
                  <c:v>113.120744047619</c:v>
                </c:pt>
                <c:pt idx="38">
                  <c:v>235.8248448043185</c:v>
                </c:pt>
                <c:pt idx="39">
                  <c:v>163.63747222222219</c:v>
                </c:pt>
                <c:pt idx="40">
                  <c:v>171.85803763440859</c:v>
                </c:pt>
                <c:pt idx="41">
                  <c:v>214.43025</c:v>
                </c:pt>
                <c:pt idx="42">
                  <c:v>275.03817204301072</c:v>
                </c:pt>
                <c:pt idx="43">
                  <c:v>456.75034946236559</c:v>
                </c:pt>
                <c:pt idx="44">
                  <c:v>342.81965277777778</c:v>
                </c:pt>
                <c:pt idx="45">
                  <c:v>137.13172274562581</c:v>
                </c:pt>
                <c:pt idx="46">
                  <c:v>139.7042083333333</c:v>
                </c:pt>
                <c:pt idx="47">
                  <c:v>249.66561827956991</c:v>
                </c:pt>
                <c:pt idx="48">
                  <c:v>112.5418413978495</c:v>
                </c:pt>
                <c:pt idx="49">
                  <c:v>118.136130952381</c:v>
                </c:pt>
                <c:pt idx="50">
                  <c:v>99.113913630229419</c:v>
                </c:pt>
                <c:pt idx="51">
                  <c:v>96.270972222222227</c:v>
                </c:pt>
                <c:pt idx="52">
                  <c:v>73.965779569892476</c:v>
                </c:pt>
                <c:pt idx="53">
                  <c:v>92.495430555555558</c:v>
                </c:pt>
                <c:pt idx="54">
                  <c:v>64.811303763440861</c:v>
                </c:pt>
                <c:pt idx="55">
                  <c:v>85.967110215053765</c:v>
                </c:pt>
                <c:pt idx="56">
                  <c:v>84.739444444444445</c:v>
                </c:pt>
                <c:pt idx="57">
                  <c:v>60.105760430686409</c:v>
                </c:pt>
                <c:pt idx="58">
                  <c:v>88.154569444444448</c:v>
                </c:pt>
                <c:pt idx="59">
                  <c:v>69.482513440860217</c:v>
                </c:pt>
                <c:pt idx="60">
                  <c:v>74.714932795698928</c:v>
                </c:pt>
                <c:pt idx="61">
                  <c:v>58.633936781609187</c:v>
                </c:pt>
                <c:pt idx="62">
                  <c:v>61.226288798920379</c:v>
                </c:pt>
                <c:pt idx="63">
                  <c:v>59.164791666666673</c:v>
                </c:pt>
                <c:pt idx="64">
                  <c:v>58.516854838709683</c:v>
                </c:pt>
                <c:pt idx="65">
                  <c:v>63.753041666666668</c:v>
                </c:pt>
                <c:pt idx="66">
                  <c:v>62.030349462365592</c:v>
                </c:pt>
                <c:pt idx="67">
                  <c:v>72.95380376344086</c:v>
                </c:pt>
                <c:pt idx="68">
                  <c:v>71.713583333333332</c:v>
                </c:pt>
                <c:pt idx="69">
                  <c:v>76.7199730820996</c:v>
                </c:pt>
                <c:pt idx="70">
                  <c:v>95.904597222222222</c:v>
                </c:pt>
                <c:pt idx="71">
                  <c:v>91.83743279569893</c:v>
                </c:pt>
                <c:pt idx="72">
                  <c:v>97.965967741935472</c:v>
                </c:pt>
                <c:pt idx="73">
                  <c:v>112.8479613095238</c:v>
                </c:pt>
                <c:pt idx="74">
                  <c:v>84.348845117845116</c:v>
                </c:pt>
                <c:pt idx="75">
                  <c:v>75.160472222222225</c:v>
                </c:pt>
                <c:pt idx="76">
                  <c:v>64.233413978494625</c:v>
                </c:pt>
                <c:pt idx="77">
                  <c:v>58.784624999999998</c:v>
                </c:pt>
                <c:pt idx="78">
                  <c:v>82.801922043010748</c:v>
                </c:pt>
                <c:pt idx="79">
                  <c:v>73.473763440860225</c:v>
                </c:pt>
                <c:pt idx="80">
                  <c:v>72.398680555555558</c:v>
                </c:pt>
                <c:pt idx="81">
                  <c:v>78.421800134589503</c:v>
                </c:pt>
                <c:pt idx="82">
                  <c:v>92.873392361111115</c:v>
                </c:pt>
                <c:pt idx="83">
                  <c:v>82.437466397849462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191-5C47-A426-F48C2269B4EF}"/>
            </c:ext>
          </c:extLst>
        </c:ser>
        <c:ser>
          <c:idx val="1"/>
          <c:order val="1"/>
          <c:tx>
            <c:strRef>
              <c:f>'Electricity Price Data'!$C$1</c:f>
              <c:strCache>
                <c:ptCount val="1"/>
                <c:pt idx="0">
                  <c:v>DK2 Spot Price (EUR/MWh)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'Electricity Price Data'!$C$2:$C$85</c:f>
              <c:numCache>
                <c:formatCode>General</c:formatCode>
                <c:ptCount val="84"/>
                <c:pt idx="0">
                  <c:v>51.655026881720417</c:v>
                </c:pt>
                <c:pt idx="1">
                  <c:v>43.932946428571427</c:v>
                </c:pt>
                <c:pt idx="2">
                  <c:v>35.667354925775967</c:v>
                </c:pt>
                <c:pt idx="3">
                  <c:v>39.892097222222233</c:v>
                </c:pt>
                <c:pt idx="4">
                  <c:v>38.151397849462363</c:v>
                </c:pt>
                <c:pt idx="5">
                  <c:v>33.622236111111107</c:v>
                </c:pt>
                <c:pt idx="6">
                  <c:v>39.000174731182803</c:v>
                </c:pt>
                <c:pt idx="7">
                  <c:v>39.493172043010752</c:v>
                </c:pt>
                <c:pt idx="8">
                  <c:v>37.321347222222222</c:v>
                </c:pt>
                <c:pt idx="9">
                  <c:v>41.599353970390311</c:v>
                </c:pt>
                <c:pt idx="10">
                  <c:v>42.696444444444452</c:v>
                </c:pt>
                <c:pt idx="11">
                  <c:v>35.34711021505376</c:v>
                </c:pt>
                <c:pt idx="12">
                  <c:v>27.385241935483869</c:v>
                </c:pt>
                <c:pt idx="13">
                  <c:v>18.816997126436782</c:v>
                </c:pt>
                <c:pt idx="14">
                  <c:v>20.05249662618084</c:v>
                </c:pt>
                <c:pt idx="15">
                  <c:v>17.354861111111109</c:v>
                </c:pt>
                <c:pt idx="16">
                  <c:v>19.04407258064516</c:v>
                </c:pt>
                <c:pt idx="17">
                  <c:v>29.82329166666667</c:v>
                </c:pt>
                <c:pt idx="18">
                  <c:v>25.886680107526882</c:v>
                </c:pt>
                <c:pt idx="19">
                  <c:v>40.923817204301074</c:v>
                </c:pt>
                <c:pt idx="20">
                  <c:v>39.51423611111111</c:v>
                </c:pt>
                <c:pt idx="21">
                  <c:v>26.933512786002691</c:v>
                </c:pt>
                <c:pt idx="22">
                  <c:v>35.711347222222223</c:v>
                </c:pt>
                <c:pt idx="23">
                  <c:v>39.257150537634409</c:v>
                </c:pt>
                <c:pt idx="24">
                  <c:v>50.858951612903233</c:v>
                </c:pt>
                <c:pt idx="25">
                  <c:v>54.54806547619048</c:v>
                </c:pt>
                <c:pt idx="26">
                  <c:v>46.732213225371119</c:v>
                </c:pt>
                <c:pt idx="27">
                  <c:v>47.862958333333339</c:v>
                </c:pt>
                <c:pt idx="28">
                  <c:v>55.208803763440862</c:v>
                </c:pt>
                <c:pt idx="29">
                  <c:v>73.58690277777778</c:v>
                </c:pt>
                <c:pt idx="30">
                  <c:v>81.44088709677419</c:v>
                </c:pt>
                <c:pt idx="31">
                  <c:v>84.363548387096785</c:v>
                </c:pt>
                <c:pt idx="32">
                  <c:v>123.9021111111111</c:v>
                </c:pt>
                <c:pt idx="33">
                  <c:v>106.9322745625841</c:v>
                </c:pt>
                <c:pt idx="34">
                  <c:v>136.38005555555549</c:v>
                </c:pt>
                <c:pt idx="35">
                  <c:v>191.06861559139779</c:v>
                </c:pt>
                <c:pt idx="36">
                  <c:v>111.62209677419349</c:v>
                </c:pt>
                <c:pt idx="37">
                  <c:v>100.2914136904762</c:v>
                </c:pt>
                <c:pt idx="38">
                  <c:v>227.92036437246961</c:v>
                </c:pt>
                <c:pt idx="39">
                  <c:v>152.83280555555561</c:v>
                </c:pt>
                <c:pt idx="40">
                  <c:v>162.65841397849459</c:v>
                </c:pt>
                <c:pt idx="41">
                  <c:v>213.2331388888889</c:v>
                </c:pt>
                <c:pt idx="42">
                  <c:v>233.47774193548389</c:v>
                </c:pt>
                <c:pt idx="43">
                  <c:v>449.7688306451613</c:v>
                </c:pt>
                <c:pt idx="44">
                  <c:v>328.80015277777778</c:v>
                </c:pt>
                <c:pt idx="45">
                  <c:v>136.89783310901751</c:v>
                </c:pt>
                <c:pt idx="46">
                  <c:v>145.05780555555549</c:v>
                </c:pt>
                <c:pt idx="47">
                  <c:v>248.88206989247311</c:v>
                </c:pt>
                <c:pt idx="48">
                  <c:v>99.762889784946225</c:v>
                </c:pt>
                <c:pt idx="49">
                  <c:v>100.6489285714286</c:v>
                </c:pt>
                <c:pt idx="50">
                  <c:v>89.795614035087723</c:v>
                </c:pt>
                <c:pt idx="51">
                  <c:v>83.651124999999993</c:v>
                </c:pt>
                <c:pt idx="52">
                  <c:v>66.151747311827961</c:v>
                </c:pt>
                <c:pt idx="53">
                  <c:v>91.423152777777773</c:v>
                </c:pt>
                <c:pt idx="54">
                  <c:v>65.24004032258064</c:v>
                </c:pt>
                <c:pt idx="55">
                  <c:v>86.293736559139788</c:v>
                </c:pt>
                <c:pt idx="56">
                  <c:v>85.484125000000006</c:v>
                </c:pt>
                <c:pt idx="57">
                  <c:v>56.925814266487208</c:v>
                </c:pt>
                <c:pt idx="58">
                  <c:v>81.486041666666665</c:v>
                </c:pt>
                <c:pt idx="59">
                  <c:v>70.879731182795695</c:v>
                </c:pt>
                <c:pt idx="60">
                  <c:v>78.214811827956993</c:v>
                </c:pt>
                <c:pt idx="61">
                  <c:v>54.722241379310347</c:v>
                </c:pt>
                <c:pt idx="62">
                  <c:v>61.040863697705802</c:v>
                </c:pt>
                <c:pt idx="63">
                  <c:v>60.476708333333328</c:v>
                </c:pt>
                <c:pt idx="64">
                  <c:v>58.122983870967737</c:v>
                </c:pt>
                <c:pt idx="65">
                  <c:v>66.79098611111111</c:v>
                </c:pt>
                <c:pt idx="66">
                  <c:v>62.841706989247307</c:v>
                </c:pt>
                <c:pt idx="67">
                  <c:v>72.614260752688182</c:v>
                </c:pt>
                <c:pt idx="68">
                  <c:v>70.411833333333334</c:v>
                </c:pt>
                <c:pt idx="69">
                  <c:v>76.326123822341856</c:v>
                </c:pt>
                <c:pt idx="70">
                  <c:v>95.282694444444431</c:v>
                </c:pt>
                <c:pt idx="71">
                  <c:v>92.728158602150543</c:v>
                </c:pt>
                <c:pt idx="72">
                  <c:v>100.1237365591398</c:v>
                </c:pt>
                <c:pt idx="73">
                  <c:v>117.9355505952381</c:v>
                </c:pt>
                <c:pt idx="74">
                  <c:v>82.846865319865316</c:v>
                </c:pt>
                <c:pt idx="75">
                  <c:v>75.806652777777785</c:v>
                </c:pt>
                <c:pt idx="76">
                  <c:v>63.082553763440863</c:v>
                </c:pt>
                <c:pt idx="77">
                  <c:v>56.448249999999987</c:v>
                </c:pt>
                <c:pt idx="78">
                  <c:v>79.959690860215062</c:v>
                </c:pt>
                <c:pt idx="79">
                  <c:v>75.315497311827954</c:v>
                </c:pt>
                <c:pt idx="80">
                  <c:v>83.288930555555552</c:v>
                </c:pt>
                <c:pt idx="81">
                  <c:v>82.368075370121133</c:v>
                </c:pt>
                <c:pt idx="82">
                  <c:v>93.695572916666663</c:v>
                </c:pt>
                <c:pt idx="83">
                  <c:v>82.081528897849466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191-5C47-A426-F48C2269B4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DK1 De-seasonalised Price Series (Primary)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'Electricity Price Data'!$E$1</c:f>
              <c:strCache>
                <c:ptCount val="1"/>
                <c:pt idx="0">
                  <c:v>DK1 De-seasonalised Price (EUR/MWh)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'Electricity Price Data'!$E$2:$E$85</c:f>
              <c:numCache>
                <c:formatCode>General</c:formatCode>
                <c:ptCount val="84"/>
                <c:pt idx="0">
                  <c:v>-25.234738863287252</c:v>
                </c:pt>
                <c:pt idx="1">
                  <c:v>-30.100228272343401</c:v>
                </c:pt>
                <c:pt idx="2">
                  <c:v>-48.899358826358807</c:v>
                </c:pt>
                <c:pt idx="3">
                  <c:v>-31.760585317460279</c:v>
                </c:pt>
                <c:pt idx="4">
                  <c:v>-30.622649769585269</c:v>
                </c:pt>
                <c:pt idx="5">
                  <c:v>-47.454873015873012</c:v>
                </c:pt>
                <c:pt idx="6">
                  <c:v>-50.913813364055301</c:v>
                </c:pt>
                <c:pt idx="7">
                  <c:v>-82.754126344086018</c:v>
                </c:pt>
                <c:pt idx="8">
                  <c:v>-74.756714285714281</c:v>
                </c:pt>
                <c:pt idx="9">
                  <c:v>-37.87848634877907</c:v>
                </c:pt>
                <c:pt idx="10">
                  <c:v>-47.388359623015852</c:v>
                </c:pt>
                <c:pt idx="11">
                  <c:v>-73.290233294930886</c:v>
                </c:pt>
                <c:pt idx="12">
                  <c:v>-50.535841013824893</c:v>
                </c:pt>
                <c:pt idx="13">
                  <c:v>-55.329114766596277</c:v>
                </c:pt>
                <c:pt idx="14">
                  <c:v>-64.205890540258949</c:v>
                </c:pt>
                <c:pt idx="15">
                  <c:v>-56.295224206349168</c:v>
                </c:pt>
                <c:pt idx="16">
                  <c:v>-51.998173963133659</c:v>
                </c:pt>
                <c:pt idx="17">
                  <c:v>-54.057817460317452</c:v>
                </c:pt>
                <c:pt idx="18">
                  <c:v>-65.111555299539162</c:v>
                </c:pt>
                <c:pt idx="19">
                  <c:v>-86.080537634408586</c:v>
                </c:pt>
                <c:pt idx="20">
                  <c:v>-71.60053373015873</c:v>
                </c:pt>
                <c:pt idx="21">
                  <c:v>-50.411137761968838</c:v>
                </c:pt>
                <c:pt idx="22">
                  <c:v>-65.378845734126969</c:v>
                </c:pt>
                <c:pt idx="23">
                  <c:v>-72.821080069124434</c:v>
                </c:pt>
                <c:pt idx="24">
                  <c:v>-25.32527649769585</c:v>
                </c:pt>
                <c:pt idx="25">
                  <c:v>-25.652683629486251</c:v>
                </c:pt>
                <c:pt idx="26">
                  <c:v>-37.378171242013337</c:v>
                </c:pt>
                <c:pt idx="27">
                  <c:v>-22.861890873015842</c:v>
                </c:pt>
                <c:pt idx="28">
                  <c:v>-13.74459869431645</c:v>
                </c:pt>
                <c:pt idx="29">
                  <c:v>-6.6142757936507914</c:v>
                </c:pt>
                <c:pt idx="30">
                  <c:v>-9.731877880184328</c:v>
                </c:pt>
                <c:pt idx="31">
                  <c:v>-37.831061827956987</c:v>
                </c:pt>
                <c:pt idx="32">
                  <c:v>15.228188492063509</c:v>
                </c:pt>
                <c:pt idx="33">
                  <c:v>40.813922803307079</c:v>
                </c:pt>
                <c:pt idx="34">
                  <c:v>52.664154265873037</c:v>
                </c:pt>
                <c:pt idx="35">
                  <c:v>82.017118855606753</c:v>
                </c:pt>
                <c:pt idx="36">
                  <c:v>42.464266513056842</c:v>
                </c:pt>
                <c:pt idx="37">
                  <c:v>40.206557441942309</c:v>
                </c:pt>
                <c:pt idx="38">
                  <c:v>153.31722686864791</c:v>
                </c:pt>
                <c:pt idx="39">
                  <c:v>92.808470238095268</c:v>
                </c:pt>
                <c:pt idx="40">
                  <c:v>103.8058717357911</c:v>
                </c:pt>
                <c:pt idx="41">
                  <c:v>134.09615476190481</c:v>
                </c:pt>
                <c:pt idx="42">
                  <c:v>185.3070468509984</c:v>
                </c:pt>
                <c:pt idx="43">
                  <c:v>336.13052419354841</c:v>
                </c:pt>
                <c:pt idx="44">
                  <c:v>232.6840773809524</c:v>
                </c:pt>
                <c:pt idx="45">
                  <c:v>60.905833974235733</c:v>
                </c:pt>
                <c:pt idx="46">
                  <c:v>50.570779265873028</c:v>
                </c:pt>
                <c:pt idx="47">
                  <c:v>142.3334091781874</c:v>
                </c:pt>
                <c:pt idx="48">
                  <c:v>37.011457373271902</c:v>
                </c:pt>
                <c:pt idx="49">
                  <c:v>45.22194434670422</c:v>
                </c:pt>
                <c:pt idx="50">
                  <c:v>16.60629569455887</c:v>
                </c:pt>
                <c:pt idx="51">
                  <c:v>25.44197023809528</c:v>
                </c:pt>
                <c:pt idx="52">
                  <c:v>5.9136136712749447</c:v>
                </c:pt>
                <c:pt idx="53">
                  <c:v>12.161335317460329</c:v>
                </c:pt>
                <c:pt idx="54">
                  <c:v>-24.919821428571421</c:v>
                </c:pt>
                <c:pt idx="55">
                  <c:v>-34.65271505376343</c:v>
                </c:pt>
                <c:pt idx="56">
                  <c:v>-25.39613095238094</c:v>
                </c:pt>
                <c:pt idx="57">
                  <c:v>-16.12012834070369</c:v>
                </c:pt>
                <c:pt idx="58">
                  <c:v>-0.97885962301585039</c:v>
                </c:pt>
                <c:pt idx="59">
                  <c:v>-37.849695660522272</c:v>
                </c:pt>
                <c:pt idx="60">
                  <c:v>-0.81545122887864352</c:v>
                </c:pt>
                <c:pt idx="61">
                  <c:v>-14.280249824067541</c:v>
                </c:pt>
                <c:pt idx="62">
                  <c:v>-21.28132913675017</c:v>
                </c:pt>
                <c:pt idx="63">
                  <c:v>-11.664210317460279</c:v>
                </c:pt>
                <c:pt idx="64">
                  <c:v>-9.5353110599078548</c:v>
                </c:pt>
                <c:pt idx="65">
                  <c:v>-16.581053571428559</c:v>
                </c:pt>
                <c:pt idx="66">
                  <c:v>-27.70077572964669</c:v>
                </c:pt>
                <c:pt idx="67">
                  <c:v>-47.666021505376342</c:v>
                </c:pt>
                <c:pt idx="68">
                  <c:v>-38.421992063492063</c:v>
                </c:pt>
                <c:pt idx="69">
                  <c:v>0.49408431070949632</c:v>
                </c:pt>
                <c:pt idx="70">
                  <c:v>6.7711681547619236</c:v>
                </c:pt>
                <c:pt idx="71">
                  <c:v>-15.49477630568356</c:v>
                </c:pt>
                <c:pt idx="72">
                  <c:v>22.4355837173579</c:v>
                </c:pt>
                <c:pt idx="73">
                  <c:v>39.933774703847078</c:v>
                </c:pt>
                <c:pt idx="74">
                  <c:v>1.8412271821745629</c:v>
                </c:pt>
                <c:pt idx="75">
                  <c:v>4.3314702380952781</c:v>
                </c:pt>
                <c:pt idx="76">
                  <c:v>-3.818751920122907</c:v>
                </c:pt>
                <c:pt idx="77">
                  <c:v>-21.549470238095228</c:v>
                </c:pt>
                <c:pt idx="78">
                  <c:v>-6.9292031490015384</c:v>
                </c:pt>
                <c:pt idx="79">
                  <c:v>-47.14606182795697</c:v>
                </c:pt>
                <c:pt idx="80">
                  <c:v>-37.73689484126983</c:v>
                </c:pt>
                <c:pt idx="81">
                  <c:v>2.1959113631994001</c:v>
                </c:pt>
                <c:pt idx="82">
                  <c:v>3.7399632936508169</c:v>
                </c:pt>
                <c:pt idx="83">
                  <c:v>-24.89474270353303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4BE-3940-9ED9-8A77402EBB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  <c:txPr>
        <a:bodyPr/>
        <a:lstStyle/>
        <a:p>
          <a:pPr rtl="0">
            <a:defRPr/>
          </a:pPr>
          <a:endParaRPr lang="en-DK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Monthly Spot Prices - DK1 (Primary) and DK2 (Robustness)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'Electricity Price Data'!$B$1</c:f>
              <c:strCache>
                <c:ptCount val="1"/>
                <c:pt idx="0">
                  <c:v>DK1 Spot Price (EUR/MWh)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'Electricity Price Data'!$B$2:$B$85</c:f>
              <c:numCache>
                <c:formatCode>General</c:formatCode>
                <c:ptCount val="84"/>
                <c:pt idx="0">
                  <c:v>50.295645161290317</c:v>
                </c:pt>
                <c:pt idx="1">
                  <c:v>42.813958333333332</c:v>
                </c:pt>
                <c:pt idx="2">
                  <c:v>33.608259109311753</c:v>
                </c:pt>
                <c:pt idx="3">
                  <c:v>39.068416666666657</c:v>
                </c:pt>
                <c:pt idx="4">
                  <c:v>37.429516129032258</c:v>
                </c:pt>
                <c:pt idx="5">
                  <c:v>32.879222222222232</c:v>
                </c:pt>
                <c:pt idx="6">
                  <c:v>38.817311827956978</c:v>
                </c:pt>
                <c:pt idx="7">
                  <c:v>37.865698924731177</c:v>
                </c:pt>
                <c:pt idx="8">
                  <c:v>35.378861111111107</c:v>
                </c:pt>
                <c:pt idx="9">
                  <c:v>38.347402422611033</c:v>
                </c:pt>
                <c:pt idx="10">
                  <c:v>41.745069444444447</c:v>
                </c:pt>
                <c:pt idx="11">
                  <c:v>34.04197580645161</c:v>
                </c:pt>
                <c:pt idx="12">
                  <c:v>24.99454301075269</c:v>
                </c:pt>
                <c:pt idx="13">
                  <c:v>17.585071839080459</c:v>
                </c:pt>
                <c:pt idx="14">
                  <c:v>18.301727395411611</c:v>
                </c:pt>
                <c:pt idx="15">
                  <c:v>14.533777777777781</c:v>
                </c:pt>
                <c:pt idx="16">
                  <c:v>16.053991935483872</c:v>
                </c:pt>
                <c:pt idx="17">
                  <c:v>26.276277777777771</c:v>
                </c:pt>
                <c:pt idx="18">
                  <c:v>24.61956989247312</c:v>
                </c:pt>
                <c:pt idx="19">
                  <c:v>34.539287634408602</c:v>
                </c:pt>
                <c:pt idx="20">
                  <c:v>38.535041666666658</c:v>
                </c:pt>
                <c:pt idx="21">
                  <c:v>25.814751009421261</c:v>
                </c:pt>
                <c:pt idx="22">
                  <c:v>23.754583333333329</c:v>
                </c:pt>
                <c:pt idx="23">
                  <c:v>34.511129032258061</c:v>
                </c:pt>
                <c:pt idx="24">
                  <c:v>50.205107526881719</c:v>
                </c:pt>
                <c:pt idx="25">
                  <c:v>47.261502976190478</c:v>
                </c:pt>
                <c:pt idx="26">
                  <c:v>45.129446693657208</c:v>
                </c:pt>
                <c:pt idx="27">
                  <c:v>47.967111111111109</c:v>
                </c:pt>
                <c:pt idx="28">
                  <c:v>54.30756720430108</c:v>
                </c:pt>
                <c:pt idx="29">
                  <c:v>73.71981944444444</c:v>
                </c:pt>
                <c:pt idx="30">
                  <c:v>79.999247311827958</c:v>
                </c:pt>
                <c:pt idx="31">
                  <c:v>82.788763440860208</c:v>
                </c:pt>
                <c:pt idx="32">
                  <c:v>125.3637638888889</c:v>
                </c:pt>
                <c:pt idx="33">
                  <c:v>117.0398115746972</c:v>
                </c:pt>
                <c:pt idx="34">
                  <c:v>141.79758333333331</c:v>
                </c:pt>
                <c:pt idx="35">
                  <c:v>189.34932795698921</c:v>
                </c:pt>
                <c:pt idx="36">
                  <c:v>117.9946505376344</c:v>
                </c:pt>
                <c:pt idx="37">
                  <c:v>113.120744047619</c:v>
                </c:pt>
                <c:pt idx="38">
                  <c:v>235.8248448043185</c:v>
                </c:pt>
                <c:pt idx="39">
                  <c:v>163.63747222222219</c:v>
                </c:pt>
                <c:pt idx="40">
                  <c:v>171.85803763440859</c:v>
                </c:pt>
                <c:pt idx="41">
                  <c:v>214.43025</c:v>
                </c:pt>
                <c:pt idx="42">
                  <c:v>275.03817204301072</c:v>
                </c:pt>
                <c:pt idx="43">
                  <c:v>456.75034946236559</c:v>
                </c:pt>
                <c:pt idx="44">
                  <c:v>342.81965277777778</c:v>
                </c:pt>
                <c:pt idx="45">
                  <c:v>137.13172274562581</c:v>
                </c:pt>
                <c:pt idx="46">
                  <c:v>139.7042083333333</c:v>
                </c:pt>
                <c:pt idx="47">
                  <c:v>249.66561827956991</c:v>
                </c:pt>
                <c:pt idx="48">
                  <c:v>112.5418413978495</c:v>
                </c:pt>
                <c:pt idx="49">
                  <c:v>118.136130952381</c:v>
                </c:pt>
                <c:pt idx="50">
                  <c:v>99.113913630229419</c:v>
                </c:pt>
                <c:pt idx="51">
                  <c:v>96.270972222222227</c:v>
                </c:pt>
                <c:pt idx="52">
                  <c:v>73.965779569892476</c:v>
                </c:pt>
                <c:pt idx="53">
                  <c:v>92.495430555555558</c:v>
                </c:pt>
                <c:pt idx="54">
                  <c:v>64.811303763440861</c:v>
                </c:pt>
                <c:pt idx="55">
                  <c:v>85.967110215053765</c:v>
                </c:pt>
                <c:pt idx="56">
                  <c:v>84.739444444444445</c:v>
                </c:pt>
                <c:pt idx="57">
                  <c:v>60.105760430686409</c:v>
                </c:pt>
                <c:pt idx="58">
                  <c:v>88.154569444444448</c:v>
                </c:pt>
                <c:pt idx="59">
                  <c:v>69.482513440860217</c:v>
                </c:pt>
                <c:pt idx="60">
                  <c:v>74.714932795698928</c:v>
                </c:pt>
                <c:pt idx="61">
                  <c:v>58.633936781609187</c:v>
                </c:pt>
                <c:pt idx="62">
                  <c:v>61.226288798920379</c:v>
                </c:pt>
                <c:pt idx="63">
                  <c:v>59.164791666666673</c:v>
                </c:pt>
                <c:pt idx="64">
                  <c:v>58.516854838709683</c:v>
                </c:pt>
                <c:pt idx="65">
                  <c:v>63.753041666666668</c:v>
                </c:pt>
                <c:pt idx="66">
                  <c:v>62.030349462365592</c:v>
                </c:pt>
                <c:pt idx="67">
                  <c:v>72.95380376344086</c:v>
                </c:pt>
                <c:pt idx="68">
                  <c:v>71.713583333333332</c:v>
                </c:pt>
                <c:pt idx="69">
                  <c:v>76.7199730820996</c:v>
                </c:pt>
                <c:pt idx="70">
                  <c:v>95.904597222222222</c:v>
                </c:pt>
                <c:pt idx="71">
                  <c:v>91.83743279569893</c:v>
                </c:pt>
                <c:pt idx="72">
                  <c:v>97.965967741935472</c:v>
                </c:pt>
                <c:pt idx="73">
                  <c:v>112.8479613095238</c:v>
                </c:pt>
                <c:pt idx="74">
                  <c:v>84.348845117845116</c:v>
                </c:pt>
                <c:pt idx="75">
                  <c:v>75.160472222222225</c:v>
                </c:pt>
                <c:pt idx="76">
                  <c:v>64.233413978494625</c:v>
                </c:pt>
                <c:pt idx="77">
                  <c:v>58.784624999999998</c:v>
                </c:pt>
                <c:pt idx="78">
                  <c:v>82.801922043010748</c:v>
                </c:pt>
                <c:pt idx="79">
                  <c:v>73.473763440860225</c:v>
                </c:pt>
                <c:pt idx="80">
                  <c:v>72.398680555555558</c:v>
                </c:pt>
                <c:pt idx="81">
                  <c:v>78.421800134589503</c:v>
                </c:pt>
                <c:pt idx="82">
                  <c:v>92.873392361111115</c:v>
                </c:pt>
                <c:pt idx="83">
                  <c:v>82.437466397849462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F19-FE44-A3C1-D086CE797A34}"/>
            </c:ext>
          </c:extLst>
        </c:ser>
        <c:ser>
          <c:idx val="1"/>
          <c:order val="1"/>
          <c:tx>
            <c:strRef>
              <c:f>'Electricity Price Data'!$C$1</c:f>
              <c:strCache>
                <c:ptCount val="1"/>
                <c:pt idx="0">
                  <c:v>DK2 Spot Price (EUR/MWh)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'Electricity Price Data'!$C$2:$C$85</c:f>
              <c:numCache>
                <c:formatCode>General</c:formatCode>
                <c:ptCount val="84"/>
                <c:pt idx="0">
                  <c:v>51.655026881720417</c:v>
                </c:pt>
                <c:pt idx="1">
                  <c:v>43.932946428571427</c:v>
                </c:pt>
                <c:pt idx="2">
                  <c:v>35.667354925775967</c:v>
                </c:pt>
                <c:pt idx="3">
                  <c:v>39.892097222222233</c:v>
                </c:pt>
                <c:pt idx="4">
                  <c:v>38.151397849462363</c:v>
                </c:pt>
                <c:pt idx="5">
                  <c:v>33.622236111111107</c:v>
                </c:pt>
                <c:pt idx="6">
                  <c:v>39.000174731182803</c:v>
                </c:pt>
                <c:pt idx="7">
                  <c:v>39.493172043010752</c:v>
                </c:pt>
                <c:pt idx="8">
                  <c:v>37.321347222222222</c:v>
                </c:pt>
                <c:pt idx="9">
                  <c:v>41.599353970390311</c:v>
                </c:pt>
                <c:pt idx="10">
                  <c:v>42.696444444444452</c:v>
                </c:pt>
                <c:pt idx="11">
                  <c:v>35.34711021505376</c:v>
                </c:pt>
                <c:pt idx="12">
                  <c:v>27.385241935483869</c:v>
                </c:pt>
                <c:pt idx="13">
                  <c:v>18.816997126436782</c:v>
                </c:pt>
                <c:pt idx="14">
                  <c:v>20.05249662618084</c:v>
                </c:pt>
                <c:pt idx="15">
                  <c:v>17.354861111111109</c:v>
                </c:pt>
                <c:pt idx="16">
                  <c:v>19.04407258064516</c:v>
                </c:pt>
                <c:pt idx="17">
                  <c:v>29.82329166666667</c:v>
                </c:pt>
                <c:pt idx="18">
                  <c:v>25.886680107526882</c:v>
                </c:pt>
                <c:pt idx="19">
                  <c:v>40.923817204301074</c:v>
                </c:pt>
                <c:pt idx="20">
                  <c:v>39.51423611111111</c:v>
                </c:pt>
                <c:pt idx="21">
                  <c:v>26.933512786002691</c:v>
                </c:pt>
                <c:pt idx="22">
                  <c:v>35.711347222222223</c:v>
                </c:pt>
                <c:pt idx="23">
                  <c:v>39.257150537634409</c:v>
                </c:pt>
                <c:pt idx="24">
                  <c:v>50.858951612903233</c:v>
                </c:pt>
                <c:pt idx="25">
                  <c:v>54.54806547619048</c:v>
                </c:pt>
                <c:pt idx="26">
                  <c:v>46.732213225371119</c:v>
                </c:pt>
                <c:pt idx="27">
                  <c:v>47.862958333333339</c:v>
                </c:pt>
                <c:pt idx="28">
                  <c:v>55.208803763440862</c:v>
                </c:pt>
                <c:pt idx="29">
                  <c:v>73.58690277777778</c:v>
                </c:pt>
                <c:pt idx="30">
                  <c:v>81.44088709677419</c:v>
                </c:pt>
                <c:pt idx="31">
                  <c:v>84.363548387096785</c:v>
                </c:pt>
                <c:pt idx="32">
                  <c:v>123.9021111111111</c:v>
                </c:pt>
                <c:pt idx="33">
                  <c:v>106.9322745625841</c:v>
                </c:pt>
                <c:pt idx="34">
                  <c:v>136.38005555555549</c:v>
                </c:pt>
                <c:pt idx="35">
                  <c:v>191.06861559139779</c:v>
                </c:pt>
                <c:pt idx="36">
                  <c:v>111.62209677419349</c:v>
                </c:pt>
                <c:pt idx="37">
                  <c:v>100.2914136904762</c:v>
                </c:pt>
                <c:pt idx="38">
                  <c:v>227.92036437246961</c:v>
                </c:pt>
                <c:pt idx="39">
                  <c:v>152.83280555555561</c:v>
                </c:pt>
                <c:pt idx="40">
                  <c:v>162.65841397849459</c:v>
                </c:pt>
                <c:pt idx="41">
                  <c:v>213.2331388888889</c:v>
                </c:pt>
                <c:pt idx="42">
                  <c:v>233.47774193548389</c:v>
                </c:pt>
                <c:pt idx="43">
                  <c:v>449.7688306451613</c:v>
                </c:pt>
                <c:pt idx="44">
                  <c:v>328.80015277777778</c:v>
                </c:pt>
                <c:pt idx="45">
                  <c:v>136.89783310901751</c:v>
                </c:pt>
                <c:pt idx="46">
                  <c:v>145.05780555555549</c:v>
                </c:pt>
                <c:pt idx="47">
                  <c:v>248.88206989247311</c:v>
                </c:pt>
                <c:pt idx="48">
                  <c:v>99.762889784946225</c:v>
                </c:pt>
                <c:pt idx="49">
                  <c:v>100.6489285714286</c:v>
                </c:pt>
                <c:pt idx="50">
                  <c:v>89.795614035087723</c:v>
                </c:pt>
                <c:pt idx="51">
                  <c:v>83.651124999999993</c:v>
                </c:pt>
                <c:pt idx="52">
                  <c:v>66.151747311827961</c:v>
                </c:pt>
                <c:pt idx="53">
                  <c:v>91.423152777777773</c:v>
                </c:pt>
                <c:pt idx="54">
                  <c:v>65.24004032258064</c:v>
                </c:pt>
                <c:pt idx="55">
                  <c:v>86.293736559139788</c:v>
                </c:pt>
                <c:pt idx="56">
                  <c:v>85.484125000000006</c:v>
                </c:pt>
                <c:pt idx="57">
                  <c:v>56.925814266487208</c:v>
                </c:pt>
                <c:pt idx="58">
                  <c:v>81.486041666666665</c:v>
                </c:pt>
                <c:pt idx="59">
                  <c:v>70.879731182795695</c:v>
                </c:pt>
                <c:pt idx="60">
                  <c:v>78.214811827956993</c:v>
                </c:pt>
                <c:pt idx="61">
                  <c:v>54.722241379310347</c:v>
                </c:pt>
                <c:pt idx="62">
                  <c:v>61.040863697705802</c:v>
                </c:pt>
                <c:pt idx="63">
                  <c:v>60.476708333333328</c:v>
                </c:pt>
                <c:pt idx="64">
                  <c:v>58.122983870967737</c:v>
                </c:pt>
                <c:pt idx="65">
                  <c:v>66.79098611111111</c:v>
                </c:pt>
                <c:pt idx="66">
                  <c:v>62.841706989247307</c:v>
                </c:pt>
                <c:pt idx="67">
                  <c:v>72.614260752688182</c:v>
                </c:pt>
                <c:pt idx="68">
                  <c:v>70.411833333333334</c:v>
                </c:pt>
                <c:pt idx="69">
                  <c:v>76.326123822341856</c:v>
                </c:pt>
                <c:pt idx="70">
                  <c:v>95.282694444444431</c:v>
                </c:pt>
                <c:pt idx="71">
                  <c:v>92.728158602150543</c:v>
                </c:pt>
                <c:pt idx="72">
                  <c:v>100.1237365591398</c:v>
                </c:pt>
                <c:pt idx="73">
                  <c:v>117.9355505952381</c:v>
                </c:pt>
                <c:pt idx="74">
                  <c:v>82.846865319865316</c:v>
                </c:pt>
                <c:pt idx="75">
                  <c:v>75.806652777777785</c:v>
                </c:pt>
                <c:pt idx="76">
                  <c:v>63.082553763440863</c:v>
                </c:pt>
                <c:pt idx="77">
                  <c:v>56.448249999999987</c:v>
                </c:pt>
                <c:pt idx="78">
                  <c:v>79.959690860215062</c:v>
                </c:pt>
                <c:pt idx="79">
                  <c:v>75.315497311827954</c:v>
                </c:pt>
                <c:pt idx="80">
                  <c:v>83.288930555555552</c:v>
                </c:pt>
                <c:pt idx="81">
                  <c:v>82.368075370121133</c:v>
                </c:pt>
                <c:pt idx="82">
                  <c:v>93.695572916666663</c:v>
                </c:pt>
                <c:pt idx="83">
                  <c:v>82.081528897849466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F19-FE44-A3C1-D086CE797A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DK1 De-seasonalised Price Series (Primary)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'Electricity Price Data'!$E$1</c:f>
              <c:strCache>
                <c:ptCount val="1"/>
                <c:pt idx="0">
                  <c:v>DK1 De-seasonalised Price (EUR/MWh)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'Electricity Price Data'!$E$2:$E$85</c:f>
              <c:numCache>
                <c:formatCode>General</c:formatCode>
                <c:ptCount val="84"/>
                <c:pt idx="0">
                  <c:v>-25.234738863287252</c:v>
                </c:pt>
                <c:pt idx="1">
                  <c:v>-30.100228272343401</c:v>
                </c:pt>
                <c:pt idx="2">
                  <c:v>-48.899358826358807</c:v>
                </c:pt>
                <c:pt idx="3">
                  <c:v>-31.760585317460279</c:v>
                </c:pt>
                <c:pt idx="4">
                  <c:v>-30.622649769585269</c:v>
                </c:pt>
                <c:pt idx="5">
                  <c:v>-47.454873015873012</c:v>
                </c:pt>
                <c:pt idx="6">
                  <c:v>-50.913813364055301</c:v>
                </c:pt>
                <c:pt idx="7">
                  <c:v>-82.754126344086018</c:v>
                </c:pt>
                <c:pt idx="8">
                  <c:v>-74.756714285714281</c:v>
                </c:pt>
                <c:pt idx="9">
                  <c:v>-37.87848634877907</c:v>
                </c:pt>
                <c:pt idx="10">
                  <c:v>-47.388359623015852</c:v>
                </c:pt>
                <c:pt idx="11">
                  <c:v>-73.290233294930886</c:v>
                </c:pt>
                <c:pt idx="12">
                  <c:v>-50.535841013824893</c:v>
                </c:pt>
                <c:pt idx="13">
                  <c:v>-55.329114766596277</c:v>
                </c:pt>
                <c:pt idx="14">
                  <c:v>-64.205890540258949</c:v>
                </c:pt>
                <c:pt idx="15">
                  <c:v>-56.295224206349168</c:v>
                </c:pt>
                <c:pt idx="16">
                  <c:v>-51.998173963133659</c:v>
                </c:pt>
                <c:pt idx="17">
                  <c:v>-54.057817460317452</c:v>
                </c:pt>
                <c:pt idx="18">
                  <c:v>-65.111555299539162</c:v>
                </c:pt>
                <c:pt idx="19">
                  <c:v>-86.080537634408586</c:v>
                </c:pt>
                <c:pt idx="20">
                  <c:v>-71.60053373015873</c:v>
                </c:pt>
                <c:pt idx="21">
                  <c:v>-50.411137761968838</c:v>
                </c:pt>
                <c:pt idx="22">
                  <c:v>-65.378845734126969</c:v>
                </c:pt>
                <c:pt idx="23">
                  <c:v>-72.821080069124434</c:v>
                </c:pt>
                <c:pt idx="24">
                  <c:v>-25.32527649769585</c:v>
                </c:pt>
                <c:pt idx="25">
                  <c:v>-25.652683629486251</c:v>
                </c:pt>
                <c:pt idx="26">
                  <c:v>-37.378171242013337</c:v>
                </c:pt>
                <c:pt idx="27">
                  <c:v>-22.861890873015842</c:v>
                </c:pt>
                <c:pt idx="28">
                  <c:v>-13.74459869431645</c:v>
                </c:pt>
                <c:pt idx="29">
                  <c:v>-6.6142757936507914</c:v>
                </c:pt>
                <c:pt idx="30">
                  <c:v>-9.731877880184328</c:v>
                </c:pt>
                <c:pt idx="31">
                  <c:v>-37.831061827956987</c:v>
                </c:pt>
                <c:pt idx="32">
                  <c:v>15.228188492063509</c:v>
                </c:pt>
                <c:pt idx="33">
                  <c:v>40.813922803307079</c:v>
                </c:pt>
                <c:pt idx="34">
                  <c:v>52.664154265873037</c:v>
                </c:pt>
                <c:pt idx="35">
                  <c:v>82.017118855606753</c:v>
                </c:pt>
                <c:pt idx="36">
                  <c:v>42.464266513056842</c:v>
                </c:pt>
                <c:pt idx="37">
                  <c:v>40.206557441942309</c:v>
                </c:pt>
                <c:pt idx="38">
                  <c:v>153.31722686864791</c:v>
                </c:pt>
                <c:pt idx="39">
                  <c:v>92.808470238095268</c:v>
                </c:pt>
                <c:pt idx="40">
                  <c:v>103.8058717357911</c:v>
                </c:pt>
                <c:pt idx="41">
                  <c:v>134.09615476190481</c:v>
                </c:pt>
                <c:pt idx="42">
                  <c:v>185.3070468509984</c:v>
                </c:pt>
                <c:pt idx="43">
                  <c:v>336.13052419354841</c:v>
                </c:pt>
                <c:pt idx="44">
                  <c:v>232.6840773809524</c:v>
                </c:pt>
                <c:pt idx="45">
                  <c:v>60.905833974235733</c:v>
                </c:pt>
                <c:pt idx="46">
                  <c:v>50.570779265873028</c:v>
                </c:pt>
                <c:pt idx="47">
                  <c:v>142.3334091781874</c:v>
                </c:pt>
                <c:pt idx="48">
                  <c:v>37.011457373271902</c:v>
                </c:pt>
                <c:pt idx="49">
                  <c:v>45.22194434670422</c:v>
                </c:pt>
                <c:pt idx="50">
                  <c:v>16.60629569455887</c:v>
                </c:pt>
                <c:pt idx="51">
                  <c:v>25.44197023809528</c:v>
                </c:pt>
                <c:pt idx="52">
                  <c:v>5.9136136712749447</c:v>
                </c:pt>
                <c:pt idx="53">
                  <c:v>12.161335317460329</c:v>
                </c:pt>
                <c:pt idx="54">
                  <c:v>-24.919821428571421</c:v>
                </c:pt>
                <c:pt idx="55">
                  <c:v>-34.65271505376343</c:v>
                </c:pt>
                <c:pt idx="56">
                  <c:v>-25.39613095238094</c:v>
                </c:pt>
                <c:pt idx="57">
                  <c:v>-16.12012834070369</c:v>
                </c:pt>
                <c:pt idx="58">
                  <c:v>-0.97885962301585039</c:v>
                </c:pt>
                <c:pt idx="59">
                  <c:v>-37.849695660522272</c:v>
                </c:pt>
                <c:pt idx="60">
                  <c:v>-0.81545122887864352</c:v>
                </c:pt>
                <c:pt idx="61">
                  <c:v>-14.280249824067541</c:v>
                </c:pt>
                <c:pt idx="62">
                  <c:v>-21.28132913675017</c:v>
                </c:pt>
                <c:pt idx="63">
                  <c:v>-11.664210317460279</c:v>
                </c:pt>
                <c:pt idx="64">
                  <c:v>-9.5353110599078548</c:v>
                </c:pt>
                <c:pt idx="65">
                  <c:v>-16.581053571428559</c:v>
                </c:pt>
                <c:pt idx="66">
                  <c:v>-27.70077572964669</c:v>
                </c:pt>
                <c:pt idx="67">
                  <c:v>-47.666021505376342</c:v>
                </c:pt>
                <c:pt idx="68">
                  <c:v>-38.421992063492063</c:v>
                </c:pt>
                <c:pt idx="69">
                  <c:v>0.49408431070949632</c:v>
                </c:pt>
                <c:pt idx="70">
                  <c:v>6.7711681547619236</c:v>
                </c:pt>
                <c:pt idx="71">
                  <c:v>-15.49477630568356</c:v>
                </c:pt>
                <c:pt idx="72">
                  <c:v>22.4355837173579</c:v>
                </c:pt>
                <c:pt idx="73">
                  <c:v>39.933774703847078</c:v>
                </c:pt>
                <c:pt idx="74">
                  <c:v>1.8412271821745629</c:v>
                </c:pt>
                <c:pt idx="75">
                  <c:v>4.3314702380952781</c:v>
                </c:pt>
                <c:pt idx="76">
                  <c:v>-3.818751920122907</c:v>
                </c:pt>
                <c:pt idx="77">
                  <c:v>-21.549470238095228</c:v>
                </c:pt>
                <c:pt idx="78">
                  <c:v>-6.9292031490015384</c:v>
                </c:pt>
                <c:pt idx="79">
                  <c:v>-47.14606182795697</c:v>
                </c:pt>
                <c:pt idx="80">
                  <c:v>-37.73689484126983</c:v>
                </c:pt>
                <c:pt idx="81">
                  <c:v>2.1959113631994001</c:v>
                </c:pt>
                <c:pt idx="82">
                  <c:v>3.7399632936508169</c:v>
                </c:pt>
                <c:pt idx="83">
                  <c:v>-24.89474270353303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A5B-8A49-9BE8-4D45C749D3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  <c:txPr>
        <a:bodyPr/>
        <a:lstStyle/>
        <a:p>
          <a:pPr rtl="0">
            <a:defRPr/>
          </a:pPr>
          <a:endParaRPr lang="en-DK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Monthly Spot Prices - DK1 (Primary) and DK2 (Robustness)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'Electricity Price Data'!$B$1</c:f>
              <c:strCache>
                <c:ptCount val="1"/>
                <c:pt idx="0">
                  <c:v>DK1 Spot Price (EUR/MWh)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'Electricity Price Data'!$B$2:$B$85</c:f>
              <c:numCache>
                <c:formatCode>General</c:formatCode>
                <c:ptCount val="84"/>
                <c:pt idx="0">
                  <c:v>50.295645161290317</c:v>
                </c:pt>
                <c:pt idx="1">
                  <c:v>42.813958333333332</c:v>
                </c:pt>
                <c:pt idx="2">
                  <c:v>33.608259109311753</c:v>
                </c:pt>
                <c:pt idx="3">
                  <c:v>39.068416666666657</c:v>
                </c:pt>
                <c:pt idx="4">
                  <c:v>37.429516129032258</c:v>
                </c:pt>
                <c:pt idx="5">
                  <c:v>32.879222222222232</c:v>
                </c:pt>
                <c:pt idx="6">
                  <c:v>38.817311827956978</c:v>
                </c:pt>
                <c:pt idx="7">
                  <c:v>37.865698924731177</c:v>
                </c:pt>
                <c:pt idx="8">
                  <c:v>35.378861111111107</c:v>
                </c:pt>
                <c:pt idx="9">
                  <c:v>38.347402422611033</c:v>
                </c:pt>
                <c:pt idx="10">
                  <c:v>41.745069444444447</c:v>
                </c:pt>
                <c:pt idx="11">
                  <c:v>34.04197580645161</c:v>
                </c:pt>
                <c:pt idx="12">
                  <c:v>24.99454301075269</c:v>
                </c:pt>
                <c:pt idx="13">
                  <c:v>17.585071839080459</c:v>
                </c:pt>
                <c:pt idx="14">
                  <c:v>18.301727395411611</c:v>
                </c:pt>
                <c:pt idx="15">
                  <c:v>14.533777777777781</c:v>
                </c:pt>
                <c:pt idx="16">
                  <c:v>16.053991935483872</c:v>
                </c:pt>
                <c:pt idx="17">
                  <c:v>26.276277777777771</c:v>
                </c:pt>
                <c:pt idx="18">
                  <c:v>24.61956989247312</c:v>
                </c:pt>
                <c:pt idx="19">
                  <c:v>34.539287634408602</c:v>
                </c:pt>
                <c:pt idx="20">
                  <c:v>38.535041666666658</c:v>
                </c:pt>
                <c:pt idx="21">
                  <c:v>25.814751009421261</c:v>
                </c:pt>
                <c:pt idx="22">
                  <c:v>23.754583333333329</c:v>
                </c:pt>
                <c:pt idx="23">
                  <c:v>34.511129032258061</c:v>
                </c:pt>
                <c:pt idx="24">
                  <c:v>50.205107526881719</c:v>
                </c:pt>
                <c:pt idx="25">
                  <c:v>47.261502976190478</c:v>
                </c:pt>
                <c:pt idx="26">
                  <c:v>45.129446693657208</c:v>
                </c:pt>
                <c:pt idx="27">
                  <c:v>47.967111111111109</c:v>
                </c:pt>
                <c:pt idx="28">
                  <c:v>54.30756720430108</c:v>
                </c:pt>
                <c:pt idx="29">
                  <c:v>73.71981944444444</c:v>
                </c:pt>
                <c:pt idx="30">
                  <c:v>79.999247311827958</c:v>
                </c:pt>
                <c:pt idx="31">
                  <c:v>82.788763440860208</c:v>
                </c:pt>
                <c:pt idx="32">
                  <c:v>125.3637638888889</c:v>
                </c:pt>
                <c:pt idx="33">
                  <c:v>117.0398115746972</c:v>
                </c:pt>
                <c:pt idx="34">
                  <c:v>141.79758333333331</c:v>
                </c:pt>
                <c:pt idx="35">
                  <c:v>189.34932795698921</c:v>
                </c:pt>
                <c:pt idx="36">
                  <c:v>117.9946505376344</c:v>
                </c:pt>
                <c:pt idx="37">
                  <c:v>113.120744047619</c:v>
                </c:pt>
                <c:pt idx="38">
                  <c:v>235.8248448043185</c:v>
                </c:pt>
                <c:pt idx="39">
                  <c:v>163.63747222222219</c:v>
                </c:pt>
                <c:pt idx="40">
                  <c:v>171.85803763440859</c:v>
                </c:pt>
                <c:pt idx="41">
                  <c:v>214.43025</c:v>
                </c:pt>
                <c:pt idx="42">
                  <c:v>275.03817204301072</c:v>
                </c:pt>
                <c:pt idx="43">
                  <c:v>456.75034946236559</c:v>
                </c:pt>
                <c:pt idx="44">
                  <c:v>342.81965277777778</c:v>
                </c:pt>
                <c:pt idx="45">
                  <c:v>137.13172274562581</c:v>
                </c:pt>
                <c:pt idx="46">
                  <c:v>139.7042083333333</c:v>
                </c:pt>
                <c:pt idx="47">
                  <c:v>249.66561827956991</c:v>
                </c:pt>
                <c:pt idx="48">
                  <c:v>112.5418413978495</c:v>
                </c:pt>
                <c:pt idx="49">
                  <c:v>118.136130952381</c:v>
                </c:pt>
                <c:pt idx="50">
                  <c:v>99.113913630229419</c:v>
                </c:pt>
                <c:pt idx="51">
                  <c:v>96.270972222222227</c:v>
                </c:pt>
                <c:pt idx="52">
                  <c:v>73.965779569892476</c:v>
                </c:pt>
                <c:pt idx="53">
                  <c:v>92.495430555555558</c:v>
                </c:pt>
                <c:pt idx="54">
                  <c:v>64.811303763440861</c:v>
                </c:pt>
                <c:pt idx="55">
                  <c:v>85.967110215053765</c:v>
                </c:pt>
                <c:pt idx="56">
                  <c:v>84.739444444444445</c:v>
                </c:pt>
                <c:pt idx="57">
                  <c:v>60.105760430686409</c:v>
                </c:pt>
                <c:pt idx="58">
                  <c:v>88.154569444444448</c:v>
                </c:pt>
                <c:pt idx="59">
                  <c:v>69.482513440860217</c:v>
                </c:pt>
                <c:pt idx="60">
                  <c:v>74.714932795698928</c:v>
                </c:pt>
                <c:pt idx="61">
                  <c:v>58.633936781609187</c:v>
                </c:pt>
                <c:pt idx="62">
                  <c:v>61.226288798920379</c:v>
                </c:pt>
                <c:pt idx="63">
                  <c:v>59.164791666666673</c:v>
                </c:pt>
                <c:pt idx="64">
                  <c:v>58.516854838709683</c:v>
                </c:pt>
                <c:pt idx="65">
                  <c:v>63.753041666666668</c:v>
                </c:pt>
                <c:pt idx="66">
                  <c:v>62.030349462365592</c:v>
                </c:pt>
                <c:pt idx="67">
                  <c:v>72.95380376344086</c:v>
                </c:pt>
                <c:pt idx="68">
                  <c:v>71.713583333333332</c:v>
                </c:pt>
                <c:pt idx="69">
                  <c:v>76.7199730820996</c:v>
                </c:pt>
                <c:pt idx="70">
                  <c:v>95.904597222222222</c:v>
                </c:pt>
                <c:pt idx="71">
                  <c:v>91.83743279569893</c:v>
                </c:pt>
                <c:pt idx="72">
                  <c:v>97.965967741935472</c:v>
                </c:pt>
                <c:pt idx="73">
                  <c:v>112.8479613095238</c:v>
                </c:pt>
                <c:pt idx="74">
                  <c:v>84.348845117845116</c:v>
                </c:pt>
                <c:pt idx="75">
                  <c:v>75.160472222222225</c:v>
                </c:pt>
                <c:pt idx="76">
                  <c:v>64.233413978494625</c:v>
                </c:pt>
                <c:pt idx="77">
                  <c:v>58.784624999999998</c:v>
                </c:pt>
                <c:pt idx="78">
                  <c:v>82.801922043010748</c:v>
                </c:pt>
                <c:pt idx="79">
                  <c:v>73.473763440860225</c:v>
                </c:pt>
                <c:pt idx="80">
                  <c:v>72.398680555555558</c:v>
                </c:pt>
                <c:pt idx="81">
                  <c:v>78.421800134589503</c:v>
                </c:pt>
                <c:pt idx="82">
                  <c:v>92.873392361111115</c:v>
                </c:pt>
                <c:pt idx="83">
                  <c:v>82.437466397849462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5DC-7741-9F58-9D8A94239134}"/>
            </c:ext>
          </c:extLst>
        </c:ser>
        <c:ser>
          <c:idx val="1"/>
          <c:order val="1"/>
          <c:tx>
            <c:strRef>
              <c:f>'Electricity Price Data'!$C$1</c:f>
              <c:strCache>
                <c:ptCount val="1"/>
                <c:pt idx="0">
                  <c:v>DK2 Spot Price (EUR/MWh)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'Electricity Price Data'!$C$2:$C$85</c:f>
              <c:numCache>
                <c:formatCode>General</c:formatCode>
                <c:ptCount val="84"/>
                <c:pt idx="0">
                  <c:v>51.655026881720417</c:v>
                </c:pt>
                <c:pt idx="1">
                  <c:v>43.932946428571427</c:v>
                </c:pt>
                <c:pt idx="2">
                  <c:v>35.667354925775967</c:v>
                </c:pt>
                <c:pt idx="3">
                  <c:v>39.892097222222233</c:v>
                </c:pt>
                <c:pt idx="4">
                  <c:v>38.151397849462363</c:v>
                </c:pt>
                <c:pt idx="5">
                  <c:v>33.622236111111107</c:v>
                </c:pt>
                <c:pt idx="6">
                  <c:v>39.000174731182803</c:v>
                </c:pt>
                <c:pt idx="7">
                  <c:v>39.493172043010752</c:v>
                </c:pt>
                <c:pt idx="8">
                  <c:v>37.321347222222222</c:v>
                </c:pt>
                <c:pt idx="9">
                  <c:v>41.599353970390311</c:v>
                </c:pt>
                <c:pt idx="10">
                  <c:v>42.696444444444452</c:v>
                </c:pt>
                <c:pt idx="11">
                  <c:v>35.34711021505376</c:v>
                </c:pt>
                <c:pt idx="12">
                  <c:v>27.385241935483869</c:v>
                </c:pt>
                <c:pt idx="13">
                  <c:v>18.816997126436782</c:v>
                </c:pt>
                <c:pt idx="14">
                  <c:v>20.05249662618084</c:v>
                </c:pt>
                <c:pt idx="15">
                  <c:v>17.354861111111109</c:v>
                </c:pt>
                <c:pt idx="16">
                  <c:v>19.04407258064516</c:v>
                </c:pt>
                <c:pt idx="17">
                  <c:v>29.82329166666667</c:v>
                </c:pt>
                <c:pt idx="18">
                  <c:v>25.886680107526882</c:v>
                </c:pt>
                <c:pt idx="19">
                  <c:v>40.923817204301074</c:v>
                </c:pt>
                <c:pt idx="20">
                  <c:v>39.51423611111111</c:v>
                </c:pt>
                <c:pt idx="21">
                  <c:v>26.933512786002691</c:v>
                </c:pt>
                <c:pt idx="22">
                  <c:v>35.711347222222223</c:v>
                </c:pt>
                <c:pt idx="23">
                  <c:v>39.257150537634409</c:v>
                </c:pt>
                <c:pt idx="24">
                  <c:v>50.858951612903233</c:v>
                </c:pt>
                <c:pt idx="25">
                  <c:v>54.54806547619048</c:v>
                </c:pt>
                <c:pt idx="26">
                  <c:v>46.732213225371119</c:v>
                </c:pt>
                <c:pt idx="27">
                  <c:v>47.862958333333339</c:v>
                </c:pt>
                <c:pt idx="28">
                  <c:v>55.208803763440862</c:v>
                </c:pt>
                <c:pt idx="29">
                  <c:v>73.58690277777778</c:v>
                </c:pt>
                <c:pt idx="30">
                  <c:v>81.44088709677419</c:v>
                </c:pt>
                <c:pt idx="31">
                  <c:v>84.363548387096785</c:v>
                </c:pt>
                <c:pt idx="32">
                  <c:v>123.9021111111111</c:v>
                </c:pt>
                <c:pt idx="33">
                  <c:v>106.9322745625841</c:v>
                </c:pt>
                <c:pt idx="34">
                  <c:v>136.38005555555549</c:v>
                </c:pt>
                <c:pt idx="35">
                  <c:v>191.06861559139779</c:v>
                </c:pt>
                <c:pt idx="36">
                  <c:v>111.62209677419349</c:v>
                </c:pt>
                <c:pt idx="37">
                  <c:v>100.2914136904762</c:v>
                </c:pt>
                <c:pt idx="38">
                  <c:v>227.92036437246961</c:v>
                </c:pt>
                <c:pt idx="39">
                  <c:v>152.83280555555561</c:v>
                </c:pt>
                <c:pt idx="40">
                  <c:v>162.65841397849459</c:v>
                </c:pt>
                <c:pt idx="41">
                  <c:v>213.2331388888889</c:v>
                </c:pt>
                <c:pt idx="42">
                  <c:v>233.47774193548389</c:v>
                </c:pt>
                <c:pt idx="43">
                  <c:v>449.7688306451613</c:v>
                </c:pt>
                <c:pt idx="44">
                  <c:v>328.80015277777778</c:v>
                </c:pt>
                <c:pt idx="45">
                  <c:v>136.89783310901751</c:v>
                </c:pt>
                <c:pt idx="46">
                  <c:v>145.05780555555549</c:v>
                </c:pt>
                <c:pt idx="47">
                  <c:v>248.88206989247311</c:v>
                </c:pt>
                <c:pt idx="48">
                  <c:v>99.762889784946225</c:v>
                </c:pt>
                <c:pt idx="49">
                  <c:v>100.6489285714286</c:v>
                </c:pt>
                <c:pt idx="50">
                  <c:v>89.795614035087723</c:v>
                </c:pt>
                <c:pt idx="51">
                  <c:v>83.651124999999993</c:v>
                </c:pt>
                <c:pt idx="52">
                  <c:v>66.151747311827961</c:v>
                </c:pt>
                <c:pt idx="53">
                  <c:v>91.423152777777773</c:v>
                </c:pt>
                <c:pt idx="54">
                  <c:v>65.24004032258064</c:v>
                </c:pt>
                <c:pt idx="55">
                  <c:v>86.293736559139788</c:v>
                </c:pt>
                <c:pt idx="56">
                  <c:v>85.484125000000006</c:v>
                </c:pt>
                <c:pt idx="57">
                  <c:v>56.925814266487208</c:v>
                </c:pt>
                <c:pt idx="58">
                  <c:v>81.486041666666665</c:v>
                </c:pt>
                <c:pt idx="59">
                  <c:v>70.879731182795695</c:v>
                </c:pt>
                <c:pt idx="60">
                  <c:v>78.214811827956993</c:v>
                </c:pt>
                <c:pt idx="61">
                  <c:v>54.722241379310347</c:v>
                </c:pt>
                <c:pt idx="62">
                  <c:v>61.040863697705802</c:v>
                </c:pt>
                <c:pt idx="63">
                  <c:v>60.476708333333328</c:v>
                </c:pt>
                <c:pt idx="64">
                  <c:v>58.122983870967737</c:v>
                </c:pt>
                <c:pt idx="65">
                  <c:v>66.79098611111111</c:v>
                </c:pt>
                <c:pt idx="66">
                  <c:v>62.841706989247307</c:v>
                </c:pt>
                <c:pt idx="67">
                  <c:v>72.614260752688182</c:v>
                </c:pt>
                <c:pt idx="68">
                  <c:v>70.411833333333334</c:v>
                </c:pt>
                <c:pt idx="69">
                  <c:v>76.326123822341856</c:v>
                </c:pt>
                <c:pt idx="70">
                  <c:v>95.282694444444431</c:v>
                </c:pt>
                <c:pt idx="71">
                  <c:v>92.728158602150543</c:v>
                </c:pt>
                <c:pt idx="72">
                  <c:v>100.1237365591398</c:v>
                </c:pt>
                <c:pt idx="73">
                  <c:v>117.9355505952381</c:v>
                </c:pt>
                <c:pt idx="74">
                  <c:v>82.846865319865316</c:v>
                </c:pt>
                <c:pt idx="75">
                  <c:v>75.806652777777785</c:v>
                </c:pt>
                <c:pt idx="76">
                  <c:v>63.082553763440863</c:v>
                </c:pt>
                <c:pt idx="77">
                  <c:v>56.448249999999987</c:v>
                </c:pt>
                <c:pt idx="78">
                  <c:v>79.959690860215062</c:v>
                </c:pt>
                <c:pt idx="79">
                  <c:v>75.315497311827954</c:v>
                </c:pt>
                <c:pt idx="80">
                  <c:v>83.288930555555552</c:v>
                </c:pt>
                <c:pt idx="81">
                  <c:v>82.368075370121133</c:v>
                </c:pt>
                <c:pt idx="82">
                  <c:v>93.695572916666663</c:v>
                </c:pt>
                <c:pt idx="83">
                  <c:v>82.081528897849466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5DC-7741-9F58-9D8A942391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DK1 De-seasonalised Price Series (Primary)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'Electricity Price Data'!$E$1</c:f>
              <c:strCache>
                <c:ptCount val="1"/>
                <c:pt idx="0">
                  <c:v>DK1 De-seasonalised Price (EUR/MWh)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'Electricity Price Data'!$E$2:$E$85</c:f>
              <c:numCache>
                <c:formatCode>General</c:formatCode>
                <c:ptCount val="84"/>
                <c:pt idx="0">
                  <c:v>-25.234738863287252</c:v>
                </c:pt>
                <c:pt idx="1">
                  <c:v>-30.100228272343401</c:v>
                </c:pt>
                <c:pt idx="2">
                  <c:v>-48.899358826358807</c:v>
                </c:pt>
                <c:pt idx="3">
                  <c:v>-31.760585317460279</c:v>
                </c:pt>
                <c:pt idx="4">
                  <c:v>-30.622649769585269</c:v>
                </c:pt>
                <c:pt idx="5">
                  <c:v>-47.454873015873012</c:v>
                </c:pt>
                <c:pt idx="6">
                  <c:v>-50.913813364055301</c:v>
                </c:pt>
                <c:pt idx="7">
                  <c:v>-82.754126344086018</c:v>
                </c:pt>
                <c:pt idx="8">
                  <c:v>-74.756714285714281</c:v>
                </c:pt>
                <c:pt idx="9">
                  <c:v>-37.87848634877907</c:v>
                </c:pt>
                <c:pt idx="10">
                  <c:v>-47.388359623015852</c:v>
                </c:pt>
                <c:pt idx="11">
                  <c:v>-73.290233294930886</c:v>
                </c:pt>
                <c:pt idx="12">
                  <c:v>-50.535841013824893</c:v>
                </c:pt>
                <c:pt idx="13">
                  <c:v>-55.329114766596277</c:v>
                </c:pt>
                <c:pt idx="14">
                  <c:v>-64.205890540258949</c:v>
                </c:pt>
                <c:pt idx="15">
                  <c:v>-56.295224206349168</c:v>
                </c:pt>
                <c:pt idx="16">
                  <c:v>-51.998173963133659</c:v>
                </c:pt>
                <c:pt idx="17">
                  <c:v>-54.057817460317452</c:v>
                </c:pt>
                <c:pt idx="18">
                  <c:v>-65.111555299539162</c:v>
                </c:pt>
                <c:pt idx="19">
                  <c:v>-86.080537634408586</c:v>
                </c:pt>
                <c:pt idx="20">
                  <c:v>-71.60053373015873</c:v>
                </c:pt>
                <c:pt idx="21">
                  <c:v>-50.411137761968838</c:v>
                </c:pt>
                <c:pt idx="22">
                  <c:v>-65.378845734126969</c:v>
                </c:pt>
                <c:pt idx="23">
                  <c:v>-72.821080069124434</c:v>
                </c:pt>
                <c:pt idx="24">
                  <c:v>-25.32527649769585</c:v>
                </c:pt>
                <c:pt idx="25">
                  <c:v>-25.652683629486251</c:v>
                </c:pt>
                <c:pt idx="26">
                  <c:v>-37.378171242013337</c:v>
                </c:pt>
                <c:pt idx="27">
                  <c:v>-22.861890873015842</c:v>
                </c:pt>
                <c:pt idx="28">
                  <c:v>-13.74459869431645</c:v>
                </c:pt>
                <c:pt idx="29">
                  <c:v>-6.6142757936507914</c:v>
                </c:pt>
                <c:pt idx="30">
                  <c:v>-9.731877880184328</c:v>
                </c:pt>
                <c:pt idx="31">
                  <c:v>-37.831061827956987</c:v>
                </c:pt>
                <c:pt idx="32">
                  <c:v>15.228188492063509</c:v>
                </c:pt>
                <c:pt idx="33">
                  <c:v>40.813922803307079</c:v>
                </c:pt>
                <c:pt idx="34">
                  <c:v>52.664154265873037</c:v>
                </c:pt>
                <c:pt idx="35">
                  <c:v>82.017118855606753</c:v>
                </c:pt>
                <c:pt idx="36">
                  <c:v>42.464266513056842</c:v>
                </c:pt>
                <c:pt idx="37">
                  <c:v>40.206557441942309</c:v>
                </c:pt>
                <c:pt idx="38">
                  <c:v>153.31722686864791</c:v>
                </c:pt>
                <c:pt idx="39">
                  <c:v>92.808470238095268</c:v>
                </c:pt>
                <c:pt idx="40">
                  <c:v>103.8058717357911</c:v>
                </c:pt>
                <c:pt idx="41">
                  <c:v>134.09615476190481</c:v>
                </c:pt>
                <c:pt idx="42">
                  <c:v>185.3070468509984</c:v>
                </c:pt>
                <c:pt idx="43">
                  <c:v>336.13052419354841</c:v>
                </c:pt>
                <c:pt idx="44">
                  <c:v>232.6840773809524</c:v>
                </c:pt>
                <c:pt idx="45">
                  <c:v>60.905833974235733</c:v>
                </c:pt>
                <c:pt idx="46">
                  <c:v>50.570779265873028</c:v>
                </c:pt>
                <c:pt idx="47">
                  <c:v>142.3334091781874</c:v>
                </c:pt>
                <c:pt idx="48">
                  <c:v>37.011457373271902</c:v>
                </c:pt>
                <c:pt idx="49">
                  <c:v>45.22194434670422</c:v>
                </c:pt>
                <c:pt idx="50">
                  <c:v>16.60629569455887</c:v>
                </c:pt>
                <c:pt idx="51">
                  <c:v>25.44197023809528</c:v>
                </c:pt>
                <c:pt idx="52">
                  <c:v>5.9136136712749447</c:v>
                </c:pt>
                <c:pt idx="53">
                  <c:v>12.161335317460329</c:v>
                </c:pt>
                <c:pt idx="54">
                  <c:v>-24.919821428571421</c:v>
                </c:pt>
                <c:pt idx="55">
                  <c:v>-34.65271505376343</c:v>
                </c:pt>
                <c:pt idx="56">
                  <c:v>-25.39613095238094</c:v>
                </c:pt>
                <c:pt idx="57">
                  <c:v>-16.12012834070369</c:v>
                </c:pt>
                <c:pt idx="58">
                  <c:v>-0.97885962301585039</c:v>
                </c:pt>
                <c:pt idx="59">
                  <c:v>-37.849695660522272</c:v>
                </c:pt>
                <c:pt idx="60">
                  <c:v>-0.81545122887864352</c:v>
                </c:pt>
                <c:pt idx="61">
                  <c:v>-14.280249824067541</c:v>
                </c:pt>
                <c:pt idx="62">
                  <c:v>-21.28132913675017</c:v>
                </c:pt>
                <c:pt idx="63">
                  <c:v>-11.664210317460279</c:v>
                </c:pt>
                <c:pt idx="64">
                  <c:v>-9.5353110599078548</c:v>
                </c:pt>
                <c:pt idx="65">
                  <c:v>-16.581053571428559</c:v>
                </c:pt>
                <c:pt idx="66">
                  <c:v>-27.70077572964669</c:v>
                </c:pt>
                <c:pt idx="67">
                  <c:v>-47.666021505376342</c:v>
                </c:pt>
                <c:pt idx="68">
                  <c:v>-38.421992063492063</c:v>
                </c:pt>
                <c:pt idx="69">
                  <c:v>0.49408431070949632</c:v>
                </c:pt>
                <c:pt idx="70">
                  <c:v>6.7711681547619236</c:v>
                </c:pt>
                <c:pt idx="71">
                  <c:v>-15.49477630568356</c:v>
                </c:pt>
                <c:pt idx="72">
                  <c:v>22.4355837173579</c:v>
                </c:pt>
                <c:pt idx="73">
                  <c:v>39.933774703847078</c:v>
                </c:pt>
                <c:pt idx="74">
                  <c:v>1.8412271821745629</c:v>
                </c:pt>
                <c:pt idx="75">
                  <c:v>4.3314702380952781</c:v>
                </c:pt>
                <c:pt idx="76">
                  <c:v>-3.818751920122907</c:v>
                </c:pt>
                <c:pt idx="77">
                  <c:v>-21.549470238095228</c:v>
                </c:pt>
                <c:pt idx="78">
                  <c:v>-6.9292031490015384</c:v>
                </c:pt>
                <c:pt idx="79">
                  <c:v>-47.14606182795697</c:v>
                </c:pt>
                <c:pt idx="80">
                  <c:v>-37.73689484126983</c:v>
                </c:pt>
                <c:pt idx="81">
                  <c:v>2.1959113631994001</c:v>
                </c:pt>
                <c:pt idx="82">
                  <c:v>3.7399632936508169</c:v>
                </c:pt>
                <c:pt idx="83">
                  <c:v>-24.89474270353303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14-F040-B599-9B9D93264E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  <c:txPr>
        <a:bodyPr/>
        <a:lstStyle/>
        <a:p>
          <a:pPr rtl="0">
            <a:defRPr/>
          </a:pPr>
          <a:endParaRPr lang="en-DK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Monthly Spot Prices - DK1 (Primary) and DK2 (Robustness)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'Electricity Price Data'!$B$1</c:f>
              <c:strCache>
                <c:ptCount val="1"/>
                <c:pt idx="0">
                  <c:v>DK1 Spot Price (EUR/MWh)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'Electricity Price Data'!$B$2:$B$85</c:f>
              <c:numCache>
                <c:formatCode>General</c:formatCode>
                <c:ptCount val="84"/>
                <c:pt idx="0">
                  <c:v>50.295645161290317</c:v>
                </c:pt>
                <c:pt idx="1">
                  <c:v>42.813958333333332</c:v>
                </c:pt>
                <c:pt idx="2">
                  <c:v>33.608259109311753</c:v>
                </c:pt>
                <c:pt idx="3">
                  <c:v>39.068416666666657</c:v>
                </c:pt>
                <c:pt idx="4">
                  <c:v>37.429516129032258</c:v>
                </c:pt>
                <c:pt idx="5">
                  <c:v>32.879222222222232</c:v>
                </c:pt>
                <c:pt idx="6">
                  <c:v>38.817311827956978</c:v>
                </c:pt>
                <c:pt idx="7">
                  <c:v>37.865698924731177</c:v>
                </c:pt>
                <c:pt idx="8">
                  <c:v>35.378861111111107</c:v>
                </c:pt>
                <c:pt idx="9">
                  <c:v>38.347402422611033</c:v>
                </c:pt>
                <c:pt idx="10">
                  <c:v>41.745069444444447</c:v>
                </c:pt>
                <c:pt idx="11">
                  <c:v>34.04197580645161</c:v>
                </c:pt>
                <c:pt idx="12">
                  <c:v>24.99454301075269</c:v>
                </c:pt>
                <c:pt idx="13">
                  <c:v>17.585071839080459</c:v>
                </c:pt>
                <c:pt idx="14">
                  <c:v>18.301727395411611</c:v>
                </c:pt>
                <c:pt idx="15">
                  <c:v>14.533777777777781</c:v>
                </c:pt>
                <c:pt idx="16">
                  <c:v>16.053991935483872</c:v>
                </c:pt>
                <c:pt idx="17">
                  <c:v>26.276277777777771</c:v>
                </c:pt>
                <c:pt idx="18">
                  <c:v>24.61956989247312</c:v>
                </c:pt>
                <c:pt idx="19">
                  <c:v>34.539287634408602</c:v>
                </c:pt>
                <c:pt idx="20">
                  <c:v>38.535041666666658</c:v>
                </c:pt>
                <c:pt idx="21">
                  <c:v>25.814751009421261</c:v>
                </c:pt>
                <c:pt idx="22">
                  <c:v>23.754583333333329</c:v>
                </c:pt>
                <c:pt idx="23">
                  <c:v>34.511129032258061</c:v>
                </c:pt>
                <c:pt idx="24">
                  <c:v>50.205107526881719</c:v>
                </c:pt>
                <c:pt idx="25">
                  <c:v>47.261502976190478</c:v>
                </c:pt>
                <c:pt idx="26">
                  <c:v>45.129446693657208</c:v>
                </c:pt>
                <c:pt idx="27">
                  <c:v>47.967111111111109</c:v>
                </c:pt>
                <c:pt idx="28">
                  <c:v>54.30756720430108</c:v>
                </c:pt>
                <c:pt idx="29">
                  <c:v>73.71981944444444</c:v>
                </c:pt>
                <c:pt idx="30">
                  <c:v>79.999247311827958</c:v>
                </c:pt>
                <c:pt idx="31">
                  <c:v>82.788763440860208</c:v>
                </c:pt>
                <c:pt idx="32">
                  <c:v>125.3637638888889</c:v>
                </c:pt>
                <c:pt idx="33">
                  <c:v>117.0398115746972</c:v>
                </c:pt>
                <c:pt idx="34">
                  <c:v>141.79758333333331</c:v>
                </c:pt>
                <c:pt idx="35">
                  <c:v>189.34932795698921</c:v>
                </c:pt>
                <c:pt idx="36">
                  <c:v>117.9946505376344</c:v>
                </c:pt>
                <c:pt idx="37">
                  <c:v>113.120744047619</c:v>
                </c:pt>
                <c:pt idx="38">
                  <c:v>235.8248448043185</c:v>
                </c:pt>
                <c:pt idx="39">
                  <c:v>163.63747222222219</c:v>
                </c:pt>
                <c:pt idx="40">
                  <c:v>171.85803763440859</c:v>
                </c:pt>
                <c:pt idx="41">
                  <c:v>214.43025</c:v>
                </c:pt>
                <c:pt idx="42">
                  <c:v>275.03817204301072</c:v>
                </c:pt>
                <c:pt idx="43">
                  <c:v>456.75034946236559</c:v>
                </c:pt>
                <c:pt idx="44">
                  <c:v>342.81965277777778</c:v>
                </c:pt>
                <c:pt idx="45">
                  <c:v>137.13172274562581</c:v>
                </c:pt>
                <c:pt idx="46">
                  <c:v>139.7042083333333</c:v>
                </c:pt>
                <c:pt idx="47">
                  <c:v>249.66561827956991</c:v>
                </c:pt>
                <c:pt idx="48">
                  <c:v>112.5418413978495</c:v>
                </c:pt>
                <c:pt idx="49">
                  <c:v>118.136130952381</c:v>
                </c:pt>
                <c:pt idx="50">
                  <c:v>99.113913630229419</c:v>
                </c:pt>
                <c:pt idx="51">
                  <c:v>96.270972222222227</c:v>
                </c:pt>
                <c:pt idx="52">
                  <c:v>73.965779569892476</c:v>
                </c:pt>
                <c:pt idx="53">
                  <c:v>92.495430555555558</c:v>
                </c:pt>
                <c:pt idx="54">
                  <c:v>64.811303763440861</c:v>
                </c:pt>
                <c:pt idx="55">
                  <c:v>85.967110215053765</c:v>
                </c:pt>
                <c:pt idx="56">
                  <c:v>84.739444444444445</c:v>
                </c:pt>
                <c:pt idx="57">
                  <c:v>60.105760430686409</c:v>
                </c:pt>
                <c:pt idx="58">
                  <c:v>88.154569444444448</c:v>
                </c:pt>
                <c:pt idx="59">
                  <c:v>69.482513440860217</c:v>
                </c:pt>
                <c:pt idx="60">
                  <c:v>74.714932795698928</c:v>
                </c:pt>
                <c:pt idx="61">
                  <c:v>58.633936781609187</c:v>
                </c:pt>
                <c:pt idx="62">
                  <c:v>61.226288798920379</c:v>
                </c:pt>
                <c:pt idx="63">
                  <c:v>59.164791666666673</c:v>
                </c:pt>
                <c:pt idx="64">
                  <c:v>58.516854838709683</c:v>
                </c:pt>
                <c:pt idx="65">
                  <c:v>63.753041666666668</c:v>
                </c:pt>
                <c:pt idx="66">
                  <c:v>62.030349462365592</c:v>
                </c:pt>
                <c:pt idx="67">
                  <c:v>72.95380376344086</c:v>
                </c:pt>
                <c:pt idx="68">
                  <c:v>71.713583333333332</c:v>
                </c:pt>
                <c:pt idx="69">
                  <c:v>76.7199730820996</c:v>
                </c:pt>
                <c:pt idx="70">
                  <c:v>95.904597222222222</c:v>
                </c:pt>
                <c:pt idx="71">
                  <c:v>91.83743279569893</c:v>
                </c:pt>
                <c:pt idx="72">
                  <c:v>97.965967741935472</c:v>
                </c:pt>
                <c:pt idx="73">
                  <c:v>112.8479613095238</c:v>
                </c:pt>
                <c:pt idx="74">
                  <c:v>84.348845117845116</c:v>
                </c:pt>
                <c:pt idx="75">
                  <c:v>75.160472222222225</c:v>
                </c:pt>
                <c:pt idx="76">
                  <c:v>64.233413978494625</c:v>
                </c:pt>
                <c:pt idx="77">
                  <c:v>58.784624999999998</c:v>
                </c:pt>
                <c:pt idx="78">
                  <c:v>82.801922043010748</c:v>
                </c:pt>
                <c:pt idx="79">
                  <c:v>73.473763440860225</c:v>
                </c:pt>
                <c:pt idx="80">
                  <c:v>72.398680555555558</c:v>
                </c:pt>
                <c:pt idx="81">
                  <c:v>78.421800134589503</c:v>
                </c:pt>
                <c:pt idx="82">
                  <c:v>92.873392361111115</c:v>
                </c:pt>
                <c:pt idx="83">
                  <c:v>82.437466397849462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BD-B849-A081-E3C184C58D99}"/>
            </c:ext>
          </c:extLst>
        </c:ser>
        <c:ser>
          <c:idx val="1"/>
          <c:order val="1"/>
          <c:tx>
            <c:strRef>
              <c:f>'Electricity Price Data'!$C$1</c:f>
              <c:strCache>
                <c:ptCount val="1"/>
                <c:pt idx="0">
                  <c:v>DK2 Spot Price (EUR/MWh)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'Electricity Price Data'!$C$2:$C$85</c:f>
              <c:numCache>
                <c:formatCode>General</c:formatCode>
                <c:ptCount val="84"/>
                <c:pt idx="0">
                  <c:v>51.655026881720417</c:v>
                </c:pt>
                <c:pt idx="1">
                  <c:v>43.932946428571427</c:v>
                </c:pt>
                <c:pt idx="2">
                  <c:v>35.667354925775967</c:v>
                </c:pt>
                <c:pt idx="3">
                  <c:v>39.892097222222233</c:v>
                </c:pt>
                <c:pt idx="4">
                  <c:v>38.151397849462363</c:v>
                </c:pt>
                <c:pt idx="5">
                  <c:v>33.622236111111107</c:v>
                </c:pt>
                <c:pt idx="6">
                  <c:v>39.000174731182803</c:v>
                </c:pt>
                <c:pt idx="7">
                  <c:v>39.493172043010752</c:v>
                </c:pt>
                <c:pt idx="8">
                  <c:v>37.321347222222222</c:v>
                </c:pt>
                <c:pt idx="9">
                  <c:v>41.599353970390311</c:v>
                </c:pt>
                <c:pt idx="10">
                  <c:v>42.696444444444452</c:v>
                </c:pt>
                <c:pt idx="11">
                  <c:v>35.34711021505376</c:v>
                </c:pt>
                <c:pt idx="12">
                  <c:v>27.385241935483869</c:v>
                </c:pt>
                <c:pt idx="13">
                  <c:v>18.816997126436782</c:v>
                </c:pt>
                <c:pt idx="14">
                  <c:v>20.05249662618084</c:v>
                </c:pt>
                <c:pt idx="15">
                  <c:v>17.354861111111109</c:v>
                </c:pt>
                <c:pt idx="16">
                  <c:v>19.04407258064516</c:v>
                </c:pt>
                <c:pt idx="17">
                  <c:v>29.82329166666667</c:v>
                </c:pt>
                <c:pt idx="18">
                  <c:v>25.886680107526882</c:v>
                </c:pt>
                <c:pt idx="19">
                  <c:v>40.923817204301074</c:v>
                </c:pt>
                <c:pt idx="20">
                  <c:v>39.51423611111111</c:v>
                </c:pt>
                <c:pt idx="21">
                  <c:v>26.933512786002691</c:v>
                </c:pt>
                <c:pt idx="22">
                  <c:v>35.711347222222223</c:v>
                </c:pt>
                <c:pt idx="23">
                  <c:v>39.257150537634409</c:v>
                </c:pt>
                <c:pt idx="24">
                  <c:v>50.858951612903233</c:v>
                </c:pt>
                <c:pt idx="25">
                  <c:v>54.54806547619048</c:v>
                </c:pt>
                <c:pt idx="26">
                  <c:v>46.732213225371119</c:v>
                </c:pt>
                <c:pt idx="27">
                  <c:v>47.862958333333339</c:v>
                </c:pt>
                <c:pt idx="28">
                  <c:v>55.208803763440862</c:v>
                </c:pt>
                <c:pt idx="29">
                  <c:v>73.58690277777778</c:v>
                </c:pt>
                <c:pt idx="30">
                  <c:v>81.44088709677419</c:v>
                </c:pt>
                <c:pt idx="31">
                  <c:v>84.363548387096785</c:v>
                </c:pt>
                <c:pt idx="32">
                  <c:v>123.9021111111111</c:v>
                </c:pt>
                <c:pt idx="33">
                  <c:v>106.9322745625841</c:v>
                </c:pt>
                <c:pt idx="34">
                  <c:v>136.38005555555549</c:v>
                </c:pt>
                <c:pt idx="35">
                  <c:v>191.06861559139779</c:v>
                </c:pt>
                <c:pt idx="36">
                  <c:v>111.62209677419349</c:v>
                </c:pt>
                <c:pt idx="37">
                  <c:v>100.2914136904762</c:v>
                </c:pt>
                <c:pt idx="38">
                  <c:v>227.92036437246961</c:v>
                </c:pt>
                <c:pt idx="39">
                  <c:v>152.83280555555561</c:v>
                </c:pt>
                <c:pt idx="40">
                  <c:v>162.65841397849459</c:v>
                </c:pt>
                <c:pt idx="41">
                  <c:v>213.2331388888889</c:v>
                </c:pt>
                <c:pt idx="42">
                  <c:v>233.47774193548389</c:v>
                </c:pt>
                <c:pt idx="43">
                  <c:v>449.7688306451613</c:v>
                </c:pt>
                <c:pt idx="44">
                  <c:v>328.80015277777778</c:v>
                </c:pt>
                <c:pt idx="45">
                  <c:v>136.89783310901751</c:v>
                </c:pt>
                <c:pt idx="46">
                  <c:v>145.05780555555549</c:v>
                </c:pt>
                <c:pt idx="47">
                  <c:v>248.88206989247311</c:v>
                </c:pt>
                <c:pt idx="48">
                  <c:v>99.762889784946225</c:v>
                </c:pt>
                <c:pt idx="49">
                  <c:v>100.6489285714286</c:v>
                </c:pt>
                <c:pt idx="50">
                  <c:v>89.795614035087723</c:v>
                </c:pt>
                <c:pt idx="51">
                  <c:v>83.651124999999993</c:v>
                </c:pt>
                <c:pt idx="52">
                  <c:v>66.151747311827961</c:v>
                </c:pt>
                <c:pt idx="53">
                  <c:v>91.423152777777773</c:v>
                </c:pt>
                <c:pt idx="54">
                  <c:v>65.24004032258064</c:v>
                </c:pt>
                <c:pt idx="55">
                  <c:v>86.293736559139788</c:v>
                </c:pt>
                <c:pt idx="56">
                  <c:v>85.484125000000006</c:v>
                </c:pt>
                <c:pt idx="57">
                  <c:v>56.925814266487208</c:v>
                </c:pt>
                <c:pt idx="58">
                  <c:v>81.486041666666665</c:v>
                </c:pt>
                <c:pt idx="59">
                  <c:v>70.879731182795695</c:v>
                </c:pt>
                <c:pt idx="60">
                  <c:v>78.214811827956993</c:v>
                </c:pt>
                <c:pt idx="61">
                  <c:v>54.722241379310347</c:v>
                </c:pt>
                <c:pt idx="62">
                  <c:v>61.040863697705802</c:v>
                </c:pt>
                <c:pt idx="63">
                  <c:v>60.476708333333328</c:v>
                </c:pt>
                <c:pt idx="64">
                  <c:v>58.122983870967737</c:v>
                </c:pt>
                <c:pt idx="65">
                  <c:v>66.79098611111111</c:v>
                </c:pt>
                <c:pt idx="66">
                  <c:v>62.841706989247307</c:v>
                </c:pt>
                <c:pt idx="67">
                  <c:v>72.614260752688182</c:v>
                </c:pt>
                <c:pt idx="68">
                  <c:v>70.411833333333334</c:v>
                </c:pt>
                <c:pt idx="69">
                  <c:v>76.326123822341856</c:v>
                </c:pt>
                <c:pt idx="70">
                  <c:v>95.282694444444431</c:v>
                </c:pt>
                <c:pt idx="71">
                  <c:v>92.728158602150543</c:v>
                </c:pt>
                <c:pt idx="72">
                  <c:v>100.1237365591398</c:v>
                </c:pt>
                <c:pt idx="73">
                  <c:v>117.9355505952381</c:v>
                </c:pt>
                <c:pt idx="74">
                  <c:v>82.846865319865316</c:v>
                </c:pt>
                <c:pt idx="75">
                  <c:v>75.806652777777785</c:v>
                </c:pt>
                <c:pt idx="76">
                  <c:v>63.082553763440863</c:v>
                </c:pt>
                <c:pt idx="77">
                  <c:v>56.448249999999987</c:v>
                </c:pt>
                <c:pt idx="78">
                  <c:v>79.959690860215062</c:v>
                </c:pt>
                <c:pt idx="79">
                  <c:v>75.315497311827954</c:v>
                </c:pt>
                <c:pt idx="80">
                  <c:v>83.288930555555552</c:v>
                </c:pt>
                <c:pt idx="81">
                  <c:v>82.368075370121133</c:v>
                </c:pt>
                <c:pt idx="82">
                  <c:v>93.695572916666663</c:v>
                </c:pt>
                <c:pt idx="83">
                  <c:v>82.081528897849466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BD-B849-A081-E3C184C58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DK1 De-seasonalised Price Series (Primary)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'Electricity Price Data'!$E$1</c:f>
              <c:strCache>
                <c:ptCount val="1"/>
                <c:pt idx="0">
                  <c:v>DK1 De-seasonalised Price (EUR/MWh)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'Electricity Price Data'!$E$2:$E$85</c:f>
              <c:numCache>
                <c:formatCode>General</c:formatCode>
                <c:ptCount val="84"/>
                <c:pt idx="0">
                  <c:v>-25.234738863287252</c:v>
                </c:pt>
                <c:pt idx="1">
                  <c:v>-30.100228272343401</c:v>
                </c:pt>
                <c:pt idx="2">
                  <c:v>-48.899358826358807</c:v>
                </c:pt>
                <c:pt idx="3">
                  <c:v>-31.760585317460279</c:v>
                </c:pt>
                <c:pt idx="4">
                  <c:v>-30.622649769585269</c:v>
                </c:pt>
                <c:pt idx="5">
                  <c:v>-47.454873015873012</c:v>
                </c:pt>
                <c:pt idx="6">
                  <c:v>-50.913813364055301</c:v>
                </c:pt>
                <c:pt idx="7">
                  <c:v>-82.754126344086018</c:v>
                </c:pt>
                <c:pt idx="8">
                  <c:v>-74.756714285714281</c:v>
                </c:pt>
                <c:pt idx="9">
                  <c:v>-37.87848634877907</c:v>
                </c:pt>
                <c:pt idx="10">
                  <c:v>-47.388359623015852</c:v>
                </c:pt>
                <c:pt idx="11">
                  <c:v>-73.290233294930886</c:v>
                </c:pt>
                <c:pt idx="12">
                  <c:v>-50.535841013824893</c:v>
                </c:pt>
                <c:pt idx="13">
                  <c:v>-55.329114766596277</c:v>
                </c:pt>
                <c:pt idx="14">
                  <c:v>-64.205890540258949</c:v>
                </c:pt>
                <c:pt idx="15">
                  <c:v>-56.295224206349168</c:v>
                </c:pt>
                <c:pt idx="16">
                  <c:v>-51.998173963133659</c:v>
                </c:pt>
                <c:pt idx="17">
                  <c:v>-54.057817460317452</c:v>
                </c:pt>
                <c:pt idx="18">
                  <c:v>-65.111555299539162</c:v>
                </c:pt>
                <c:pt idx="19">
                  <c:v>-86.080537634408586</c:v>
                </c:pt>
                <c:pt idx="20">
                  <c:v>-71.60053373015873</c:v>
                </c:pt>
                <c:pt idx="21">
                  <c:v>-50.411137761968838</c:v>
                </c:pt>
                <c:pt idx="22">
                  <c:v>-65.378845734126969</c:v>
                </c:pt>
                <c:pt idx="23">
                  <c:v>-72.821080069124434</c:v>
                </c:pt>
                <c:pt idx="24">
                  <c:v>-25.32527649769585</c:v>
                </c:pt>
                <c:pt idx="25">
                  <c:v>-25.652683629486251</c:v>
                </c:pt>
                <c:pt idx="26">
                  <c:v>-37.378171242013337</c:v>
                </c:pt>
                <c:pt idx="27">
                  <c:v>-22.861890873015842</c:v>
                </c:pt>
                <c:pt idx="28">
                  <c:v>-13.74459869431645</c:v>
                </c:pt>
                <c:pt idx="29">
                  <c:v>-6.6142757936507914</c:v>
                </c:pt>
                <c:pt idx="30">
                  <c:v>-9.731877880184328</c:v>
                </c:pt>
                <c:pt idx="31">
                  <c:v>-37.831061827956987</c:v>
                </c:pt>
                <c:pt idx="32">
                  <c:v>15.228188492063509</c:v>
                </c:pt>
                <c:pt idx="33">
                  <c:v>40.813922803307079</c:v>
                </c:pt>
                <c:pt idx="34">
                  <c:v>52.664154265873037</c:v>
                </c:pt>
                <c:pt idx="35">
                  <c:v>82.017118855606753</c:v>
                </c:pt>
                <c:pt idx="36">
                  <c:v>42.464266513056842</c:v>
                </c:pt>
                <c:pt idx="37">
                  <c:v>40.206557441942309</c:v>
                </c:pt>
                <c:pt idx="38">
                  <c:v>153.31722686864791</c:v>
                </c:pt>
                <c:pt idx="39">
                  <c:v>92.808470238095268</c:v>
                </c:pt>
                <c:pt idx="40">
                  <c:v>103.8058717357911</c:v>
                </c:pt>
                <c:pt idx="41">
                  <c:v>134.09615476190481</c:v>
                </c:pt>
                <c:pt idx="42">
                  <c:v>185.3070468509984</c:v>
                </c:pt>
                <c:pt idx="43">
                  <c:v>336.13052419354841</c:v>
                </c:pt>
                <c:pt idx="44">
                  <c:v>232.6840773809524</c:v>
                </c:pt>
                <c:pt idx="45">
                  <c:v>60.905833974235733</c:v>
                </c:pt>
                <c:pt idx="46">
                  <c:v>50.570779265873028</c:v>
                </c:pt>
                <c:pt idx="47">
                  <c:v>142.3334091781874</c:v>
                </c:pt>
                <c:pt idx="48">
                  <c:v>37.011457373271902</c:v>
                </c:pt>
                <c:pt idx="49">
                  <c:v>45.22194434670422</c:v>
                </c:pt>
                <c:pt idx="50">
                  <c:v>16.60629569455887</c:v>
                </c:pt>
                <c:pt idx="51">
                  <c:v>25.44197023809528</c:v>
                </c:pt>
                <c:pt idx="52">
                  <c:v>5.9136136712749447</c:v>
                </c:pt>
                <c:pt idx="53">
                  <c:v>12.161335317460329</c:v>
                </c:pt>
                <c:pt idx="54">
                  <c:v>-24.919821428571421</c:v>
                </c:pt>
                <c:pt idx="55">
                  <c:v>-34.65271505376343</c:v>
                </c:pt>
                <c:pt idx="56">
                  <c:v>-25.39613095238094</c:v>
                </c:pt>
                <c:pt idx="57">
                  <c:v>-16.12012834070369</c:v>
                </c:pt>
                <c:pt idx="58">
                  <c:v>-0.97885962301585039</c:v>
                </c:pt>
                <c:pt idx="59">
                  <c:v>-37.849695660522272</c:v>
                </c:pt>
                <c:pt idx="60">
                  <c:v>-0.81545122887864352</c:v>
                </c:pt>
                <c:pt idx="61">
                  <c:v>-14.280249824067541</c:v>
                </c:pt>
                <c:pt idx="62">
                  <c:v>-21.28132913675017</c:v>
                </c:pt>
                <c:pt idx="63">
                  <c:v>-11.664210317460279</c:v>
                </c:pt>
                <c:pt idx="64">
                  <c:v>-9.5353110599078548</c:v>
                </c:pt>
                <c:pt idx="65">
                  <c:v>-16.581053571428559</c:v>
                </c:pt>
                <c:pt idx="66">
                  <c:v>-27.70077572964669</c:v>
                </c:pt>
                <c:pt idx="67">
                  <c:v>-47.666021505376342</c:v>
                </c:pt>
                <c:pt idx="68">
                  <c:v>-38.421992063492063</c:v>
                </c:pt>
                <c:pt idx="69">
                  <c:v>0.49408431070949632</c:v>
                </c:pt>
                <c:pt idx="70">
                  <c:v>6.7711681547619236</c:v>
                </c:pt>
                <c:pt idx="71">
                  <c:v>-15.49477630568356</c:v>
                </c:pt>
                <c:pt idx="72">
                  <c:v>22.4355837173579</c:v>
                </c:pt>
                <c:pt idx="73">
                  <c:v>39.933774703847078</c:v>
                </c:pt>
                <c:pt idx="74">
                  <c:v>1.8412271821745629</c:v>
                </c:pt>
                <c:pt idx="75">
                  <c:v>4.3314702380952781</c:v>
                </c:pt>
                <c:pt idx="76">
                  <c:v>-3.818751920122907</c:v>
                </c:pt>
                <c:pt idx="77">
                  <c:v>-21.549470238095228</c:v>
                </c:pt>
                <c:pt idx="78">
                  <c:v>-6.9292031490015384</c:v>
                </c:pt>
                <c:pt idx="79">
                  <c:v>-47.14606182795697</c:v>
                </c:pt>
                <c:pt idx="80">
                  <c:v>-37.73689484126983</c:v>
                </c:pt>
                <c:pt idx="81">
                  <c:v>2.1959113631994001</c:v>
                </c:pt>
                <c:pt idx="82">
                  <c:v>3.7399632936508169</c:v>
                </c:pt>
                <c:pt idx="83">
                  <c:v>-24.89474270353303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E1-D04E-A22C-6E31B2F20B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  <c:txPr>
        <a:bodyPr/>
        <a:lstStyle/>
        <a:p>
          <a:pPr rtl="0">
            <a:defRPr/>
          </a:pPr>
          <a:endParaRPr lang="en-DK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Monthly Spot Prices - DK1 (Primary) and DK2 (Robustness)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'Electricity Price Data'!$B$1</c:f>
              <c:strCache>
                <c:ptCount val="1"/>
                <c:pt idx="0">
                  <c:v>DK1 Spot Price (EUR/MWh)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'Electricity Price Data'!$B$2:$B$85</c:f>
              <c:numCache>
                <c:formatCode>General</c:formatCode>
                <c:ptCount val="84"/>
                <c:pt idx="0">
                  <c:v>50.295645161290317</c:v>
                </c:pt>
                <c:pt idx="1">
                  <c:v>42.813958333333332</c:v>
                </c:pt>
                <c:pt idx="2">
                  <c:v>33.608259109311753</c:v>
                </c:pt>
                <c:pt idx="3">
                  <c:v>39.068416666666657</c:v>
                </c:pt>
                <c:pt idx="4">
                  <c:v>37.429516129032258</c:v>
                </c:pt>
                <c:pt idx="5">
                  <c:v>32.879222222222232</c:v>
                </c:pt>
                <c:pt idx="6">
                  <c:v>38.817311827956978</c:v>
                </c:pt>
                <c:pt idx="7">
                  <c:v>37.865698924731177</c:v>
                </c:pt>
                <c:pt idx="8">
                  <c:v>35.378861111111107</c:v>
                </c:pt>
                <c:pt idx="9">
                  <c:v>38.347402422611033</c:v>
                </c:pt>
                <c:pt idx="10">
                  <c:v>41.745069444444447</c:v>
                </c:pt>
                <c:pt idx="11">
                  <c:v>34.04197580645161</c:v>
                </c:pt>
                <c:pt idx="12">
                  <c:v>24.99454301075269</c:v>
                </c:pt>
                <c:pt idx="13">
                  <c:v>17.585071839080459</c:v>
                </c:pt>
                <c:pt idx="14">
                  <c:v>18.301727395411611</c:v>
                </c:pt>
                <c:pt idx="15">
                  <c:v>14.533777777777781</c:v>
                </c:pt>
                <c:pt idx="16">
                  <c:v>16.053991935483872</c:v>
                </c:pt>
                <c:pt idx="17">
                  <c:v>26.276277777777771</c:v>
                </c:pt>
                <c:pt idx="18">
                  <c:v>24.61956989247312</c:v>
                </c:pt>
                <c:pt idx="19">
                  <c:v>34.539287634408602</c:v>
                </c:pt>
                <c:pt idx="20">
                  <c:v>38.535041666666658</c:v>
                </c:pt>
                <c:pt idx="21">
                  <c:v>25.814751009421261</c:v>
                </c:pt>
                <c:pt idx="22">
                  <c:v>23.754583333333329</c:v>
                </c:pt>
                <c:pt idx="23">
                  <c:v>34.511129032258061</c:v>
                </c:pt>
                <c:pt idx="24">
                  <c:v>50.205107526881719</c:v>
                </c:pt>
                <c:pt idx="25">
                  <c:v>47.261502976190478</c:v>
                </c:pt>
                <c:pt idx="26">
                  <c:v>45.129446693657208</c:v>
                </c:pt>
                <c:pt idx="27">
                  <c:v>47.967111111111109</c:v>
                </c:pt>
                <c:pt idx="28">
                  <c:v>54.30756720430108</c:v>
                </c:pt>
                <c:pt idx="29">
                  <c:v>73.71981944444444</c:v>
                </c:pt>
                <c:pt idx="30">
                  <c:v>79.999247311827958</c:v>
                </c:pt>
                <c:pt idx="31">
                  <c:v>82.788763440860208</c:v>
                </c:pt>
                <c:pt idx="32">
                  <c:v>125.3637638888889</c:v>
                </c:pt>
                <c:pt idx="33">
                  <c:v>117.0398115746972</c:v>
                </c:pt>
                <c:pt idx="34">
                  <c:v>141.79758333333331</c:v>
                </c:pt>
                <c:pt idx="35">
                  <c:v>189.34932795698921</c:v>
                </c:pt>
                <c:pt idx="36">
                  <c:v>117.9946505376344</c:v>
                </c:pt>
                <c:pt idx="37">
                  <c:v>113.120744047619</c:v>
                </c:pt>
                <c:pt idx="38">
                  <c:v>235.8248448043185</c:v>
                </c:pt>
                <c:pt idx="39">
                  <c:v>163.63747222222219</c:v>
                </c:pt>
                <c:pt idx="40">
                  <c:v>171.85803763440859</c:v>
                </c:pt>
                <c:pt idx="41">
                  <c:v>214.43025</c:v>
                </c:pt>
                <c:pt idx="42">
                  <c:v>275.03817204301072</c:v>
                </c:pt>
                <c:pt idx="43">
                  <c:v>456.75034946236559</c:v>
                </c:pt>
                <c:pt idx="44">
                  <c:v>342.81965277777778</c:v>
                </c:pt>
                <c:pt idx="45">
                  <c:v>137.13172274562581</c:v>
                </c:pt>
                <c:pt idx="46">
                  <c:v>139.7042083333333</c:v>
                </c:pt>
                <c:pt idx="47">
                  <c:v>249.66561827956991</c:v>
                </c:pt>
                <c:pt idx="48">
                  <c:v>112.5418413978495</c:v>
                </c:pt>
                <c:pt idx="49">
                  <c:v>118.136130952381</c:v>
                </c:pt>
                <c:pt idx="50">
                  <c:v>99.113913630229419</c:v>
                </c:pt>
                <c:pt idx="51">
                  <c:v>96.270972222222227</c:v>
                </c:pt>
                <c:pt idx="52">
                  <c:v>73.965779569892476</c:v>
                </c:pt>
                <c:pt idx="53">
                  <c:v>92.495430555555558</c:v>
                </c:pt>
                <c:pt idx="54">
                  <c:v>64.811303763440861</c:v>
                </c:pt>
                <c:pt idx="55">
                  <c:v>85.967110215053765</c:v>
                </c:pt>
                <c:pt idx="56">
                  <c:v>84.739444444444445</c:v>
                </c:pt>
                <c:pt idx="57">
                  <c:v>60.105760430686409</c:v>
                </c:pt>
                <c:pt idx="58">
                  <c:v>88.154569444444448</c:v>
                </c:pt>
                <c:pt idx="59">
                  <c:v>69.482513440860217</c:v>
                </c:pt>
                <c:pt idx="60">
                  <c:v>74.714932795698928</c:v>
                </c:pt>
                <c:pt idx="61">
                  <c:v>58.633936781609187</c:v>
                </c:pt>
                <c:pt idx="62">
                  <c:v>61.226288798920379</c:v>
                </c:pt>
                <c:pt idx="63">
                  <c:v>59.164791666666673</c:v>
                </c:pt>
                <c:pt idx="64">
                  <c:v>58.516854838709683</c:v>
                </c:pt>
                <c:pt idx="65">
                  <c:v>63.753041666666668</c:v>
                </c:pt>
                <c:pt idx="66">
                  <c:v>62.030349462365592</c:v>
                </c:pt>
                <c:pt idx="67">
                  <c:v>72.95380376344086</c:v>
                </c:pt>
                <c:pt idx="68">
                  <c:v>71.713583333333332</c:v>
                </c:pt>
                <c:pt idx="69">
                  <c:v>76.7199730820996</c:v>
                </c:pt>
                <c:pt idx="70">
                  <c:v>95.904597222222222</c:v>
                </c:pt>
                <c:pt idx="71">
                  <c:v>91.83743279569893</c:v>
                </c:pt>
                <c:pt idx="72">
                  <c:v>97.965967741935472</c:v>
                </c:pt>
                <c:pt idx="73">
                  <c:v>112.8479613095238</c:v>
                </c:pt>
                <c:pt idx="74">
                  <c:v>84.348845117845116</c:v>
                </c:pt>
                <c:pt idx="75">
                  <c:v>75.160472222222225</c:v>
                </c:pt>
                <c:pt idx="76">
                  <c:v>64.233413978494625</c:v>
                </c:pt>
                <c:pt idx="77">
                  <c:v>58.784624999999998</c:v>
                </c:pt>
                <c:pt idx="78">
                  <c:v>82.801922043010748</c:v>
                </c:pt>
                <c:pt idx="79">
                  <c:v>73.473763440860225</c:v>
                </c:pt>
                <c:pt idx="80">
                  <c:v>72.398680555555558</c:v>
                </c:pt>
                <c:pt idx="81">
                  <c:v>78.421800134589503</c:v>
                </c:pt>
                <c:pt idx="82">
                  <c:v>92.873392361111115</c:v>
                </c:pt>
                <c:pt idx="83">
                  <c:v>82.437466397849462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3C-8A4B-BF13-0E406B7C3023}"/>
            </c:ext>
          </c:extLst>
        </c:ser>
        <c:ser>
          <c:idx val="1"/>
          <c:order val="1"/>
          <c:tx>
            <c:strRef>
              <c:f>'Electricity Price Data'!$C$1</c:f>
              <c:strCache>
                <c:ptCount val="1"/>
                <c:pt idx="0">
                  <c:v>DK2 Spot Price (EUR/MWh)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'Electricity Price Data'!$C$2:$C$85</c:f>
              <c:numCache>
                <c:formatCode>General</c:formatCode>
                <c:ptCount val="84"/>
                <c:pt idx="0">
                  <c:v>51.655026881720417</c:v>
                </c:pt>
                <c:pt idx="1">
                  <c:v>43.932946428571427</c:v>
                </c:pt>
                <c:pt idx="2">
                  <c:v>35.667354925775967</c:v>
                </c:pt>
                <c:pt idx="3">
                  <c:v>39.892097222222233</c:v>
                </c:pt>
                <c:pt idx="4">
                  <c:v>38.151397849462363</c:v>
                </c:pt>
                <c:pt idx="5">
                  <c:v>33.622236111111107</c:v>
                </c:pt>
                <c:pt idx="6">
                  <c:v>39.000174731182803</c:v>
                </c:pt>
                <c:pt idx="7">
                  <c:v>39.493172043010752</c:v>
                </c:pt>
                <c:pt idx="8">
                  <c:v>37.321347222222222</c:v>
                </c:pt>
                <c:pt idx="9">
                  <c:v>41.599353970390311</c:v>
                </c:pt>
                <c:pt idx="10">
                  <c:v>42.696444444444452</c:v>
                </c:pt>
                <c:pt idx="11">
                  <c:v>35.34711021505376</c:v>
                </c:pt>
                <c:pt idx="12">
                  <c:v>27.385241935483869</c:v>
                </c:pt>
                <c:pt idx="13">
                  <c:v>18.816997126436782</c:v>
                </c:pt>
                <c:pt idx="14">
                  <c:v>20.05249662618084</c:v>
                </c:pt>
                <c:pt idx="15">
                  <c:v>17.354861111111109</c:v>
                </c:pt>
                <c:pt idx="16">
                  <c:v>19.04407258064516</c:v>
                </c:pt>
                <c:pt idx="17">
                  <c:v>29.82329166666667</c:v>
                </c:pt>
                <c:pt idx="18">
                  <c:v>25.886680107526882</c:v>
                </c:pt>
                <c:pt idx="19">
                  <c:v>40.923817204301074</c:v>
                </c:pt>
                <c:pt idx="20">
                  <c:v>39.51423611111111</c:v>
                </c:pt>
                <c:pt idx="21">
                  <c:v>26.933512786002691</c:v>
                </c:pt>
                <c:pt idx="22">
                  <c:v>35.711347222222223</c:v>
                </c:pt>
                <c:pt idx="23">
                  <c:v>39.257150537634409</c:v>
                </c:pt>
                <c:pt idx="24">
                  <c:v>50.858951612903233</c:v>
                </c:pt>
                <c:pt idx="25">
                  <c:v>54.54806547619048</c:v>
                </c:pt>
                <c:pt idx="26">
                  <c:v>46.732213225371119</c:v>
                </c:pt>
                <c:pt idx="27">
                  <c:v>47.862958333333339</c:v>
                </c:pt>
                <c:pt idx="28">
                  <c:v>55.208803763440862</c:v>
                </c:pt>
                <c:pt idx="29">
                  <c:v>73.58690277777778</c:v>
                </c:pt>
                <c:pt idx="30">
                  <c:v>81.44088709677419</c:v>
                </c:pt>
                <c:pt idx="31">
                  <c:v>84.363548387096785</c:v>
                </c:pt>
                <c:pt idx="32">
                  <c:v>123.9021111111111</c:v>
                </c:pt>
                <c:pt idx="33">
                  <c:v>106.9322745625841</c:v>
                </c:pt>
                <c:pt idx="34">
                  <c:v>136.38005555555549</c:v>
                </c:pt>
                <c:pt idx="35">
                  <c:v>191.06861559139779</c:v>
                </c:pt>
                <c:pt idx="36">
                  <c:v>111.62209677419349</c:v>
                </c:pt>
                <c:pt idx="37">
                  <c:v>100.2914136904762</c:v>
                </c:pt>
                <c:pt idx="38">
                  <c:v>227.92036437246961</c:v>
                </c:pt>
                <c:pt idx="39">
                  <c:v>152.83280555555561</c:v>
                </c:pt>
                <c:pt idx="40">
                  <c:v>162.65841397849459</c:v>
                </c:pt>
                <c:pt idx="41">
                  <c:v>213.2331388888889</c:v>
                </c:pt>
                <c:pt idx="42">
                  <c:v>233.47774193548389</c:v>
                </c:pt>
                <c:pt idx="43">
                  <c:v>449.7688306451613</c:v>
                </c:pt>
                <c:pt idx="44">
                  <c:v>328.80015277777778</c:v>
                </c:pt>
                <c:pt idx="45">
                  <c:v>136.89783310901751</c:v>
                </c:pt>
                <c:pt idx="46">
                  <c:v>145.05780555555549</c:v>
                </c:pt>
                <c:pt idx="47">
                  <c:v>248.88206989247311</c:v>
                </c:pt>
                <c:pt idx="48">
                  <c:v>99.762889784946225</c:v>
                </c:pt>
                <c:pt idx="49">
                  <c:v>100.6489285714286</c:v>
                </c:pt>
                <c:pt idx="50">
                  <c:v>89.795614035087723</c:v>
                </c:pt>
                <c:pt idx="51">
                  <c:v>83.651124999999993</c:v>
                </c:pt>
                <c:pt idx="52">
                  <c:v>66.151747311827961</c:v>
                </c:pt>
                <c:pt idx="53">
                  <c:v>91.423152777777773</c:v>
                </c:pt>
                <c:pt idx="54">
                  <c:v>65.24004032258064</c:v>
                </c:pt>
                <c:pt idx="55">
                  <c:v>86.293736559139788</c:v>
                </c:pt>
                <c:pt idx="56">
                  <c:v>85.484125000000006</c:v>
                </c:pt>
                <c:pt idx="57">
                  <c:v>56.925814266487208</c:v>
                </c:pt>
                <c:pt idx="58">
                  <c:v>81.486041666666665</c:v>
                </c:pt>
                <c:pt idx="59">
                  <c:v>70.879731182795695</c:v>
                </c:pt>
                <c:pt idx="60">
                  <c:v>78.214811827956993</c:v>
                </c:pt>
                <c:pt idx="61">
                  <c:v>54.722241379310347</c:v>
                </c:pt>
                <c:pt idx="62">
                  <c:v>61.040863697705802</c:v>
                </c:pt>
                <c:pt idx="63">
                  <c:v>60.476708333333328</c:v>
                </c:pt>
                <c:pt idx="64">
                  <c:v>58.122983870967737</c:v>
                </c:pt>
                <c:pt idx="65">
                  <c:v>66.79098611111111</c:v>
                </c:pt>
                <c:pt idx="66">
                  <c:v>62.841706989247307</c:v>
                </c:pt>
                <c:pt idx="67">
                  <c:v>72.614260752688182</c:v>
                </c:pt>
                <c:pt idx="68">
                  <c:v>70.411833333333334</c:v>
                </c:pt>
                <c:pt idx="69">
                  <c:v>76.326123822341856</c:v>
                </c:pt>
                <c:pt idx="70">
                  <c:v>95.282694444444431</c:v>
                </c:pt>
                <c:pt idx="71">
                  <c:v>92.728158602150543</c:v>
                </c:pt>
                <c:pt idx="72">
                  <c:v>100.1237365591398</c:v>
                </c:pt>
                <c:pt idx="73">
                  <c:v>117.9355505952381</c:v>
                </c:pt>
                <c:pt idx="74">
                  <c:v>82.846865319865316</c:v>
                </c:pt>
                <c:pt idx="75">
                  <c:v>75.806652777777785</c:v>
                </c:pt>
                <c:pt idx="76">
                  <c:v>63.082553763440863</c:v>
                </c:pt>
                <c:pt idx="77">
                  <c:v>56.448249999999987</c:v>
                </c:pt>
                <c:pt idx="78">
                  <c:v>79.959690860215062</c:v>
                </c:pt>
                <c:pt idx="79">
                  <c:v>75.315497311827954</c:v>
                </c:pt>
                <c:pt idx="80">
                  <c:v>83.288930555555552</c:v>
                </c:pt>
                <c:pt idx="81">
                  <c:v>82.368075370121133</c:v>
                </c:pt>
                <c:pt idx="82">
                  <c:v>93.695572916666663</c:v>
                </c:pt>
                <c:pt idx="83">
                  <c:v>82.081528897849466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3C-8A4B-BF13-0E406B7C30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DK1 De-seasonalised Price Series (Primary)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'Electricity Price Data'!$E$1</c:f>
              <c:strCache>
                <c:ptCount val="1"/>
                <c:pt idx="0">
                  <c:v>DK1 De-seasonalised Price (EUR/MWh)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'Electricity Price Data'!$E$2:$E$85</c:f>
              <c:numCache>
                <c:formatCode>General</c:formatCode>
                <c:ptCount val="84"/>
                <c:pt idx="0">
                  <c:v>-25.234738863287252</c:v>
                </c:pt>
                <c:pt idx="1">
                  <c:v>-30.100228272343401</c:v>
                </c:pt>
                <c:pt idx="2">
                  <c:v>-48.899358826358807</c:v>
                </c:pt>
                <c:pt idx="3">
                  <c:v>-31.760585317460279</c:v>
                </c:pt>
                <c:pt idx="4">
                  <c:v>-30.622649769585269</c:v>
                </c:pt>
                <c:pt idx="5">
                  <c:v>-47.454873015873012</c:v>
                </c:pt>
                <c:pt idx="6">
                  <c:v>-50.913813364055301</c:v>
                </c:pt>
                <c:pt idx="7">
                  <c:v>-82.754126344086018</c:v>
                </c:pt>
                <c:pt idx="8">
                  <c:v>-74.756714285714281</c:v>
                </c:pt>
                <c:pt idx="9">
                  <c:v>-37.87848634877907</c:v>
                </c:pt>
                <c:pt idx="10">
                  <c:v>-47.388359623015852</c:v>
                </c:pt>
                <c:pt idx="11">
                  <c:v>-73.290233294930886</c:v>
                </c:pt>
                <c:pt idx="12">
                  <c:v>-50.535841013824893</c:v>
                </c:pt>
                <c:pt idx="13">
                  <c:v>-55.329114766596277</c:v>
                </c:pt>
                <c:pt idx="14">
                  <c:v>-64.205890540258949</c:v>
                </c:pt>
                <c:pt idx="15">
                  <c:v>-56.295224206349168</c:v>
                </c:pt>
                <c:pt idx="16">
                  <c:v>-51.998173963133659</c:v>
                </c:pt>
                <c:pt idx="17">
                  <c:v>-54.057817460317452</c:v>
                </c:pt>
                <c:pt idx="18">
                  <c:v>-65.111555299539162</c:v>
                </c:pt>
                <c:pt idx="19">
                  <c:v>-86.080537634408586</c:v>
                </c:pt>
                <c:pt idx="20">
                  <c:v>-71.60053373015873</c:v>
                </c:pt>
                <c:pt idx="21">
                  <c:v>-50.411137761968838</c:v>
                </c:pt>
                <c:pt idx="22">
                  <c:v>-65.378845734126969</c:v>
                </c:pt>
                <c:pt idx="23">
                  <c:v>-72.821080069124434</c:v>
                </c:pt>
                <c:pt idx="24">
                  <c:v>-25.32527649769585</c:v>
                </c:pt>
                <c:pt idx="25">
                  <c:v>-25.652683629486251</c:v>
                </c:pt>
                <c:pt idx="26">
                  <c:v>-37.378171242013337</c:v>
                </c:pt>
                <c:pt idx="27">
                  <c:v>-22.861890873015842</c:v>
                </c:pt>
                <c:pt idx="28">
                  <c:v>-13.74459869431645</c:v>
                </c:pt>
                <c:pt idx="29">
                  <c:v>-6.6142757936507914</c:v>
                </c:pt>
                <c:pt idx="30">
                  <c:v>-9.731877880184328</c:v>
                </c:pt>
                <c:pt idx="31">
                  <c:v>-37.831061827956987</c:v>
                </c:pt>
                <c:pt idx="32">
                  <c:v>15.228188492063509</c:v>
                </c:pt>
                <c:pt idx="33">
                  <c:v>40.813922803307079</c:v>
                </c:pt>
                <c:pt idx="34">
                  <c:v>52.664154265873037</c:v>
                </c:pt>
                <c:pt idx="35">
                  <c:v>82.017118855606753</c:v>
                </c:pt>
                <c:pt idx="36">
                  <c:v>42.464266513056842</c:v>
                </c:pt>
                <c:pt idx="37">
                  <c:v>40.206557441942309</c:v>
                </c:pt>
                <c:pt idx="38">
                  <c:v>153.31722686864791</c:v>
                </c:pt>
                <c:pt idx="39">
                  <c:v>92.808470238095268</c:v>
                </c:pt>
                <c:pt idx="40">
                  <c:v>103.8058717357911</c:v>
                </c:pt>
                <c:pt idx="41">
                  <c:v>134.09615476190481</c:v>
                </c:pt>
                <c:pt idx="42">
                  <c:v>185.3070468509984</c:v>
                </c:pt>
                <c:pt idx="43">
                  <c:v>336.13052419354841</c:v>
                </c:pt>
                <c:pt idx="44">
                  <c:v>232.6840773809524</c:v>
                </c:pt>
                <c:pt idx="45">
                  <c:v>60.905833974235733</c:v>
                </c:pt>
                <c:pt idx="46">
                  <c:v>50.570779265873028</c:v>
                </c:pt>
                <c:pt idx="47">
                  <c:v>142.3334091781874</c:v>
                </c:pt>
                <c:pt idx="48">
                  <c:v>37.011457373271902</c:v>
                </c:pt>
                <c:pt idx="49">
                  <c:v>45.22194434670422</c:v>
                </c:pt>
                <c:pt idx="50">
                  <c:v>16.60629569455887</c:v>
                </c:pt>
                <c:pt idx="51">
                  <c:v>25.44197023809528</c:v>
                </c:pt>
                <c:pt idx="52">
                  <c:v>5.9136136712749447</c:v>
                </c:pt>
                <c:pt idx="53">
                  <c:v>12.161335317460329</c:v>
                </c:pt>
                <c:pt idx="54">
                  <c:v>-24.919821428571421</c:v>
                </c:pt>
                <c:pt idx="55">
                  <c:v>-34.65271505376343</c:v>
                </c:pt>
                <c:pt idx="56">
                  <c:v>-25.39613095238094</c:v>
                </c:pt>
                <c:pt idx="57">
                  <c:v>-16.12012834070369</c:v>
                </c:pt>
                <c:pt idx="58">
                  <c:v>-0.97885962301585039</c:v>
                </c:pt>
                <c:pt idx="59">
                  <c:v>-37.849695660522272</c:v>
                </c:pt>
                <c:pt idx="60">
                  <c:v>-0.81545122887864352</c:v>
                </c:pt>
                <c:pt idx="61">
                  <c:v>-14.280249824067541</c:v>
                </c:pt>
                <c:pt idx="62">
                  <c:v>-21.28132913675017</c:v>
                </c:pt>
                <c:pt idx="63">
                  <c:v>-11.664210317460279</c:v>
                </c:pt>
                <c:pt idx="64">
                  <c:v>-9.5353110599078548</c:v>
                </c:pt>
                <c:pt idx="65">
                  <c:v>-16.581053571428559</c:v>
                </c:pt>
                <c:pt idx="66">
                  <c:v>-27.70077572964669</c:v>
                </c:pt>
                <c:pt idx="67">
                  <c:v>-47.666021505376342</c:v>
                </c:pt>
                <c:pt idx="68">
                  <c:v>-38.421992063492063</c:v>
                </c:pt>
                <c:pt idx="69">
                  <c:v>0.49408431070949632</c:v>
                </c:pt>
                <c:pt idx="70">
                  <c:v>6.7711681547619236</c:v>
                </c:pt>
                <c:pt idx="71">
                  <c:v>-15.49477630568356</c:v>
                </c:pt>
                <c:pt idx="72">
                  <c:v>22.4355837173579</c:v>
                </c:pt>
                <c:pt idx="73">
                  <c:v>39.933774703847078</c:v>
                </c:pt>
                <c:pt idx="74">
                  <c:v>1.8412271821745629</c:v>
                </c:pt>
                <c:pt idx="75">
                  <c:v>4.3314702380952781</c:v>
                </c:pt>
                <c:pt idx="76">
                  <c:v>-3.818751920122907</c:v>
                </c:pt>
                <c:pt idx="77">
                  <c:v>-21.549470238095228</c:v>
                </c:pt>
                <c:pt idx="78">
                  <c:v>-6.9292031490015384</c:v>
                </c:pt>
                <c:pt idx="79">
                  <c:v>-47.14606182795697</c:v>
                </c:pt>
                <c:pt idx="80">
                  <c:v>-37.73689484126983</c:v>
                </c:pt>
                <c:pt idx="81">
                  <c:v>2.1959113631994001</c:v>
                </c:pt>
                <c:pt idx="82">
                  <c:v>3.7399632936508169</c:v>
                </c:pt>
                <c:pt idx="83">
                  <c:v>-24.89474270353303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6F4-EF4C-90BC-19B2F9A8E3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  <c:txPr>
        <a:bodyPr/>
        <a:lstStyle/>
        <a:p>
          <a:pPr rtl="0">
            <a:defRPr/>
          </a:pPr>
          <a:endParaRPr lang="en-DK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Monthly Spot Prices - DK1 (Primary) and DK2 (Robustness)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'Electricity Price Data'!$B$1</c:f>
              <c:strCache>
                <c:ptCount val="1"/>
                <c:pt idx="0">
                  <c:v>DK1 Spot Price (EUR/MWh)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'Electricity Price Data'!$B$2:$B$85</c:f>
              <c:numCache>
                <c:formatCode>General</c:formatCode>
                <c:ptCount val="84"/>
                <c:pt idx="0">
                  <c:v>50.295645161290317</c:v>
                </c:pt>
                <c:pt idx="1">
                  <c:v>42.813958333333332</c:v>
                </c:pt>
                <c:pt idx="2">
                  <c:v>33.608259109311753</c:v>
                </c:pt>
                <c:pt idx="3">
                  <c:v>39.068416666666657</c:v>
                </c:pt>
                <c:pt idx="4">
                  <c:v>37.429516129032258</c:v>
                </c:pt>
                <c:pt idx="5">
                  <c:v>32.879222222222232</c:v>
                </c:pt>
                <c:pt idx="6">
                  <c:v>38.817311827956978</c:v>
                </c:pt>
                <c:pt idx="7">
                  <c:v>37.865698924731177</c:v>
                </c:pt>
                <c:pt idx="8">
                  <c:v>35.378861111111107</c:v>
                </c:pt>
                <c:pt idx="9">
                  <c:v>38.347402422611033</c:v>
                </c:pt>
                <c:pt idx="10">
                  <c:v>41.745069444444447</c:v>
                </c:pt>
                <c:pt idx="11">
                  <c:v>34.04197580645161</c:v>
                </c:pt>
                <c:pt idx="12">
                  <c:v>24.99454301075269</c:v>
                </c:pt>
                <c:pt idx="13">
                  <c:v>17.585071839080459</c:v>
                </c:pt>
                <c:pt idx="14">
                  <c:v>18.301727395411611</c:v>
                </c:pt>
                <c:pt idx="15">
                  <c:v>14.533777777777781</c:v>
                </c:pt>
                <c:pt idx="16">
                  <c:v>16.053991935483872</c:v>
                </c:pt>
                <c:pt idx="17">
                  <c:v>26.276277777777771</c:v>
                </c:pt>
                <c:pt idx="18">
                  <c:v>24.61956989247312</c:v>
                </c:pt>
                <c:pt idx="19">
                  <c:v>34.539287634408602</c:v>
                </c:pt>
                <c:pt idx="20">
                  <c:v>38.535041666666658</c:v>
                </c:pt>
                <c:pt idx="21">
                  <c:v>25.814751009421261</c:v>
                </c:pt>
                <c:pt idx="22">
                  <c:v>23.754583333333329</c:v>
                </c:pt>
                <c:pt idx="23">
                  <c:v>34.511129032258061</c:v>
                </c:pt>
                <c:pt idx="24">
                  <c:v>50.205107526881719</c:v>
                </c:pt>
                <c:pt idx="25">
                  <c:v>47.261502976190478</c:v>
                </c:pt>
                <c:pt idx="26">
                  <c:v>45.129446693657208</c:v>
                </c:pt>
                <c:pt idx="27">
                  <c:v>47.967111111111109</c:v>
                </c:pt>
                <c:pt idx="28">
                  <c:v>54.30756720430108</c:v>
                </c:pt>
                <c:pt idx="29">
                  <c:v>73.71981944444444</c:v>
                </c:pt>
                <c:pt idx="30">
                  <c:v>79.999247311827958</c:v>
                </c:pt>
                <c:pt idx="31">
                  <c:v>82.788763440860208</c:v>
                </c:pt>
                <c:pt idx="32">
                  <c:v>125.3637638888889</c:v>
                </c:pt>
                <c:pt idx="33">
                  <c:v>117.0398115746972</c:v>
                </c:pt>
                <c:pt idx="34">
                  <c:v>141.79758333333331</c:v>
                </c:pt>
                <c:pt idx="35">
                  <c:v>189.34932795698921</c:v>
                </c:pt>
                <c:pt idx="36">
                  <c:v>117.9946505376344</c:v>
                </c:pt>
                <c:pt idx="37">
                  <c:v>113.120744047619</c:v>
                </c:pt>
                <c:pt idx="38">
                  <c:v>235.8248448043185</c:v>
                </c:pt>
                <c:pt idx="39">
                  <c:v>163.63747222222219</c:v>
                </c:pt>
                <c:pt idx="40">
                  <c:v>171.85803763440859</c:v>
                </c:pt>
                <c:pt idx="41">
                  <c:v>214.43025</c:v>
                </c:pt>
                <c:pt idx="42">
                  <c:v>275.03817204301072</c:v>
                </c:pt>
                <c:pt idx="43">
                  <c:v>456.75034946236559</c:v>
                </c:pt>
                <c:pt idx="44">
                  <c:v>342.81965277777778</c:v>
                </c:pt>
                <c:pt idx="45">
                  <c:v>137.13172274562581</c:v>
                </c:pt>
                <c:pt idx="46">
                  <c:v>139.7042083333333</c:v>
                </c:pt>
                <c:pt idx="47">
                  <c:v>249.66561827956991</c:v>
                </c:pt>
                <c:pt idx="48">
                  <c:v>112.5418413978495</c:v>
                </c:pt>
                <c:pt idx="49">
                  <c:v>118.136130952381</c:v>
                </c:pt>
                <c:pt idx="50">
                  <c:v>99.113913630229419</c:v>
                </c:pt>
                <c:pt idx="51">
                  <c:v>96.270972222222227</c:v>
                </c:pt>
                <c:pt idx="52">
                  <c:v>73.965779569892476</c:v>
                </c:pt>
                <c:pt idx="53">
                  <c:v>92.495430555555558</c:v>
                </c:pt>
                <c:pt idx="54">
                  <c:v>64.811303763440861</c:v>
                </c:pt>
                <c:pt idx="55">
                  <c:v>85.967110215053765</c:v>
                </c:pt>
                <c:pt idx="56">
                  <c:v>84.739444444444445</c:v>
                </c:pt>
                <c:pt idx="57">
                  <c:v>60.105760430686409</c:v>
                </c:pt>
                <c:pt idx="58">
                  <c:v>88.154569444444448</c:v>
                </c:pt>
                <c:pt idx="59">
                  <c:v>69.482513440860217</c:v>
                </c:pt>
                <c:pt idx="60">
                  <c:v>74.714932795698928</c:v>
                </c:pt>
                <c:pt idx="61">
                  <c:v>58.633936781609187</c:v>
                </c:pt>
                <c:pt idx="62">
                  <c:v>61.226288798920379</c:v>
                </c:pt>
                <c:pt idx="63">
                  <c:v>59.164791666666673</c:v>
                </c:pt>
                <c:pt idx="64">
                  <c:v>58.516854838709683</c:v>
                </c:pt>
                <c:pt idx="65">
                  <c:v>63.753041666666668</c:v>
                </c:pt>
                <c:pt idx="66">
                  <c:v>62.030349462365592</c:v>
                </c:pt>
                <c:pt idx="67">
                  <c:v>72.95380376344086</c:v>
                </c:pt>
                <c:pt idx="68">
                  <c:v>71.713583333333332</c:v>
                </c:pt>
                <c:pt idx="69">
                  <c:v>76.7199730820996</c:v>
                </c:pt>
                <c:pt idx="70">
                  <c:v>95.904597222222222</c:v>
                </c:pt>
                <c:pt idx="71">
                  <c:v>91.83743279569893</c:v>
                </c:pt>
                <c:pt idx="72">
                  <c:v>97.965967741935472</c:v>
                </c:pt>
                <c:pt idx="73">
                  <c:v>112.8479613095238</c:v>
                </c:pt>
                <c:pt idx="74">
                  <c:v>84.348845117845116</c:v>
                </c:pt>
                <c:pt idx="75">
                  <c:v>75.160472222222225</c:v>
                </c:pt>
                <c:pt idx="76">
                  <c:v>64.233413978494625</c:v>
                </c:pt>
                <c:pt idx="77">
                  <c:v>58.784624999999998</c:v>
                </c:pt>
                <c:pt idx="78">
                  <c:v>82.801922043010748</c:v>
                </c:pt>
                <c:pt idx="79">
                  <c:v>73.473763440860225</c:v>
                </c:pt>
                <c:pt idx="80">
                  <c:v>72.398680555555558</c:v>
                </c:pt>
                <c:pt idx="81">
                  <c:v>78.421800134589503</c:v>
                </c:pt>
                <c:pt idx="82">
                  <c:v>92.873392361111115</c:v>
                </c:pt>
                <c:pt idx="83">
                  <c:v>82.437466397849462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011-B441-93FB-AB01C939B202}"/>
            </c:ext>
          </c:extLst>
        </c:ser>
        <c:ser>
          <c:idx val="1"/>
          <c:order val="1"/>
          <c:tx>
            <c:strRef>
              <c:f>'Electricity Price Data'!$C$1</c:f>
              <c:strCache>
                <c:ptCount val="1"/>
                <c:pt idx="0">
                  <c:v>DK2 Spot Price (EUR/MWh)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'Electricity Price Data'!$C$2:$C$85</c:f>
              <c:numCache>
                <c:formatCode>General</c:formatCode>
                <c:ptCount val="84"/>
                <c:pt idx="0">
                  <c:v>51.655026881720417</c:v>
                </c:pt>
                <c:pt idx="1">
                  <c:v>43.932946428571427</c:v>
                </c:pt>
                <c:pt idx="2">
                  <c:v>35.667354925775967</c:v>
                </c:pt>
                <c:pt idx="3">
                  <c:v>39.892097222222233</c:v>
                </c:pt>
                <c:pt idx="4">
                  <c:v>38.151397849462363</c:v>
                </c:pt>
                <c:pt idx="5">
                  <c:v>33.622236111111107</c:v>
                </c:pt>
                <c:pt idx="6">
                  <c:v>39.000174731182803</c:v>
                </c:pt>
                <c:pt idx="7">
                  <c:v>39.493172043010752</c:v>
                </c:pt>
                <c:pt idx="8">
                  <c:v>37.321347222222222</c:v>
                </c:pt>
                <c:pt idx="9">
                  <c:v>41.599353970390311</c:v>
                </c:pt>
                <c:pt idx="10">
                  <c:v>42.696444444444452</c:v>
                </c:pt>
                <c:pt idx="11">
                  <c:v>35.34711021505376</c:v>
                </c:pt>
                <c:pt idx="12">
                  <c:v>27.385241935483869</c:v>
                </c:pt>
                <c:pt idx="13">
                  <c:v>18.816997126436782</c:v>
                </c:pt>
                <c:pt idx="14">
                  <c:v>20.05249662618084</c:v>
                </c:pt>
                <c:pt idx="15">
                  <c:v>17.354861111111109</c:v>
                </c:pt>
                <c:pt idx="16">
                  <c:v>19.04407258064516</c:v>
                </c:pt>
                <c:pt idx="17">
                  <c:v>29.82329166666667</c:v>
                </c:pt>
                <c:pt idx="18">
                  <c:v>25.886680107526882</c:v>
                </c:pt>
                <c:pt idx="19">
                  <c:v>40.923817204301074</c:v>
                </c:pt>
                <c:pt idx="20">
                  <c:v>39.51423611111111</c:v>
                </c:pt>
                <c:pt idx="21">
                  <c:v>26.933512786002691</c:v>
                </c:pt>
                <c:pt idx="22">
                  <c:v>35.711347222222223</c:v>
                </c:pt>
                <c:pt idx="23">
                  <c:v>39.257150537634409</c:v>
                </c:pt>
                <c:pt idx="24">
                  <c:v>50.858951612903233</c:v>
                </c:pt>
                <c:pt idx="25">
                  <c:v>54.54806547619048</c:v>
                </c:pt>
                <c:pt idx="26">
                  <c:v>46.732213225371119</c:v>
                </c:pt>
                <c:pt idx="27">
                  <c:v>47.862958333333339</c:v>
                </c:pt>
                <c:pt idx="28">
                  <c:v>55.208803763440862</c:v>
                </c:pt>
                <c:pt idx="29">
                  <c:v>73.58690277777778</c:v>
                </c:pt>
                <c:pt idx="30">
                  <c:v>81.44088709677419</c:v>
                </c:pt>
                <c:pt idx="31">
                  <c:v>84.363548387096785</c:v>
                </c:pt>
                <c:pt idx="32">
                  <c:v>123.9021111111111</c:v>
                </c:pt>
                <c:pt idx="33">
                  <c:v>106.9322745625841</c:v>
                </c:pt>
                <c:pt idx="34">
                  <c:v>136.38005555555549</c:v>
                </c:pt>
                <c:pt idx="35">
                  <c:v>191.06861559139779</c:v>
                </c:pt>
                <c:pt idx="36">
                  <c:v>111.62209677419349</c:v>
                </c:pt>
                <c:pt idx="37">
                  <c:v>100.2914136904762</c:v>
                </c:pt>
                <c:pt idx="38">
                  <c:v>227.92036437246961</c:v>
                </c:pt>
                <c:pt idx="39">
                  <c:v>152.83280555555561</c:v>
                </c:pt>
                <c:pt idx="40">
                  <c:v>162.65841397849459</c:v>
                </c:pt>
                <c:pt idx="41">
                  <c:v>213.2331388888889</c:v>
                </c:pt>
                <c:pt idx="42">
                  <c:v>233.47774193548389</c:v>
                </c:pt>
                <c:pt idx="43">
                  <c:v>449.7688306451613</c:v>
                </c:pt>
                <c:pt idx="44">
                  <c:v>328.80015277777778</c:v>
                </c:pt>
                <c:pt idx="45">
                  <c:v>136.89783310901751</c:v>
                </c:pt>
                <c:pt idx="46">
                  <c:v>145.05780555555549</c:v>
                </c:pt>
                <c:pt idx="47">
                  <c:v>248.88206989247311</c:v>
                </c:pt>
                <c:pt idx="48">
                  <c:v>99.762889784946225</c:v>
                </c:pt>
                <c:pt idx="49">
                  <c:v>100.6489285714286</c:v>
                </c:pt>
                <c:pt idx="50">
                  <c:v>89.795614035087723</c:v>
                </c:pt>
                <c:pt idx="51">
                  <c:v>83.651124999999993</c:v>
                </c:pt>
                <c:pt idx="52">
                  <c:v>66.151747311827961</c:v>
                </c:pt>
                <c:pt idx="53">
                  <c:v>91.423152777777773</c:v>
                </c:pt>
                <c:pt idx="54">
                  <c:v>65.24004032258064</c:v>
                </c:pt>
                <c:pt idx="55">
                  <c:v>86.293736559139788</c:v>
                </c:pt>
                <c:pt idx="56">
                  <c:v>85.484125000000006</c:v>
                </c:pt>
                <c:pt idx="57">
                  <c:v>56.925814266487208</c:v>
                </c:pt>
                <c:pt idx="58">
                  <c:v>81.486041666666665</c:v>
                </c:pt>
                <c:pt idx="59">
                  <c:v>70.879731182795695</c:v>
                </c:pt>
                <c:pt idx="60">
                  <c:v>78.214811827956993</c:v>
                </c:pt>
                <c:pt idx="61">
                  <c:v>54.722241379310347</c:v>
                </c:pt>
                <c:pt idx="62">
                  <c:v>61.040863697705802</c:v>
                </c:pt>
                <c:pt idx="63">
                  <c:v>60.476708333333328</c:v>
                </c:pt>
                <c:pt idx="64">
                  <c:v>58.122983870967737</c:v>
                </c:pt>
                <c:pt idx="65">
                  <c:v>66.79098611111111</c:v>
                </c:pt>
                <c:pt idx="66">
                  <c:v>62.841706989247307</c:v>
                </c:pt>
                <c:pt idx="67">
                  <c:v>72.614260752688182</c:v>
                </c:pt>
                <c:pt idx="68">
                  <c:v>70.411833333333334</c:v>
                </c:pt>
                <c:pt idx="69">
                  <c:v>76.326123822341856</c:v>
                </c:pt>
                <c:pt idx="70">
                  <c:v>95.282694444444431</c:v>
                </c:pt>
                <c:pt idx="71">
                  <c:v>92.728158602150543</c:v>
                </c:pt>
                <c:pt idx="72">
                  <c:v>100.1237365591398</c:v>
                </c:pt>
                <c:pt idx="73">
                  <c:v>117.9355505952381</c:v>
                </c:pt>
                <c:pt idx="74">
                  <c:v>82.846865319865316</c:v>
                </c:pt>
                <c:pt idx="75">
                  <c:v>75.806652777777785</c:v>
                </c:pt>
                <c:pt idx="76">
                  <c:v>63.082553763440863</c:v>
                </c:pt>
                <c:pt idx="77">
                  <c:v>56.448249999999987</c:v>
                </c:pt>
                <c:pt idx="78">
                  <c:v>79.959690860215062</c:v>
                </c:pt>
                <c:pt idx="79">
                  <c:v>75.315497311827954</c:v>
                </c:pt>
                <c:pt idx="80">
                  <c:v>83.288930555555552</c:v>
                </c:pt>
                <c:pt idx="81">
                  <c:v>82.368075370121133</c:v>
                </c:pt>
                <c:pt idx="82">
                  <c:v>93.695572916666663</c:v>
                </c:pt>
                <c:pt idx="83">
                  <c:v>82.081528897849466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011-B441-93FB-AB01C939B2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DK1 De-seasonalised Price Series (Primary)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'Electricity Price Data'!$E$1</c:f>
              <c:strCache>
                <c:ptCount val="1"/>
                <c:pt idx="0">
                  <c:v>DK1 De-seasonalised Price (EUR/MWh)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'Electricity Price Data'!$E$2:$E$85</c:f>
              <c:numCache>
                <c:formatCode>General</c:formatCode>
                <c:ptCount val="84"/>
                <c:pt idx="0">
                  <c:v>-25.234738863287252</c:v>
                </c:pt>
                <c:pt idx="1">
                  <c:v>-30.100228272343401</c:v>
                </c:pt>
                <c:pt idx="2">
                  <c:v>-48.899358826358807</c:v>
                </c:pt>
                <c:pt idx="3">
                  <c:v>-31.760585317460279</c:v>
                </c:pt>
                <c:pt idx="4">
                  <c:v>-30.622649769585269</c:v>
                </c:pt>
                <c:pt idx="5">
                  <c:v>-47.454873015873012</c:v>
                </c:pt>
                <c:pt idx="6">
                  <c:v>-50.913813364055301</c:v>
                </c:pt>
                <c:pt idx="7">
                  <c:v>-82.754126344086018</c:v>
                </c:pt>
                <c:pt idx="8">
                  <c:v>-74.756714285714281</c:v>
                </c:pt>
                <c:pt idx="9">
                  <c:v>-37.87848634877907</c:v>
                </c:pt>
                <c:pt idx="10">
                  <c:v>-47.388359623015852</c:v>
                </c:pt>
                <c:pt idx="11">
                  <c:v>-73.290233294930886</c:v>
                </c:pt>
                <c:pt idx="12">
                  <c:v>-50.535841013824893</c:v>
                </c:pt>
                <c:pt idx="13">
                  <c:v>-55.329114766596277</c:v>
                </c:pt>
                <c:pt idx="14">
                  <c:v>-64.205890540258949</c:v>
                </c:pt>
                <c:pt idx="15">
                  <c:v>-56.295224206349168</c:v>
                </c:pt>
                <c:pt idx="16">
                  <c:v>-51.998173963133659</c:v>
                </c:pt>
                <c:pt idx="17">
                  <c:v>-54.057817460317452</c:v>
                </c:pt>
                <c:pt idx="18">
                  <c:v>-65.111555299539162</c:v>
                </c:pt>
                <c:pt idx="19">
                  <c:v>-86.080537634408586</c:v>
                </c:pt>
                <c:pt idx="20">
                  <c:v>-71.60053373015873</c:v>
                </c:pt>
                <c:pt idx="21">
                  <c:v>-50.411137761968838</c:v>
                </c:pt>
                <c:pt idx="22">
                  <c:v>-65.378845734126969</c:v>
                </c:pt>
                <c:pt idx="23">
                  <c:v>-72.821080069124434</c:v>
                </c:pt>
                <c:pt idx="24">
                  <c:v>-25.32527649769585</c:v>
                </c:pt>
                <c:pt idx="25">
                  <c:v>-25.652683629486251</c:v>
                </c:pt>
                <c:pt idx="26">
                  <c:v>-37.378171242013337</c:v>
                </c:pt>
                <c:pt idx="27">
                  <c:v>-22.861890873015842</c:v>
                </c:pt>
                <c:pt idx="28">
                  <c:v>-13.74459869431645</c:v>
                </c:pt>
                <c:pt idx="29">
                  <c:v>-6.6142757936507914</c:v>
                </c:pt>
                <c:pt idx="30">
                  <c:v>-9.731877880184328</c:v>
                </c:pt>
                <c:pt idx="31">
                  <c:v>-37.831061827956987</c:v>
                </c:pt>
                <c:pt idx="32">
                  <c:v>15.228188492063509</c:v>
                </c:pt>
                <c:pt idx="33">
                  <c:v>40.813922803307079</c:v>
                </c:pt>
                <c:pt idx="34">
                  <c:v>52.664154265873037</c:v>
                </c:pt>
                <c:pt idx="35">
                  <c:v>82.017118855606753</c:v>
                </c:pt>
                <c:pt idx="36">
                  <c:v>42.464266513056842</c:v>
                </c:pt>
                <c:pt idx="37">
                  <c:v>40.206557441942309</c:v>
                </c:pt>
                <c:pt idx="38">
                  <c:v>153.31722686864791</c:v>
                </c:pt>
                <c:pt idx="39">
                  <c:v>92.808470238095268</c:v>
                </c:pt>
                <c:pt idx="40">
                  <c:v>103.8058717357911</c:v>
                </c:pt>
                <c:pt idx="41">
                  <c:v>134.09615476190481</c:v>
                </c:pt>
                <c:pt idx="42">
                  <c:v>185.3070468509984</c:v>
                </c:pt>
                <c:pt idx="43">
                  <c:v>336.13052419354841</c:v>
                </c:pt>
                <c:pt idx="44">
                  <c:v>232.6840773809524</c:v>
                </c:pt>
                <c:pt idx="45">
                  <c:v>60.905833974235733</c:v>
                </c:pt>
                <c:pt idx="46">
                  <c:v>50.570779265873028</c:v>
                </c:pt>
                <c:pt idx="47">
                  <c:v>142.3334091781874</c:v>
                </c:pt>
                <c:pt idx="48">
                  <c:v>37.011457373271902</c:v>
                </c:pt>
                <c:pt idx="49">
                  <c:v>45.22194434670422</c:v>
                </c:pt>
                <c:pt idx="50">
                  <c:v>16.60629569455887</c:v>
                </c:pt>
                <c:pt idx="51">
                  <c:v>25.44197023809528</c:v>
                </c:pt>
                <c:pt idx="52">
                  <c:v>5.9136136712749447</c:v>
                </c:pt>
                <c:pt idx="53">
                  <c:v>12.161335317460329</c:v>
                </c:pt>
                <c:pt idx="54">
                  <c:v>-24.919821428571421</c:v>
                </c:pt>
                <c:pt idx="55">
                  <c:v>-34.65271505376343</c:v>
                </c:pt>
                <c:pt idx="56">
                  <c:v>-25.39613095238094</c:v>
                </c:pt>
                <c:pt idx="57">
                  <c:v>-16.12012834070369</c:v>
                </c:pt>
                <c:pt idx="58">
                  <c:v>-0.97885962301585039</c:v>
                </c:pt>
                <c:pt idx="59">
                  <c:v>-37.849695660522272</c:v>
                </c:pt>
                <c:pt idx="60">
                  <c:v>-0.81545122887864352</c:v>
                </c:pt>
                <c:pt idx="61">
                  <c:v>-14.280249824067541</c:v>
                </c:pt>
                <c:pt idx="62">
                  <c:v>-21.28132913675017</c:v>
                </c:pt>
                <c:pt idx="63">
                  <c:v>-11.664210317460279</c:v>
                </c:pt>
                <c:pt idx="64">
                  <c:v>-9.5353110599078548</c:v>
                </c:pt>
                <c:pt idx="65">
                  <c:v>-16.581053571428559</c:v>
                </c:pt>
                <c:pt idx="66">
                  <c:v>-27.70077572964669</c:v>
                </c:pt>
                <c:pt idx="67">
                  <c:v>-47.666021505376342</c:v>
                </c:pt>
                <c:pt idx="68">
                  <c:v>-38.421992063492063</c:v>
                </c:pt>
                <c:pt idx="69">
                  <c:v>0.49408431070949632</c:v>
                </c:pt>
                <c:pt idx="70">
                  <c:v>6.7711681547619236</c:v>
                </c:pt>
                <c:pt idx="71">
                  <c:v>-15.49477630568356</c:v>
                </c:pt>
                <c:pt idx="72">
                  <c:v>22.4355837173579</c:v>
                </c:pt>
                <c:pt idx="73">
                  <c:v>39.933774703847078</c:v>
                </c:pt>
                <c:pt idx="74">
                  <c:v>1.8412271821745629</c:v>
                </c:pt>
                <c:pt idx="75">
                  <c:v>4.3314702380952781</c:v>
                </c:pt>
                <c:pt idx="76">
                  <c:v>-3.818751920122907</c:v>
                </c:pt>
                <c:pt idx="77">
                  <c:v>-21.549470238095228</c:v>
                </c:pt>
                <c:pt idx="78">
                  <c:v>-6.9292031490015384</c:v>
                </c:pt>
                <c:pt idx="79">
                  <c:v>-47.14606182795697</c:v>
                </c:pt>
                <c:pt idx="80">
                  <c:v>-37.73689484126983</c:v>
                </c:pt>
                <c:pt idx="81">
                  <c:v>2.1959113631994001</c:v>
                </c:pt>
                <c:pt idx="82">
                  <c:v>3.7399632936508169</c:v>
                </c:pt>
                <c:pt idx="83">
                  <c:v>-24.89474270353303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11D-204C-915A-C27EF130BE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  <c:txPr>
        <a:bodyPr/>
        <a:lstStyle/>
        <a:p>
          <a:pPr rtl="0">
            <a:defRPr/>
          </a:pPr>
          <a:endParaRPr lang="en-DK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Monthly Spot Prices - DK1 (Primary) and DK2 (Robustness)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'Electricity Price Data'!$B$1</c:f>
              <c:strCache>
                <c:ptCount val="1"/>
                <c:pt idx="0">
                  <c:v>DK1 Spot Price (EUR/MWh)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'Electricity Price Data'!$B$2:$B$85</c:f>
              <c:numCache>
                <c:formatCode>General</c:formatCode>
                <c:ptCount val="84"/>
                <c:pt idx="0">
                  <c:v>50.295645161290317</c:v>
                </c:pt>
                <c:pt idx="1">
                  <c:v>42.813958333333332</c:v>
                </c:pt>
                <c:pt idx="2">
                  <c:v>33.608259109311753</c:v>
                </c:pt>
                <c:pt idx="3">
                  <c:v>39.068416666666657</c:v>
                </c:pt>
                <c:pt idx="4">
                  <c:v>37.429516129032258</c:v>
                </c:pt>
                <c:pt idx="5">
                  <c:v>32.879222222222232</c:v>
                </c:pt>
                <c:pt idx="6">
                  <c:v>38.817311827956978</c:v>
                </c:pt>
                <c:pt idx="7">
                  <c:v>37.865698924731177</c:v>
                </c:pt>
                <c:pt idx="8">
                  <c:v>35.378861111111107</c:v>
                </c:pt>
                <c:pt idx="9">
                  <c:v>38.347402422611033</c:v>
                </c:pt>
                <c:pt idx="10">
                  <c:v>41.745069444444447</c:v>
                </c:pt>
                <c:pt idx="11">
                  <c:v>34.04197580645161</c:v>
                </c:pt>
                <c:pt idx="12">
                  <c:v>24.99454301075269</c:v>
                </c:pt>
                <c:pt idx="13">
                  <c:v>17.585071839080459</c:v>
                </c:pt>
                <c:pt idx="14">
                  <c:v>18.301727395411611</c:v>
                </c:pt>
                <c:pt idx="15">
                  <c:v>14.533777777777781</c:v>
                </c:pt>
                <c:pt idx="16">
                  <c:v>16.053991935483872</c:v>
                </c:pt>
                <c:pt idx="17">
                  <c:v>26.276277777777771</c:v>
                </c:pt>
                <c:pt idx="18">
                  <c:v>24.61956989247312</c:v>
                </c:pt>
                <c:pt idx="19">
                  <c:v>34.539287634408602</c:v>
                </c:pt>
                <c:pt idx="20">
                  <c:v>38.535041666666658</c:v>
                </c:pt>
                <c:pt idx="21">
                  <c:v>25.814751009421261</c:v>
                </c:pt>
                <c:pt idx="22">
                  <c:v>23.754583333333329</c:v>
                </c:pt>
                <c:pt idx="23">
                  <c:v>34.511129032258061</c:v>
                </c:pt>
                <c:pt idx="24">
                  <c:v>50.205107526881719</c:v>
                </c:pt>
                <c:pt idx="25">
                  <c:v>47.261502976190478</c:v>
                </c:pt>
                <c:pt idx="26">
                  <c:v>45.129446693657208</c:v>
                </c:pt>
                <c:pt idx="27">
                  <c:v>47.967111111111109</c:v>
                </c:pt>
                <c:pt idx="28">
                  <c:v>54.30756720430108</c:v>
                </c:pt>
                <c:pt idx="29">
                  <c:v>73.71981944444444</c:v>
                </c:pt>
                <c:pt idx="30">
                  <c:v>79.999247311827958</c:v>
                </c:pt>
                <c:pt idx="31">
                  <c:v>82.788763440860208</c:v>
                </c:pt>
                <c:pt idx="32">
                  <c:v>125.3637638888889</c:v>
                </c:pt>
                <c:pt idx="33">
                  <c:v>117.0398115746972</c:v>
                </c:pt>
                <c:pt idx="34">
                  <c:v>141.79758333333331</c:v>
                </c:pt>
                <c:pt idx="35">
                  <c:v>189.34932795698921</c:v>
                </c:pt>
                <c:pt idx="36">
                  <c:v>117.9946505376344</c:v>
                </c:pt>
                <c:pt idx="37">
                  <c:v>113.120744047619</c:v>
                </c:pt>
                <c:pt idx="38">
                  <c:v>235.8248448043185</c:v>
                </c:pt>
                <c:pt idx="39">
                  <c:v>163.63747222222219</c:v>
                </c:pt>
                <c:pt idx="40">
                  <c:v>171.85803763440859</c:v>
                </c:pt>
                <c:pt idx="41">
                  <c:v>214.43025</c:v>
                </c:pt>
                <c:pt idx="42">
                  <c:v>275.03817204301072</c:v>
                </c:pt>
                <c:pt idx="43">
                  <c:v>456.75034946236559</c:v>
                </c:pt>
                <c:pt idx="44">
                  <c:v>342.81965277777778</c:v>
                </c:pt>
                <c:pt idx="45">
                  <c:v>137.13172274562581</c:v>
                </c:pt>
                <c:pt idx="46">
                  <c:v>139.7042083333333</c:v>
                </c:pt>
                <c:pt idx="47">
                  <c:v>249.66561827956991</c:v>
                </c:pt>
                <c:pt idx="48">
                  <c:v>112.5418413978495</c:v>
                </c:pt>
                <c:pt idx="49">
                  <c:v>118.136130952381</c:v>
                </c:pt>
                <c:pt idx="50">
                  <c:v>99.113913630229419</c:v>
                </c:pt>
                <c:pt idx="51">
                  <c:v>96.270972222222227</c:v>
                </c:pt>
                <c:pt idx="52">
                  <c:v>73.965779569892476</c:v>
                </c:pt>
                <c:pt idx="53">
                  <c:v>92.495430555555558</c:v>
                </c:pt>
                <c:pt idx="54">
                  <c:v>64.811303763440861</c:v>
                </c:pt>
                <c:pt idx="55">
                  <c:v>85.967110215053765</c:v>
                </c:pt>
                <c:pt idx="56">
                  <c:v>84.739444444444445</c:v>
                </c:pt>
                <c:pt idx="57">
                  <c:v>60.105760430686409</c:v>
                </c:pt>
                <c:pt idx="58">
                  <c:v>88.154569444444448</c:v>
                </c:pt>
                <c:pt idx="59">
                  <c:v>69.482513440860217</c:v>
                </c:pt>
                <c:pt idx="60">
                  <c:v>74.714932795698928</c:v>
                </c:pt>
                <c:pt idx="61">
                  <c:v>58.633936781609187</c:v>
                </c:pt>
                <c:pt idx="62">
                  <c:v>61.226288798920379</c:v>
                </c:pt>
                <c:pt idx="63">
                  <c:v>59.164791666666673</c:v>
                </c:pt>
                <c:pt idx="64">
                  <c:v>58.516854838709683</c:v>
                </c:pt>
                <c:pt idx="65">
                  <c:v>63.753041666666668</c:v>
                </c:pt>
                <c:pt idx="66">
                  <c:v>62.030349462365592</c:v>
                </c:pt>
                <c:pt idx="67">
                  <c:v>72.95380376344086</c:v>
                </c:pt>
                <c:pt idx="68">
                  <c:v>71.713583333333332</c:v>
                </c:pt>
                <c:pt idx="69">
                  <c:v>76.7199730820996</c:v>
                </c:pt>
                <c:pt idx="70">
                  <c:v>95.904597222222222</c:v>
                </c:pt>
                <c:pt idx="71">
                  <c:v>91.83743279569893</c:v>
                </c:pt>
                <c:pt idx="72">
                  <c:v>97.965967741935472</c:v>
                </c:pt>
                <c:pt idx="73">
                  <c:v>112.8479613095238</c:v>
                </c:pt>
                <c:pt idx="74">
                  <c:v>84.348845117845116</c:v>
                </c:pt>
                <c:pt idx="75">
                  <c:v>75.160472222222225</c:v>
                </c:pt>
                <c:pt idx="76">
                  <c:v>64.233413978494625</c:v>
                </c:pt>
                <c:pt idx="77">
                  <c:v>58.784624999999998</c:v>
                </c:pt>
                <c:pt idx="78">
                  <c:v>82.801922043010748</c:v>
                </c:pt>
                <c:pt idx="79">
                  <c:v>73.473763440860225</c:v>
                </c:pt>
                <c:pt idx="80">
                  <c:v>72.398680555555558</c:v>
                </c:pt>
                <c:pt idx="81">
                  <c:v>78.421800134589503</c:v>
                </c:pt>
                <c:pt idx="82">
                  <c:v>92.873392361111115</c:v>
                </c:pt>
                <c:pt idx="83">
                  <c:v>82.437466397849462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F9-E147-98A1-A76F87A34763}"/>
            </c:ext>
          </c:extLst>
        </c:ser>
        <c:ser>
          <c:idx val="1"/>
          <c:order val="1"/>
          <c:tx>
            <c:strRef>
              <c:f>'Electricity Price Data'!$C$1</c:f>
              <c:strCache>
                <c:ptCount val="1"/>
                <c:pt idx="0">
                  <c:v>DK2 Spot Price (EUR/MWh)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'Electricity Price Data'!$C$2:$C$85</c:f>
              <c:numCache>
                <c:formatCode>General</c:formatCode>
                <c:ptCount val="84"/>
                <c:pt idx="0">
                  <c:v>51.655026881720417</c:v>
                </c:pt>
                <c:pt idx="1">
                  <c:v>43.932946428571427</c:v>
                </c:pt>
                <c:pt idx="2">
                  <c:v>35.667354925775967</c:v>
                </c:pt>
                <c:pt idx="3">
                  <c:v>39.892097222222233</c:v>
                </c:pt>
                <c:pt idx="4">
                  <c:v>38.151397849462363</c:v>
                </c:pt>
                <c:pt idx="5">
                  <c:v>33.622236111111107</c:v>
                </c:pt>
                <c:pt idx="6">
                  <c:v>39.000174731182803</c:v>
                </c:pt>
                <c:pt idx="7">
                  <c:v>39.493172043010752</c:v>
                </c:pt>
                <c:pt idx="8">
                  <c:v>37.321347222222222</c:v>
                </c:pt>
                <c:pt idx="9">
                  <c:v>41.599353970390311</c:v>
                </c:pt>
                <c:pt idx="10">
                  <c:v>42.696444444444452</c:v>
                </c:pt>
                <c:pt idx="11">
                  <c:v>35.34711021505376</c:v>
                </c:pt>
                <c:pt idx="12">
                  <c:v>27.385241935483869</c:v>
                </c:pt>
                <c:pt idx="13">
                  <c:v>18.816997126436782</c:v>
                </c:pt>
                <c:pt idx="14">
                  <c:v>20.05249662618084</c:v>
                </c:pt>
                <c:pt idx="15">
                  <c:v>17.354861111111109</c:v>
                </c:pt>
                <c:pt idx="16">
                  <c:v>19.04407258064516</c:v>
                </c:pt>
                <c:pt idx="17">
                  <c:v>29.82329166666667</c:v>
                </c:pt>
                <c:pt idx="18">
                  <c:v>25.886680107526882</c:v>
                </c:pt>
                <c:pt idx="19">
                  <c:v>40.923817204301074</c:v>
                </c:pt>
                <c:pt idx="20">
                  <c:v>39.51423611111111</c:v>
                </c:pt>
                <c:pt idx="21">
                  <c:v>26.933512786002691</c:v>
                </c:pt>
                <c:pt idx="22">
                  <c:v>35.711347222222223</c:v>
                </c:pt>
                <c:pt idx="23">
                  <c:v>39.257150537634409</c:v>
                </c:pt>
                <c:pt idx="24">
                  <c:v>50.858951612903233</c:v>
                </c:pt>
                <c:pt idx="25">
                  <c:v>54.54806547619048</c:v>
                </c:pt>
                <c:pt idx="26">
                  <c:v>46.732213225371119</c:v>
                </c:pt>
                <c:pt idx="27">
                  <c:v>47.862958333333339</c:v>
                </c:pt>
                <c:pt idx="28">
                  <c:v>55.208803763440862</c:v>
                </c:pt>
                <c:pt idx="29">
                  <c:v>73.58690277777778</c:v>
                </c:pt>
                <c:pt idx="30">
                  <c:v>81.44088709677419</c:v>
                </c:pt>
                <c:pt idx="31">
                  <c:v>84.363548387096785</c:v>
                </c:pt>
                <c:pt idx="32">
                  <c:v>123.9021111111111</c:v>
                </c:pt>
                <c:pt idx="33">
                  <c:v>106.9322745625841</c:v>
                </c:pt>
                <c:pt idx="34">
                  <c:v>136.38005555555549</c:v>
                </c:pt>
                <c:pt idx="35">
                  <c:v>191.06861559139779</c:v>
                </c:pt>
                <c:pt idx="36">
                  <c:v>111.62209677419349</c:v>
                </c:pt>
                <c:pt idx="37">
                  <c:v>100.2914136904762</c:v>
                </c:pt>
                <c:pt idx="38">
                  <c:v>227.92036437246961</c:v>
                </c:pt>
                <c:pt idx="39">
                  <c:v>152.83280555555561</c:v>
                </c:pt>
                <c:pt idx="40">
                  <c:v>162.65841397849459</c:v>
                </c:pt>
                <c:pt idx="41">
                  <c:v>213.2331388888889</c:v>
                </c:pt>
                <c:pt idx="42">
                  <c:v>233.47774193548389</c:v>
                </c:pt>
                <c:pt idx="43">
                  <c:v>449.7688306451613</c:v>
                </c:pt>
                <c:pt idx="44">
                  <c:v>328.80015277777778</c:v>
                </c:pt>
                <c:pt idx="45">
                  <c:v>136.89783310901751</c:v>
                </c:pt>
                <c:pt idx="46">
                  <c:v>145.05780555555549</c:v>
                </c:pt>
                <c:pt idx="47">
                  <c:v>248.88206989247311</c:v>
                </c:pt>
                <c:pt idx="48">
                  <c:v>99.762889784946225</c:v>
                </c:pt>
                <c:pt idx="49">
                  <c:v>100.6489285714286</c:v>
                </c:pt>
                <c:pt idx="50">
                  <c:v>89.795614035087723</c:v>
                </c:pt>
                <c:pt idx="51">
                  <c:v>83.651124999999993</c:v>
                </c:pt>
                <c:pt idx="52">
                  <c:v>66.151747311827961</c:v>
                </c:pt>
                <c:pt idx="53">
                  <c:v>91.423152777777773</c:v>
                </c:pt>
                <c:pt idx="54">
                  <c:v>65.24004032258064</c:v>
                </c:pt>
                <c:pt idx="55">
                  <c:v>86.293736559139788</c:v>
                </c:pt>
                <c:pt idx="56">
                  <c:v>85.484125000000006</c:v>
                </c:pt>
                <c:pt idx="57">
                  <c:v>56.925814266487208</c:v>
                </c:pt>
                <c:pt idx="58">
                  <c:v>81.486041666666665</c:v>
                </c:pt>
                <c:pt idx="59">
                  <c:v>70.879731182795695</c:v>
                </c:pt>
                <c:pt idx="60">
                  <c:v>78.214811827956993</c:v>
                </c:pt>
                <c:pt idx="61">
                  <c:v>54.722241379310347</c:v>
                </c:pt>
                <c:pt idx="62">
                  <c:v>61.040863697705802</c:v>
                </c:pt>
                <c:pt idx="63">
                  <c:v>60.476708333333328</c:v>
                </c:pt>
                <c:pt idx="64">
                  <c:v>58.122983870967737</c:v>
                </c:pt>
                <c:pt idx="65">
                  <c:v>66.79098611111111</c:v>
                </c:pt>
                <c:pt idx="66">
                  <c:v>62.841706989247307</c:v>
                </c:pt>
                <c:pt idx="67">
                  <c:v>72.614260752688182</c:v>
                </c:pt>
                <c:pt idx="68">
                  <c:v>70.411833333333334</c:v>
                </c:pt>
                <c:pt idx="69">
                  <c:v>76.326123822341856</c:v>
                </c:pt>
                <c:pt idx="70">
                  <c:v>95.282694444444431</c:v>
                </c:pt>
                <c:pt idx="71">
                  <c:v>92.728158602150543</c:v>
                </c:pt>
                <c:pt idx="72">
                  <c:v>100.1237365591398</c:v>
                </c:pt>
                <c:pt idx="73">
                  <c:v>117.9355505952381</c:v>
                </c:pt>
                <c:pt idx="74">
                  <c:v>82.846865319865316</c:v>
                </c:pt>
                <c:pt idx="75">
                  <c:v>75.806652777777785</c:v>
                </c:pt>
                <c:pt idx="76">
                  <c:v>63.082553763440863</c:v>
                </c:pt>
                <c:pt idx="77">
                  <c:v>56.448249999999987</c:v>
                </c:pt>
                <c:pt idx="78">
                  <c:v>79.959690860215062</c:v>
                </c:pt>
                <c:pt idx="79">
                  <c:v>75.315497311827954</c:v>
                </c:pt>
                <c:pt idx="80">
                  <c:v>83.288930555555552</c:v>
                </c:pt>
                <c:pt idx="81">
                  <c:v>82.368075370121133</c:v>
                </c:pt>
                <c:pt idx="82">
                  <c:v>93.695572916666663</c:v>
                </c:pt>
                <c:pt idx="83">
                  <c:v>82.081528897849466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F9-E147-98A1-A76F87A347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DK1 De-seasonalised Price Series (Primary)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'Electricity Price Data'!$E$1</c:f>
              <c:strCache>
                <c:ptCount val="1"/>
                <c:pt idx="0">
                  <c:v>DK1 De-seasonalised Price (EUR/MWh)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'Electricity Price Data'!$E$2:$E$85</c:f>
              <c:numCache>
                <c:formatCode>General</c:formatCode>
                <c:ptCount val="84"/>
                <c:pt idx="0">
                  <c:v>-25.234738863287252</c:v>
                </c:pt>
                <c:pt idx="1">
                  <c:v>-30.100228272343401</c:v>
                </c:pt>
                <c:pt idx="2">
                  <c:v>-48.899358826358807</c:v>
                </c:pt>
                <c:pt idx="3">
                  <c:v>-31.760585317460279</c:v>
                </c:pt>
                <c:pt idx="4">
                  <c:v>-30.622649769585269</c:v>
                </c:pt>
                <c:pt idx="5">
                  <c:v>-47.454873015873012</c:v>
                </c:pt>
                <c:pt idx="6">
                  <c:v>-50.913813364055301</c:v>
                </c:pt>
                <c:pt idx="7">
                  <c:v>-82.754126344086018</c:v>
                </c:pt>
                <c:pt idx="8">
                  <c:v>-74.756714285714281</c:v>
                </c:pt>
                <c:pt idx="9">
                  <c:v>-37.87848634877907</c:v>
                </c:pt>
                <c:pt idx="10">
                  <c:v>-47.388359623015852</c:v>
                </c:pt>
                <c:pt idx="11">
                  <c:v>-73.290233294930886</c:v>
                </c:pt>
                <c:pt idx="12">
                  <c:v>-50.535841013824893</c:v>
                </c:pt>
                <c:pt idx="13">
                  <c:v>-55.329114766596277</c:v>
                </c:pt>
                <c:pt idx="14">
                  <c:v>-64.205890540258949</c:v>
                </c:pt>
                <c:pt idx="15">
                  <c:v>-56.295224206349168</c:v>
                </c:pt>
                <c:pt idx="16">
                  <c:v>-51.998173963133659</c:v>
                </c:pt>
                <c:pt idx="17">
                  <c:v>-54.057817460317452</c:v>
                </c:pt>
                <c:pt idx="18">
                  <c:v>-65.111555299539162</c:v>
                </c:pt>
                <c:pt idx="19">
                  <c:v>-86.080537634408586</c:v>
                </c:pt>
                <c:pt idx="20">
                  <c:v>-71.60053373015873</c:v>
                </c:pt>
                <c:pt idx="21">
                  <c:v>-50.411137761968838</c:v>
                </c:pt>
                <c:pt idx="22">
                  <c:v>-65.378845734126969</c:v>
                </c:pt>
                <c:pt idx="23">
                  <c:v>-72.821080069124434</c:v>
                </c:pt>
                <c:pt idx="24">
                  <c:v>-25.32527649769585</c:v>
                </c:pt>
                <c:pt idx="25">
                  <c:v>-25.652683629486251</c:v>
                </c:pt>
                <c:pt idx="26">
                  <c:v>-37.378171242013337</c:v>
                </c:pt>
                <c:pt idx="27">
                  <c:v>-22.861890873015842</c:v>
                </c:pt>
                <c:pt idx="28">
                  <c:v>-13.74459869431645</c:v>
                </c:pt>
                <c:pt idx="29">
                  <c:v>-6.6142757936507914</c:v>
                </c:pt>
                <c:pt idx="30">
                  <c:v>-9.731877880184328</c:v>
                </c:pt>
                <c:pt idx="31">
                  <c:v>-37.831061827956987</c:v>
                </c:pt>
                <c:pt idx="32">
                  <c:v>15.228188492063509</c:v>
                </c:pt>
                <c:pt idx="33">
                  <c:v>40.813922803307079</c:v>
                </c:pt>
                <c:pt idx="34">
                  <c:v>52.664154265873037</c:v>
                </c:pt>
                <c:pt idx="35">
                  <c:v>82.017118855606753</c:v>
                </c:pt>
                <c:pt idx="36">
                  <c:v>42.464266513056842</c:v>
                </c:pt>
                <c:pt idx="37">
                  <c:v>40.206557441942309</c:v>
                </c:pt>
                <c:pt idx="38">
                  <c:v>153.31722686864791</c:v>
                </c:pt>
                <c:pt idx="39">
                  <c:v>92.808470238095268</c:v>
                </c:pt>
                <c:pt idx="40">
                  <c:v>103.8058717357911</c:v>
                </c:pt>
                <c:pt idx="41">
                  <c:v>134.09615476190481</c:v>
                </c:pt>
                <c:pt idx="42">
                  <c:v>185.3070468509984</c:v>
                </c:pt>
                <c:pt idx="43">
                  <c:v>336.13052419354841</c:v>
                </c:pt>
                <c:pt idx="44">
                  <c:v>232.6840773809524</c:v>
                </c:pt>
                <c:pt idx="45">
                  <c:v>60.905833974235733</c:v>
                </c:pt>
                <c:pt idx="46">
                  <c:v>50.570779265873028</c:v>
                </c:pt>
                <c:pt idx="47">
                  <c:v>142.3334091781874</c:v>
                </c:pt>
                <c:pt idx="48">
                  <c:v>37.011457373271902</c:v>
                </c:pt>
                <c:pt idx="49">
                  <c:v>45.22194434670422</c:v>
                </c:pt>
                <c:pt idx="50">
                  <c:v>16.60629569455887</c:v>
                </c:pt>
                <c:pt idx="51">
                  <c:v>25.44197023809528</c:v>
                </c:pt>
                <c:pt idx="52">
                  <c:v>5.9136136712749447</c:v>
                </c:pt>
                <c:pt idx="53">
                  <c:v>12.161335317460329</c:v>
                </c:pt>
                <c:pt idx="54">
                  <c:v>-24.919821428571421</c:v>
                </c:pt>
                <c:pt idx="55">
                  <c:v>-34.65271505376343</c:v>
                </c:pt>
                <c:pt idx="56">
                  <c:v>-25.39613095238094</c:v>
                </c:pt>
                <c:pt idx="57">
                  <c:v>-16.12012834070369</c:v>
                </c:pt>
                <c:pt idx="58">
                  <c:v>-0.97885962301585039</c:v>
                </c:pt>
                <c:pt idx="59">
                  <c:v>-37.849695660522272</c:v>
                </c:pt>
                <c:pt idx="60">
                  <c:v>-0.81545122887864352</c:v>
                </c:pt>
                <c:pt idx="61">
                  <c:v>-14.280249824067541</c:v>
                </c:pt>
                <c:pt idx="62">
                  <c:v>-21.28132913675017</c:v>
                </c:pt>
                <c:pt idx="63">
                  <c:v>-11.664210317460279</c:v>
                </c:pt>
                <c:pt idx="64">
                  <c:v>-9.5353110599078548</c:v>
                </c:pt>
                <c:pt idx="65">
                  <c:v>-16.581053571428559</c:v>
                </c:pt>
                <c:pt idx="66">
                  <c:v>-27.70077572964669</c:v>
                </c:pt>
                <c:pt idx="67">
                  <c:v>-47.666021505376342</c:v>
                </c:pt>
                <c:pt idx="68">
                  <c:v>-38.421992063492063</c:v>
                </c:pt>
                <c:pt idx="69">
                  <c:v>0.49408431070949632</c:v>
                </c:pt>
                <c:pt idx="70">
                  <c:v>6.7711681547619236</c:v>
                </c:pt>
                <c:pt idx="71">
                  <c:v>-15.49477630568356</c:v>
                </c:pt>
                <c:pt idx="72">
                  <c:v>22.4355837173579</c:v>
                </c:pt>
                <c:pt idx="73">
                  <c:v>39.933774703847078</c:v>
                </c:pt>
                <c:pt idx="74">
                  <c:v>1.8412271821745629</c:v>
                </c:pt>
                <c:pt idx="75">
                  <c:v>4.3314702380952781</c:v>
                </c:pt>
                <c:pt idx="76">
                  <c:v>-3.818751920122907</c:v>
                </c:pt>
                <c:pt idx="77">
                  <c:v>-21.549470238095228</c:v>
                </c:pt>
                <c:pt idx="78">
                  <c:v>-6.9292031490015384</c:v>
                </c:pt>
                <c:pt idx="79">
                  <c:v>-47.14606182795697</c:v>
                </c:pt>
                <c:pt idx="80">
                  <c:v>-37.73689484126983</c:v>
                </c:pt>
                <c:pt idx="81">
                  <c:v>2.1959113631994001</c:v>
                </c:pt>
                <c:pt idx="82">
                  <c:v>3.7399632936508169</c:v>
                </c:pt>
                <c:pt idx="83">
                  <c:v>-24.89474270353303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0AD-974B-902A-182CADF5EA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  <c:txPr>
        <a:bodyPr/>
        <a:lstStyle/>
        <a:p>
          <a:pPr rtl="0">
            <a:defRPr/>
          </a:pPr>
          <a:endParaRPr lang="en-DK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Monthly Spot Prices - DK1 (Primary) and DK2 (Robustness)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'Electricity Price Data'!$B$1</c:f>
              <c:strCache>
                <c:ptCount val="1"/>
                <c:pt idx="0">
                  <c:v>DK1 Spot Price (EUR/MWh)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'Electricity Price Data'!$B$2:$B$85</c:f>
              <c:numCache>
                <c:formatCode>General</c:formatCode>
                <c:ptCount val="84"/>
                <c:pt idx="0">
                  <c:v>50.295645161290317</c:v>
                </c:pt>
                <c:pt idx="1">
                  <c:v>42.813958333333332</c:v>
                </c:pt>
                <c:pt idx="2">
                  <c:v>33.608259109311753</c:v>
                </c:pt>
                <c:pt idx="3">
                  <c:v>39.068416666666657</c:v>
                </c:pt>
                <c:pt idx="4">
                  <c:v>37.429516129032258</c:v>
                </c:pt>
                <c:pt idx="5">
                  <c:v>32.879222222222232</c:v>
                </c:pt>
                <c:pt idx="6">
                  <c:v>38.817311827956978</c:v>
                </c:pt>
                <c:pt idx="7">
                  <c:v>37.865698924731177</c:v>
                </c:pt>
                <c:pt idx="8">
                  <c:v>35.378861111111107</c:v>
                </c:pt>
                <c:pt idx="9">
                  <c:v>38.347402422611033</c:v>
                </c:pt>
                <c:pt idx="10">
                  <c:v>41.745069444444447</c:v>
                </c:pt>
                <c:pt idx="11">
                  <c:v>34.04197580645161</c:v>
                </c:pt>
                <c:pt idx="12">
                  <c:v>24.99454301075269</c:v>
                </c:pt>
                <c:pt idx="13">
                  <c:v>17.585071839080459</c:v>
                </c:pt>
                <c:pt idx="14">
                  <c:v>18.301727395411611</c:v>
                </c:pt>
                <c:pt idx="15">
                  <c:v>14.533777777777781</c:v>
                </c:pt>
                <c:pt idx="16">
                  <c:v>16.053991935483872</c:v>
                </c:pt>
                <c:pt idx="17">
                  <c:v>26.276277777777771</c:v>
                </c:pt>
                <c:pt idx="18">
                  <c:v>24.61956989247312</c:v>
                </c:pt>
                <c:pt idx="19">
                  <c:v>34.539287634408602</c:v>
                </c:pt>
                <c:pt idx="20">
                  <c:v>38.535041666666658</c:v>
                </c:pt>
                <c:pt idx="21">
                  <c:v>25.814751009421261</c:v>
                </c:pt>
                <c:pt idx="22">
                  <c:v>23.754583333333329</c:v>
                </c:pt>
                <c:pt idx="23">
                  <c:v>34.511129032258061</c:v>
                </c:pt>
                <c:pt idx="24">
                  <c:v>50.205107526881719</c:v>
                </c:pt>
                <c:pt idx="25">
                  <c:v>47.261502976190478</c:v>
                </c:pt>
                <c:pt idx="26">
                  <c:v>45.129446693657208</c:v>
                </c:pt>
                <c:pt idx="27">
                  <c:v>47.967111111111109</c:v>
                </c:pt>
                <c:pt idx="28">
                  <c:v>54.30756720430108</c:v>
                </c:pt>
                <c:pt idx="29">
                  <c:v>73.71981944444444</c:v>
                </c:pt>
                <c:pt idx="30">
                  <c:v>79.999247311827958</c:v>
                </c:pt>
                <c:pt idx="31">
                  <c:v>82.788763440860208</c:v>
                </c:pt>
                <c:pt idx="32">
                  <c:v>125.3637638888889</c:v>
                </c:pt>
                <c:pt idx="33">
                  <c:v>117.0398115746972</c:v>
                </c:pt>
                <c:pt idx="34">
                  <c:v>141.79758333333331</c:v>
                </c:pt>
                <c:pt idx="35">
                  <c:v>189.34932795698921</c:v>
                </c:pt>
                <c:pt idx="36">
                  <c:v>117.9946505376344</c:v>
                </c:pt>
                <c:pt idx="37">
                  <c:v>113.120744047619</c:v>
                </c:pt>
                <c:pt idx="38">
                  <c:v>235.8248448043185</c:v>
                </c:pt>
                <c:pt idx="39">
                  <c:v>163.63747222222219</c:v>
                </c:pt>
                <c:pt idx="40">
                  <c:v>171.85803763440859</c:v>
                </c:pt>
                <c:pt idx="41">
                  <c:v>214.43025</c:v>
                </c:pt>
                <c:pt idx="42">
                  <c:v>275.03817204301072</c:v>
                </c:pt>
                <c:pt idx="43">
                  <c:v>456.75034946236559</c:v>
                </c:pt>
                <c:pt idx="44">
                  <c:v>342.81965277777778</c:v>
                </c:pt>
                <c:pt idx="45">
                  <c:v>137.13172274562581</c:v>
                </c:pt>
                <c:pt idx="46">
                  <c:v>139.7042083333333</c:v>
                </c:pt>
                <c:pt idx="47">
                  <c:v>249.66561827956991</c:v>
                </c:pt>
                <c:pt idx="48">
                  <c:v>112.5418413978495</c:v>
                </c:pt>
                <c:pt idx="49">
                  <c:v>118.136130952381</c:v>
                </c:pt>
                <c:pt idx="50">
                  <c:v>99.113913630229419</c:v>
                </c:pt>
                <c:pt idx="51">
                  <c:v>96.270972222222227</c:v>
                </c:pt>
                <c:pt idx="52">
                  <c:v>73.965779569892476</c:v>
                </c:pt>
                <c:pt idx="53">
                  <c:v>92.495430555555558</c:v>
                </c:pt>
                <c:pt idx="54">
                  <c:v>64.811303763440861</c:v>
                </c:pt>
                <c:pt idx="55">
                  <c:v>85.967110215053765</c:v>
                </c:pt>
                <c:pt idx="56">
                  <c:v>84.739444444444445</c:v>
                </c:pt>
                <c:pt idx="57">
                  <c:v>60.105760430686409</c:v>
                </c:pt>
                <c:pt idx="58">
                  <c:v>88.154569444444448</c:v>
                </c:pt>
                <c:pt idx="59">
                  <c:v>69.482513440860217</c:v>
                </c:pt>
                <c:pt idx="60">
                  <c:v>74.714932795698928</c:v>
                </c:pt>
                <c:pt idx="61">
                  <c:v>58.633936781609187</c:v>
                </c:pt>
                <c:pt idx="62">
                  <c:v>61.226288798920379</c:v>
                </c:pt>
                <c:pt idx="63">
                  <c:v>59.164791666666673</c:v>
                </c:pt>
                <c:pt idx="64">
                  <c:v>58.516854838709683</c:v>
                </c:pt>
                <c:pt idx="65">
                  <c:v>63.753041666666668</c:v>
                </c:pt>
                <c:pt idx="66">
                  <c:v>62.030349462365592</c:v>
                </c:pt>
                <c:pt idx="67">
                  <c:v>72.95380376344086</c:v>
                </c:pt>
                <c:pt idx="68">
                  <c:v>71.713583333333332</c:v>
                </c:pt>
                <c:pt idx="69">
                  <c:v>76.7199730820996</c:v>
                </c:pt>
                <c:pt idx="70">
                  <c:v>95.904597222222222</c:v>
                </c:pt>
                <c:pt idx="71">
                  <c:v>91.83743279569893</c:v>
                </c:pt>
                <c:pt idx="72">
                  <c:v>97.965967741935472</c:v>
                </c:pt>
                <c:pt idx="73">
                  <c:v>112.8479613095238</c:v>
                </c:pt>
                <c:pt idx="74">
                  <c:v>84.348845117845116</c:v>
                </c:pt>
                <c:pt idx="75">
                  <c:v>75.160472222222225</c:v>
                </c:pt>
                <c:pt idx="76">
                  <c:v>64.233413978494625</c:v>
                </c:pt>
                <c:pt idx="77">
                  <c:v>58.784624999999998</c:v>
                </c:pt>
                <c:pt idx="78">
                  <c:v>82.801922043010748</c:v>
                </c:pt>
                <c:pt idx="79">
                  <c:v>73.473763440860225</c:v>
                </c:pt>
                <c:pt idx="80">
                  <c:v>72.398680555555558</c:v>
                </c:pt>
                <c:pt idx="81">
                  <c:v>78.421800134589503</c:v>
                </c:pt>
                <c:pt idx="82">
                  <c:v>92.873392361111115</c:v>
                </c:pt>
                <c:pt idx="83">
                  <c:v>82.437466397849462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45D-984D-9691-BFBBFC23646F}"/>
            </c:ext>
          </c:extLst>
        </c:ser>
        <c:ser>
          <c:idx val="1"/>
          <c:order val="1"/>
          <c:tx>
            <c:strRef>
              <c:f>'Electricity Price Data'!$C$1</c:f>
              <c:strCache>
                <c:ptCount val="1"/>
                <c:pt idx="0">
                  <c:v>DK2 Spot Price (EUR/MWh)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'Electricity Price Data'!$C$2:$C$85</c:f>
              <c:numCache>
                <c:formatCode>General</c:formatCode>
                <c:ptCount val="84"/>
                <c:pt idx="0">
                  <c:v>51.655026881720417</c:v>
                </c:pt>
                <c:pt idx="1">
                  <c:v>43.932946428571427</c:v>
                </c:pt>
                <c:pt idx="2">
                  <c:v>35.667354925775967</c:v>
                </c:pt>
                <c:pt idx="3">
                  <c:v>39.892097222222233</c:v>
                </c:pt>
                <c:pt idx="4">
                  <c:v>38.151397849462363</c:v>
                </c:pt>
                <c:pt idx="5">
                  <c:v>33.622236111111107</c:v>
                </c:pt>
                <c:pt idx="6">
                  <c:v>39.000174731182803</c:v>
                </c:pt>
                <c:pt idx="7">
                  <c:v>39.493172043010752</c:v>
                </c:pt>
                <c:pt idx="8">
                  <c:v>37.321347222222222</c:v>
                </c:pt>
                <c:pt idx="9">
                  <c:v>41.599353970390311</c:v>
                </c:pt>
                <c:pt idx="10">
                  <c:v>42.696444444444452</c:v>
                </c:pt>
                <c:pt idx="11">
                  <c:v>35.34711021505376</c:v>
                </c:pt>
                <c:pt idx="12">
                  <c:v>27.385241935483869</c:v>
                </c:pt>
                <c:pt idx="13">
                  <c:v>18.816997126436782</c:v>
                </c:pt>
                <c:pt idx="14">
                  <c:v>20.05249662618084</c:v>
                </c:pt>
                <c:pt idx="15">
                  <c:v>17.354861111111109</c:v>
                </c:pt>
                <c:pt idx="16">
                  <c:v>19.04407258064516</c:v>
                </c:pt>
                <c:pt idx="17">
                  <c:v>29.82329166666667</c:v>
                </c:pt>
                <c:pt idx="18">
                  <c:v>25.886680107526882</c:v>
                </c:pt>
                <c:pt idx="19">
                  <c:v>40.923817204301074</c:v>
                </c:pt>
                <c:pt idx="20">
                  <c:v>39.51423611111111</c:v>
                </c:pt>
                <c:pt idx="21">
                  <c:v>26.933512786002691</c:v>
                </c:pt>
                <c:pt idx="22">
                  <c:v>35.711347222222223</c:v>
                </c:pt>
                <c:pt idx="23">
                  <c:v>39.257150537634409</c:v>
                </c:pt>
                <c:pt idx="24">
                  <c:v>50.858951612903233</c:v>
                </c:pt>
                <c:pt idx="25">
                  <c:v>54.54806547619048</c:v>
                </c:pt>
                <c:pt idx="26">
                  <c:v>46.732213225371119</c:v>
                </c:pt>
                <c:pt idx="27">
                  <c:v>47.862958333333339</c:v>
                </c:pt>
                <c:pt idx="28">
                  <c:v>55.208803763440862</c:v>
                </c:pt>
                <c:pt idx="29">
                  <c:v>73.58690277777778</c:v>
                </c:pt>
                <c:pt idx="30">
                  <c:v>81.44088709677419</c:v>
                </c:pt>
                <c:pt idx="31">
                  <c:v>84.363548387096785</c:v>
                </c:pt>
                <c:pt idx="32">
                  <c:v>123.9021111111111</c:v>
                </c:pt>
                <c:pt idx="33">
                  <c:v>106.9322745625841</c:v>
                </c:pt>
                <c:pt idx="34">
                  <c:v>136.38005555555549</c:v>
                </c:pt>
                <c:pt idx="35">
                  <c:v>191.06861559139779</c:v>
                </c:pt>
                <c:pt idx="36">
                  <c:v>111.62209677419349</c:v>
                </c:pt>
                <c:pt idx="37">
                  <c:v>100.2914136904762</c:v>
                </c:pt>
                <c:pt idx="38">
                  <c:v>227.92036437246961</c:v>
                </c:pt>
                <c:pt idx="39">
                  <c:v>152.83280555555561</c:v>
                </c:pt>
                <c:pt idx="40">
                  <c:v>162.65841397849459</c:v>
                </c:pt>
                <c:pt idx="41">
                  <c:v>213.2331388888889</c:v>
                </c:pt>
                <c:pt idx="42">
                  <c:v>233.47774193548389</c:v>
                </c:pt>
                <c:pt idx="43">
                  <c:v>449.7688306451613</c:v>
                </c:pt>
                <c:pt idx="44">
                  <c:v>328.80015277777778</c:v>
                </c:pt>
                <c:pt idx="45">
                  <c:v>136.89783310901751</c:v>
                </c:pt>
                <c:pt idx="46">
                  <c:v>145.05780555555549</c:v>
                </c:pt>
                <c:pt idx="47">
                  <c:v>248.88206989247311</c:v>
                </c:pt>
                <c:pt idx="48">
                  <c:v>99.762889784946225</c:v>
                </c:pt>
                <c:pt idx="49">
                  <c:v>100.6489285714286</c:v>
                </c:pt>
                <c:pt idx="50">
                  <c:v>89.795614035087723</c:v>
                </c:pt>
                <c:pt idx="51">
                  <c:v>83.651124999999993</c:v>
                </c:pt>
                <c:pt idx="52">
                  <c:v>66.151747311827961</c:v>
                </c:pt>
                <c:pt idx="53">
                  <c:v>91.423152777777773</c:v>
                </c:pt>
                <c:pt idx="54">
                  <c:v>65.24004032258064</c:v>
                </c:pt>
                <c:pt idx="55">
                  <c:v>86.293736559139788</c:v>
                </c:pt>
                <c:pt idx="56">
                  <c:v>85.484125000000006</c:v>
                </c:pt>
                <c:pt idx="57">
                  <c:v>56.925814266487208</c:v>
                </c:pt>
                <c:pt idx="58">
                  <c:v>81.486041666666665</c:v>
                </c:pt>
                <c:pt idx="59">
                  <c:v>70.879731182795695</c:v>
                </c:pt>
                <c:pt idx="60">
                  <c:v>78.214811827956993</c:v>
                </c:pt>
                <c:pt idx="61">
                  <c:v>54.722241379310347</c:v>
                </c:pt>
                <c:pt idx="62">
                  <c:v>61.040863697705802</c:v>
                </c:pt>
                <c:pt idx="63">
                  <c:v>60.476708333333328</c:v>
                </c:pt>
                <c:pt idx="64">
                  <c:v>58.122983870967737</c:v>
                </c:pt>
                <c:pt idx="65">
                  <c:v>66.79098611111111</c:v>
                </c:pt>
                <c:pt idx="66">
                  <c:v>62.841706989247307</c:v>
                </c:pt>
                <c:pt idx="67">
                  <c:v>72.614260752688182</c:v>
                </c:pt>
                <c:pt idx="68">
                  <c:v>70.411833333333334</c:v>
                </c:pt>
                <c:pt idx="69">
                  <c:v>76.326123822341856</c:v>
                </c:pt>
                <c:pt idx="70">
                  <c:v>95.282694444444431</c:v>
                </c:pt>
                <c:pt idx="71">
                  <c:v>92.728158602150543</c:v>
                </c:pt>
                <c:pt idx="72">
                  <c:v>100.1237365591398</c:v>
                </c:pt>
                <c:pt idx="73">
                  <c:v>117.9355505952381</c:v>
                </c:pt>
                <c:pt idx="74">
                  <c:v>82.846865319865316</c:v>
                </c:pt>
                <c:pt idx="75">
                  <c:v>75.806652777777785</c:v>
                </c:pt>
                <c:pt idx="76">
                  <c:v>63.082553763440863</c:v>
                </c:pt>
                <c:pt idx="77">
                  <c:v>56.448249999999987</c:v>
                </c:pt>
                <c:pt idx="78">
                  <c:v>79.959690860215062</c:v>
                </c:pt>
                <c:pt idx="79">
                  <c:v>75.315497311827954</c:v>
                </c:pt>
                <c:pt idx="80">
                  <c:v>83.288930555555552</c:v>
                </c:pt>
                <c:pt idx="81">
                  <c:v>82.368075370121133</c:v>
                </c:pt>
                <c:pt idx="82">
                  <c:v>93.695572916666663</c:v>
                </c:pt>
                <c:pt idx="83">
                  <c:v>82.081528897849466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45D-984D-9691-BFBBFC2364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DK1 De-seasonalised Price Series (Primary)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'Electricity Price Data'!$E$1</c:f>
              <c:strCache>
                <c:ptCount val="1"/>
                <c:pt idx="0">
                  <c:v>DK1 De-seasonalised Price (EUR/MWh)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'Electricity Price Data'!$E$2:$E$85</c:f>
              <c:numCache>
                <c:formatCode>General</c:formatCode>
                <c:ptCount val="84"/>
                <c:pt idx="0">
                  <c:v>-25.234738863287252</c:v>
                </c:pt>
                <c:pt idx="1">
                  <c:v>-30.100228272343401</c:v>
                </c:pt>
                <c:pt idx="2">
                  <c:v>-48.899358826358807</c:v>
                </c:pt>
                <c:pt idx="3">
                  <c:v>-31.760585317460279</c:v>
                </c:pt>
                <c:pt idx="4">
                  <c:v>-30.622649769585269</c:v>
                </c:pt>
                <c:pt idx="5">
                  <c:v>-47.454873015873012</c:v>
                </c:pt>
                <c:pt idx="6">
                  <c:v>-50.913813364055301</c:v>
                </c:pt>
                <c:pt idx="7">
                  <c:v>-82.754126344086018</c:v>
                </c:pt>
                <c:pt idx="8">
                  <c:v>-74.756714285714281</c:v>
                </c:pt>
                <c:pt idx="9">
                  <c:v>-37.87848634877907</c:v>
                </c:pt>
                <c:pt idx="10">
                  <c:v>-47.388359623015852</c:v>
                </c:pt>
                <c:pt idx="11">
                  <c:v>-73.290233294930886</c:v>
                </c:pt>
                <c:pt idx="12">
                  <c:v>-50.535841013824893</c:v>
                </c:pt>
                <c:pt idx="13">
                  <c:v>-55.329114766596277</c:v>
                </c:pt>
                <c:pt idx="14">
                  <c:v>-64.205890540258949</c:v>
                </c:pt>
                <c:pt idx="15">
                  <c:v>-56.295224206349168</c:v>
                </c:pt>
                <c:pt idx="16">
                  <c:v>-51.998173963133659</c:v>
                </c:pt>
                <c:pt idx="17">
                  <c:v>-54.057817460317452</c:v>
                </c:pt>
                <c:pt idx="18">
                  <c:v>-65.111555299539162</c:v>
                </c:pt>
                <c:pt idx="19">
                  <c:v>-86.080537634408586</c:v>
                </c:pt>
                <c:pt idx="20">
                  <c:v>-71.60053373015873</c:v>
                </c:pt>
                <c:pt idx="21">
                  <c:v>-50.411137761968838</c:v>
                </c:pt>
                <c:pt idx="22">
                  <c:v>-65.378845734126969</c:v>
                </c:pt>
                <c:pt idx="23">
                  <c:v>-72.821080069124434</c:v>
                </c:pt>
                <c:pt idx="24">
                  <c:v>-25.32527649769585</c:v>
                </c:pt>
                <c:pt idx="25">
                  <c:v>-25.652683629486251</c:v>
                </c:pt>
                <c:pt idx="26">
                  <c:v>-37.378171242013337</c:v>
                </c:pt>
                <c:pt idx="27">
                  <c:v>-22.861890873015842</c:v>
                </c:pt>
                <c:pt idx="28">
                  <c:v>-13.74459869431645</c:v>
                </c:pt>
                <c:pt idx="29">
                  <c:v>-6.6142757936507914</c:v>
                </c:pt>
                <c:pt idx="30">
                  <c:v>-9.731877880184328</c:v>
                </c:pt>
                <c:pt idx="31">
                  <c:v>-37.831061827956987</c:v>
                </c:pt>
                <c:pt idx="32">
                  <c:v>15.228188492063509</c:v>
                </c:pt>
                <c:pt idx="33">
                  <c:v>40.813922803307079</c:v>
                </c:pt>
                <c:pt idx="34">
                  <c:v>52.664154265873037</c:v>
                </c:pt>
                <c:pt idx="35">
                  <c:v>82.017118855606753</c:v>
                </c:pt>
                <c:pt idx="36">
                  <c:v>42.464266513056842</c:v>
                </c:pt>
                <c:pt idx="37">
                  <c:v>40.206557441942309</c:v>
                </c:pt>
                <c:pt idx="38">
                  <c:v>153.31722686864791</c:v>
                </c:pt>
                <c:pt idx="39">
                  <c:v>92.808470238095268</c:v>
                </c:pt>
                <c:pt idx="40">
                  <c:v>103.8058717357911</c:v>
                </c:pt>
                <c:pt idx="41">
                  <c:v>134.09615476190481</c:v>
                </c:pt>
                <c:pt idx="42">
                  <c:v>185.3070468509984</c:v>
                </c:pt>
                <c:pt idx="43">
                  <c:v>336.13052419354841</c:v>
                </c:pt>
                <c:pt idx="44">
                  <c:v>232.6840773809524</c:v>
                </c:pt>
                <c:pt idx="45">
                  <c:v>60.905833974235733</c:v>
                </c:pt>
                <c:pt idx="46">
                  <c:v>50.570779265873028</c:v>
                </c:pt>
                <c:pt idx="47">
                  <c:v>142.3334091781874</c:v>
                </c:pt>
                <c:pt idx="48">
                  <c:v>37.011457373271902</c:v>
                </c:pt>
                <c:pt idx="49">
                  <c:v>45.22194434670422</c:v>
                </c:pt>
                <c:pt idx="50">
                  <c:v>16.60629569455887</c:v>
                </c:pt>
                <c:pt idx="51">
                  <c:v>25.44197023809528</c:v>
                </c:pt>
                <c:pt idx="52">
                  <c:v>5.9136136712749447</c:v>
                </c:pt>
                <c:pt idx="53">
                  <c:v>12.161335317460329</c:v>
                </c:pt>
                <c:pt idx="54">
                  <c:v>-24.919821428571421</c:v>
                </c:pt>
                <c:pt idx="55">
                  <c:v>-34.65271505376343</c:v>
                </c:pt>
                <c:pt idx="56">
                  <c:v>-25.39613095238094</c:v>
                </c:pt>
                <c:pt idx="57">
                  <c:v>-16.12012834070369</c:v>
                </c:pt>
                <c:pt idx="58">
                  <c:v>-0.97885962301585039</c:v>
                </c:pt>
                <c:pt idx="59">
                  <c:v>-37.849695660522272</c:v>
                </c:pt>
                <c:pt idx="60">
                  <c:v>-0.81545122887864352</c:v>
                </c:pt>
                <c:pt idx="61">
                  <c:v>-14.280249824067541</c:v>
                </c:pt>
                <c:pt idx="62">
                  <c:v>-21.28132913675017</c:v>
                </c:pt>
                <c:pt idx="63">
                  <c:v>-11.664210317460279</c:v>
                </c:pt>
                <c:pt idx="64">
                  <c:v>-9.5353110599078548</c:v>
                </c:pt>
                <c:pt idx="65">
                  <c:v>-16.581053571428559</c:v>
                </c:pt>
                <c:pt idx="66">
                  <c:v>-27.70077572964669</c:v>
                </c:pt>
                <c:pt idx="67">
                  <c:v>-47.666021505376342</c:v>
                </c:pt>
                <c:pt idx="68">
                  <c:v>-38.421992063492063</c:v>
                </c:pt>
                <c:pt idx="69">
                  <c:v>0.49408431070949632</c:v>
                </c:pt>
                <c:pt idx="70">
                  <c:v>6.7711681547619236</c:v>
                </c:pt>
                <c:pt idx="71">
                  <c:v>-15.49477630568356</c:v>
                </c:pt>
                <c:pt idx="72">
                  <c:v>22.4355837173579</c:v>
                </c:pt>
                <c:pt idx="73">
                  <c:v>39.933774703847078</c:v>
                </c:pt>
                <c:pt idx="74">
                  <c:v>1.8412271821745629</c:v>
                </c:pt>
                <c:pt idx="75">
                  <c:v>4.3314702380952781</c:v>
                </c:pt>
                <c:pt idx="76">
                  <c:v>-3.818751920122907</c:v>
                </c:pt>
                <c:pt idx="77">
                  <c:v>-21.549470238095228</c:v>
                </c:pt>
                <c:pt idx="78">
                  <c:v>-6.9292031490015384</c:v>
                </c:pt>
                <c:pt idx="79">
                  <c:v>-47.14606182795697</c:v>
                </c:pt>
                <c:pt idx="80">
                  <c:v>-37.73689484126983</c:v>
                </c:pt>
                <c:pt idx="81">
                  <c:v>2.1959113631994001</c:v>
                </c:pt>
                <c:pt idx="82">
                  <c:v>3.7399632936508169</c:v>
                </c:pt>
                <c:pt idx="83">
                  <c:v>-24.89474270353303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71D-B246-B535-426F0349C5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  <c:txPr>
        <a:bodyPr/>
        <a:lstStyle/>
        <a:p>
          <a:pPr rtl="0">
            <a:defRPr/>
          </a:pPr>
          <a:endParaRPr lang="en-DK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Monthly Spot Prices - DK1 (Primary) and DK2 (Robustness)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'Electricity Price Data'!$B$1</c:f>
              <c:strCache>
                <c:ptCount val="1"/>
                <c:pt idx="0">
                  <c:v>DK1 Spot Price (EUR/MWh)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'Electricity Price Data'!$B$2:$B$85</c:f>
              <c:numCache>
                <c:formatCode>General</c:formatCode>
                <c:ptCount val="84"/>
                <c:pt idx="0">
                  <c:v>50.295645161290317</c:v>
                </c:pt>
                <c:pt idx="1">
                  <c:v>42.813958333333332</c:v>
                </c:pt>
                <c:pt idx="2">
                  <c:v>33.608259109311753</c:v>
                </c:pt>
                <c:pt idx="3">
                  <c:v>39.068416666666657</c:v>
                </c:pt>
                <c:pt idx="4">
                  <c:v>37.429516129032258</c:v>
                </c:pt>
                <c:pt idx="5">
                  <c:v>32.879222222222232</c:v>
                </c:pt>
                <c:pt idx="6">
                  <c:v>38.817311827956978</c:v>
                </c:pt>
                <c:pt idx="7">
                  <c:v>37.865698924731177</c:v>
                </c:pt>
                <c:pt idx="8">
                  <c:v>35.378861111111107</c:v>
                </c:pt>
                <c:pt idx="9">
                  <c:v>38.347402422611033</c:v>
                </c:pt>
                <c:pt idx="10">
                  <c:v>41.745069444444447</c:v>
                </c:pt>
                <c:pt idx="11">
                  <c:v>34.04197580645161</c:v>
                </c:pt>
                <c:pt idx="12">
                  <c:v>24.99454301075269</c:v>
                </c:pt>
                <c:pt idx="13">
                  <c:v>17.585071839080459</c:v>
                </c:pt>
                <c:pt idx="14">
                  <c:v>18.301727395411611</c:v>
                </c:pt>
                <c:pt idx="15">
                  <c:v>14.533777777777781</c:v>
                </c:pt>
                <c:pt idx="16">
                  <c:v>16.053991935483872</c:v>
                </c:pt>
                <c:pt idx="17">
                  <c:v>26.276277777777771</c:v>
                </c:pt>
                <c:pt idx="18">
                  <c:v>24.61956989247312</c:v>
                </c:pt>
                <c:pt idx="19">
                  <c:v>34.539287634408602</c:v>
                </c:pt>
                <c:pt idx="20">
                  <c:v>38.535041666666658</c:v>
                </c:pt>
                <c:pt idx="21">
                  <c:v>25.814751009421261</c:v>
                </c:pt>
                <c:pt idx="22">
                  <c:v>23.754583333333329</c:v>
                </c:pt>
                <c:pt idx="23">
                  <c:v>34.511129032258061</c:v>
                </c:pt>
                <c:pt idx="24">
                  <c:v>50.205107526881719</c:v>
                </c:pt>
                <c:pt idx="25">
                  <c:v>47.261502976190478</c:v>
                </c:pt>
                <c:pt idx="26">
                  <c:v>45.129446693657208</c:v>
                </c:pt>
                <c:pt idx="27">
                  <c:v>47.967111111111109</c:v>
                </c:pt>
                <c:pt idx="28">
                  <c:v>54.30756720430108</c:v>
                </c:pt>
                <c:pt idx="29">
                  <c:v>73.71981944444444</c:v>
                </c:pt>
                <c:pt idx="30">
                  <c:v>79.999247311827958</c:v>
                </c:pt>
                <c:pt idx="31">
                  <c:v>82.788763440860208</c:v>
                </c:pt>
                <c:pt idx="32">
                  <c:v>125.3637638888889</c:v>
                </c:pt>
                <c:pt idx="33">
                  <c:v>117.0398115746972</c:v>
                </c:pt>
                <c:pt idx="34">
                  <c:v>141.79758333333331</c:v>
                </c:pt>
                <c:pt idx="35">
                  <c:v>189.34932795698921</c:v>
                </c:pt>
                <c:pt idx="36">
                  <c:v>117.9946505376344</c:v>
                </c:pt>
                <c:pt idx="37">
                  <c:v>113.120744047619</c:v>
                </c:pt>
                <c:pt idx="38">
                  <c:v>235.8248448043185</c:v>
                </c:pt>
                <c:pt idx="39">
                  <c:v>163.63747222222219</c:v>
                </c:pt>
                <c:pt idx="40">
                  <c:v>171.85803763440859</c:v>
                </c:pt>
                <c:pt idx="41">
                  <c:v>214.43025</c:v>
                </c:pt>
                <c:pt idx="42">
                  <c:v>275.03817204301072</c:v>
                </c:pt>
                <c:pt idx="43">
                  <c:v>456.75034946236559</c:v>
                </c:pt>
                <c:pt idx="44">
                  <c:v>342.81965277777778</c:v>
                </c:pt>
                <c:pt idx="45">
                  <c:v>137.13172274562581</c:v>
                </c:pt>
                <c:pt idx="46">
                  <c:v>139.7042083333333</c:v>
                </c:pt>
                <c:pt idx="47">
                  <c:v>249.66561827956991</c:v>
                </c:pt>
                <c:pt idx="48">
                  <c:v>112.5418413978495</c:v>
                </c:pt>
                <c:pt idx="49">
                  <c:v>118.136130952381</c:v>
                </c:pt>
                <c:pt idx="50">
                  <c:v>99.113913630229419</c:v>
                </c:pt>
                <c:pt idx="51">
                  <c:v>96.270972222222227</c:v>
                </c:pt>
                <c:pt idx="52">
                  <c:v>73.965779569892476</c:v>
                </c:pt>
                <c:pt idx="53">
                  <c:v>92.495430555555558</c:v>
                </c:pt>
                <c:pt idx="54">
                  <c:v>64.811303763440861</c:v>
                </c:pt>
                <c:pt idx="55">
                  <c:v>85.967110215053765</c:v>
                </c:pt>
                <c:pt idx="56">
                  <c:v>84.739444444444445</c:v>
                </c:pt>
                <c:pt idx="57">
                  <c:v>60.105760430686409</c:v>
                </c:pt>
                <c:pt idx="58">
                  <c:v>88.154569444444448</c:v>
                </c:pt>
                <c:pt idx="59">
                  <c:v>69.482513440860217</c:v>
                </c:pt>
                <c:pt idx="60">
                  <c:v>74.714932795698928</c:v>
                </c:pt>
                <c:pt idx="61">
                  <c:v>58.633936781609187</c:v>
                </c:pt>
                <c:pt idx="62">
                  <c:v>61.226288798920379</c:v>
                </c:pt>
                <c:pt idx="63">
                  <c:v>59.164791666666673</c:v>
                </c:pt>
                <c:pt idx="64">
                  <c:v>58.516854838709683</c:v>
                </c:pt>
                <c:pt idx="65">
                  <c:v>63.753041666666668</c:v>
                </c:pt>
                <c:pt idx="66">
                  <c:v>62.030349462365592</c:v>
                </c:pt>
                <c:pt idx="67">
                  <c:v>72.95380376344086</c:v>
                </c:pt>
                <c:pt idx="68">
                  <c:v>71.713583333333332</c:v>
                </c:pt>
                <c:pt idx="69">
                  <c:v>76.7199730820996</c:v>
                </c:pt>
                <c:pt idx="70">
                  <c:v>95.904597222222222</c:v>
                </c:pt>
                <c:pt idx="71">
                  <c:v>91.83743279569893</c:v>
                </c:pt>
                <c:pt idx="72">
                  <c:v>97.965967741935472</c:v>
                </c:pt>
                <c:pt idx="73">
                  <c:v>112.8479613095238</c:v>
                </c:pt>
                <c:pt idx="74">
                  <c:v>84.348845117845116</c:v>
                </c:pt>
                <c:pt idx="75">
                  <c:v>75.160472222222225</c:v>
                </c:pt>
                <c:pt idx="76">
                  <c:v>64.233413978494625</c:v>
                </c:pt>
                <c:pt idx="77">
                  <c:v>58.784624999999998</c:v>
                </c:pt>
                <c:pt idx="78">
                  <c:v>82.801922043010748</c:v>
                </c:pt>
                <c:pt idx="79">
                  <c:v>73.473763440860225</c:v>
                </c:pt>
                <c:pt idx="80">
                  <c:v>72.398680555555558</c:v>
                </c:pt>
                <c:pt idx="81">
                  <c:v>78.421800134589503</c:v>
                </c:pt>
                <c:pt idx="82">
                  <c:v>92.873392361111115</c:v>
                </c:pt>
                <c:pt idx="83">
                  <c:v>82.437466397849462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4C6-BE4D-91AE-6910AA91F194}"/>
            </c:ext>
          </c:extLst>
        </c:ser>
        <c:ser>
          <c:idx val="1"/>
          <c:order val="1"/>
          <c:tx>
            <c:strRef>
              <c:f>'Electricity Price Data'!$C$1</c:f>
              <c:strCache>
                <c:ptCount val="1"/>
                <c:pt idx="0">
                  <c:v>DK2 Spot Price (EUR/MWh)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'Electricity Price Data'!$C$2:$C$85</c:f>
              <c:numCache>
                <c:formatCode>General</c:formatCode>
                <c:ptCount val="84"/>
                <c:pt idx="0">
                  <c:v>51.655026881720417</c:v>
                </c:pt>
                <c:pt idx="1">
                  <c:v>43.932946428571427</c:v>
                </c:pt>
                <c:pt idx="2">
                  <c:v>35.667354925775967</c:v>
                </c:pt>
                <c:pt idx="3">
                  <c:v>39.892097222222233</c:v>
                </c:pt>
                <c:pt idx="4">
                  <c:v>38.151397849462363</c:v>
                </c:pt>
                <c:pt idx="5">
                  <c:v>33.622236111111107</c:v>
                </c:pt>
                <c:pt idx="6">
                  <c:v>39.000174731182803</c:v>
                </c:pt>
                <c:pt idx="7">
                  <c:v>39.493172043010752</c:v>
                </c:pt>
                <c:pt idx="8">
                  <c:v>37.321347222222222</c:v>
                </c:pt>
                <c:pt idx="9">
                  <c:v>41.599353970390311</c:v>
                </c:pt>
                <c:pt idx="10">
                  <c:v>42.696444444444452</c:v>
                </c:pt>
                <c:pt idx="11">
                  <c:v>35.34711021505376</c:v>
                </c:pt>
                <c:pt idx="12">
                  <c:v>27.385241935483869</c:v>
                </c:pt>
                <c:pt idx="13">
                  <c:v>18.816997126436782</c:v>
                </c:pt>
                <c:pt idx="14">
                  <c:v>20.05249662618084</c:v>
                </c:pt>
                <c:pt idx="15">
                  <c:v>17.354861111111109</c:v>
                </c:pt>
                <c:pt idx="16">
                  <c:v>19.04407258064516</c:v>
                </c:pt>
                <c:pt idx="17">
                  <c:v>29.82329166666667</c:v>
                </c:pt>
                <c:pt idx="18">
                  <c:v>25.886680107526882</c:v>
                </c:pt>
                <c:pt idx="19">
                  <c:v>40.923817204301074</c:v>
                </c:pt>
                <c:pt idx="20">
                  <c:v>39.51423611111111</c:v>
                </c:pt>
                <c:pt idx="21">
                  <c:v>26.933512786002691</c:v>
                </c:pt>
                <c:pt idx="22">
                  <c:v>35.711347222222223</c:v>
                </c:pt>
                <c:pt idx="23">
                  <c:v>39.257150537634409</c:v>
                </c:pt>
                <c:pt idx="24">
                  <c:v>50.858951612903233</c:v>
                </c:pt>
                <c:pt idx="25">
                  <c:v>54.54806547619048</c:v>
                </c:pt>
                <c:pt idx="26">
                  <c:v>46.732213225371119</c:v>
                </c:pt>
                <c:pt idx="27">
                  <c:v>47.862958333333339</c:v>
                </c:pt>
                <c:pt idx="28">
                  <c:v>55.208803763440862</c:v>
                </c:pt>
                <c:pt idx="29">
                  <c:v>73.58690277777778</c:v>
                </c:pt>
                <c:pt idx="30">
                  <c:v>81.44088709677419</c:v>
                </c:pt>
                <c:pt idx="31">
                  <c:v>84.363548387096785</c:v>
                </c:pt>
                <c:pt idx="32">
                  <c:v>123.9021111111111</c:v>
                </c:pt>
                <c:pt idx="33">
                  <c:v>106.9322745625841</c:v>
                </c:pt>
                <c:pt idx="34">
                  <c:v>136.38005555555549</c:v>
                </c:pt>
                <c:pt idx="35">
                  <c:v>191.06861559139779</c:v>
                </c:pt>
                <c:pt idx="36">
                  <c:v>111.62209677419349</c:v>
                </c:pt>
                <c:pt idx="37">
                  <c:v>100.2914136904762</c:v>
                </c:pt>
                <c:pt idx="38">
                  <c:v>227.92036437246961</c:v>
                </c:pt>
                <c:pt idx="39">
                  <c:v>152.83280555555561</c:v>
                </c:pt>
                <c:pt idx="40">
                  <c:v>162.65841397849459</c:v>
                </c:pt>
                <c:pt idx="41">
                  <c:v>213.2331388888889</c:v>
                </c:pt>
                <c:pt idx="42">
                  <c:v>233.47774193548389</c:v>
                </c:pt>
                <c:pt idx="43">
                  <c:v>449.7688306451613</c:v>
                </c:pt>
                <c:pt idx="44">
                  <c:v>328.80015277777778</c:v>
                </c:pt>
                <c:pt idx="45">
                  <c:v>136.89783310901751</c:v>
                </c:pt>
                <c:pt idx="46">
                  <c:v>145.05780555555549</c:v>
                </c:pt>
                <c:pt idx="47">
                  <c:v>248.88206989247311</c:v>
                </c:pt>
                <c:pt idx="48">
                  <c:v>99.762889784946225</c:v>
                </c:pt>
                <c:pt idx="49">
                  <c:v>100.6489285714286</c:v>
                </c:pt>
                <c:pt idx="50">
                  <c:v>89.795614035087723</c:v>
                </c:pt>
                <c:pt idx="51">
                  <c:v>83.651124999999993</c:v>
                </c:pt>
                <c:pt idx="52">
                  <c:v>66.151747311827961</c:v>
                </c:pt>
                <c:pt idx="53">
                  <c:v>91.423152777777773</c:v>
                </c:pt>
                <c:pt idx="54">
                  <c:v>65.24004032258064</c:v>
                </c:pt>
                <c:pt idx="55">
                  <c:v>86.293736559139788</c:v>
                </c:pt>
                <c:pt idx="56">
                  <c:v>85.484125000000006</c:v>
                </c:pt>
                <c:pt idx="57">
                  <c:v>56.925814266487208</c:v>
                </c:pt>
                <c:pt idx="58">
                  <c:v>81.486041666666665</c:v>
                </c:pt>
                <c:pt idx="59">
                  <c:v>70.879731182795695</c:v>
                </c:pt>
                <c:pt idx="60">
                  <c:v>78.214811827956993</c:v>
                </c:pt>
                <c:pt idx="61">
                  <c:v>54.722241379310347</c:v>
                </c:pt>
                <c:pt idx="62">
                  <c:v>61.040863697705802</c:v>
                </c:pt>
                <c:pt idx="63">
                  <c:v>60.476708333333328</c:v>
                </c:pt>
                <c:pt idx="64">
                  <c:v>58.122983870967737</c:v>
                </c:pt>
                <c:pt idx="65">
                  <c:v>66.79098611111111</c:v>
                </c:pt>
                <c:pt idx="66">
                  <c:v>62.841706989247307</c:v>
                </c:pt>
                <c:pt idx="67">
                  <c:v>72.614260752688182</c:v>
                </c:pt>
                <c:pt idx="68">
                  <c:v>70.411833333333334</c:v>
                </c:pt>
                <c:pt idx="69">
                  <c:v>76.326123822341856</c:v>
                </c:pt>
                <c:pt idx="70">
                  <c:v>95.282694444444431</c:v>
                </c:pt>
                <c:pt idx="71">
                  <c:v>92.728158602150543</c:v>
                </c:pt>
                <c:pt idx="72">
                  <c:v>100.1237365591398</c:v>
                </c:pt>
                <c:pt idx="73">
                  <c:v>117.9355505952381</c:v>
                </c:pt>
                <c:pt idx="74">
                  <c:v>82.846865319865316</c:v>
                </c:pt>
                <c:pt idx="75">
                  <c:v>75.806652777777785</c:v>
                </c:pt>
                <c:pt idx="76">
                  <c:v>63.082553763440863</c:v>
                </c:pt>
                <c:pt idx="77">
                  <c:v>56.448249999999987</c:v>
                </c:pt>
                <c:pt idx="78">
                  <c:v>79.959690860215062</c:v>
                </c:pt>
                <c:pt idx="79">
                  <c:v>75.315497311827954</c:v>
                </c:pt>
                <c:pt idx="80">
                  <c:v>83.288930555555552</c:v>
                </c:pt>
                <c:pt idx="81">
                  <c:v>82.368075370121133</c:v>
                </c:pt>
                <c:pt idx="82">
                  <c:v>93.695572916666663</c:v>
                </c:pt>
                <c:pt idx="83">
                  <c:v>82.081528897849466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4C6-BE4D-91AE-6910AA91F1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DK1 De-seasonalised Price Series (Primary)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'Electricity Price Data'!$E$1</c:f>
              <c:strCache>
                <c:ptCount val="1"/>
                <c:pt idx="0">
                  <c:v>DK1 De-seasonalised Price (EUR/MWh)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'Electricity Price Data'!$E$2:$E$85</c:f>
              <c:numCache>
                <c:formatCode>General</c:formatCode>
                <c:ptCount val="84"/>
                <c:pt idx="0">
                  <c:v>-25.234738863287252</c:v>
                </c:pt>
                <c:pt idx="1">
                  <c:v>-30.100228272343401</c:v>
                </c:pt>
                <c:pt idx="2">
                  <c:v>-48.899358826358807</c:v>
                </c:pt>
                <c:pt idx="3">
                  <c:v>-31.760585317460279</c:v>
                </c:pt>
                <c:pt idx="4">
                  <c:v>-30.622649769585269</c:v>
                </c:pt>
                <c:pt idx="5">
                  <c:v>-47.454873015873012</c:v>
                </c:pt>
                <c:pt idx="6">
                  <c:v>-50.913813364055301</c:v>
                </c:pt>
                <c:pt idx="7">
                  <c:v>-82.754126344086018</c:v>
                </c:pt>
                <c:pt idx="8">
                  <c:v>-74.756714285714281</c:v>
                </c:pt>
                <c:pt idx="9">
                  <c:v>-37.87848634877907</c:v>
                </c:pt>
                <c:pt idx="10">
                  <c:v>-47.388359623015852</c:v>
                </c:pt>
                <c:pt idx="11">
                  <c:v>-73.290233294930886</c:v>
                </c:pt>
                <c:pt idx="12">
                  <c:v>-50.535841013824893</c:v>
                </c:pt>
                <c:pt idx="13">
                  <c:v>-55.329114766596277</c:v>
                </c:pt>
                <c:pt idx="14">
                  <c:v>-64.205890540258949</c:v>
                </c:pt>
                <c:pt idx="15">
                  <c:v>-56.295224206349168</c:v>
                </c:pt>
                <c:pt idx="16">
                  <c:v>-51.998173963133659</c:v>
                </c:pt>
                <c:pt idx="17">
                  <c:v>-54.057817460317452</c:v>
                </c:pt>
                <c:pt idx="18">
                  <c:v>-65.111555299539162</c:v>
                </c:pt>
                <c:pt idx="19">
                  <c:v>-86.080537634408586</c:v>
                </c:pt>
                <c:pt idx="20">
                  <c:v>-71.60053373015873</c:v>
                </c:pt>
                <c:pt idx="21">
                  <c:v>-50.411137761968838</c:v>
                </c:pt>
                <c:pt idx="22">
                  <c:v>-65.378845734126969</c:v>
                </c:pt>
                <c:pt idx="23">
                  <c:v>-72.821080069124434</c:v>
                </c:pt>
                <c:pt idx="24">
                  <c:v>-25.32527649769585</c:v>
                </c:pt>
                <c:pt idx="25">
                  <c:v>-25.652683629486251</c:v>
                </c:pt>
                <c:pt idx="26">
                  <c:v>-37.378171242013337</c:v>
                </c:pt>
                <c:pt idx="27">
                  <c:v>-22.861890873015842</c:v>
                </c:pt>
                <c:pt idx="28">
                  <c:v>-13.74459869431645</c:v>
                </c:pt>
                <c:pt idx="29">
                  <c:v>-6.6142757936507914</c:v>
                </c:pt>
                <c:pt idx="30">
                  <c:v>-9.731877880184328</c:v>
                </c:pt>
                <c:pt idx="31">
                  <c:v>-37.831061827956987</c:v>
                </c:pt>
                <c:pt idx="32">
                  <c:v>15.228188492063509</c:v>
                </c:pt>
                <c:pt idx="33">
                  <c:v>40.813922803307079</c:v>
                </c:pt>
                <c:pt idx="34">
                  <c:v>52.664154265873037</c:v>
                </c:pt>
                <c:pt idx="35">
                  <c:v>82.017118855606753</c:v>
                </c:pt>
                <c:pt idx="36">
                  <c:v>42.464266513056842</c:v>
                </c:pt>
                <c:pt idx="37">
                  <c:v>40.206557441942309</c:v>
                </c:pt>
                <c:pt idx="38">
                  <c:v>153.31722686864791</c:v>
                </c:pt>
                <c:pt idx="39">
                  <c:v>92.808470238095268</c:v>
                </c:pt>
                <c:pt idx="40">
                  <c:v>103.8058717357911</c:v>
                </c:pt>
                <c:pt idx="41">
                  <c:v>134.09615476190481</c:v>
                </c:pt>
                <c:pt idx="42">
                  <c:v>185.3070468509984</c:v>
                </c:pt>
                <c:pt idx="43">
                  <c:v>336.13052419354841</c:v>
                </c:pt>
                <c:pt idx="44">
                  <c:v>232.6840773809524</c:v>
                </c:pt>
                <c:pt idx="45">
                  <c:v>60.905833974235733</c:v>
                </c:pt>
                <c:pt idx="46">
                  <c:v>50.570779265873028</c:v>
                </c:pt>
                <c:pt idx="47">
                  <c:v>142.3334091781874</c:v>
                </c:pt>
                <c:pt idx="48">
                  <c:v>37.011457373271902</c:v>
                </c:pt>
                <c:pt idx="49">
                  <c:v>45.22194434670422</c:v>
                </c:pt>
                <c:pt idx="50">
                  <c:v>16.60629569455887</c:v>
                </c:pt>
                <c:pt idx="51">
                  <c:v>25.44197023809528</c:v>
                </c:pt>
                <c:pt idx="52">
                  <c:v>5.9136136712749447</c:v>
                </c:pt>
                <c:pt idx="53">
                  <c:v>12.161335317460329</c:v>
                </c:pt>
                <c:pt idx="54">
                  <c:v>-24.919821428571421</c:v>
                </c:pt>
                <c:pt idx="55">
                  <c:v>-34.65271505376343</c:v>
                </c:pt>
                <c:pt idx="56">
                  <c:v>-25.39613095238094</c:v>
                </c:pt>
                <c:pt idx="57">
                  <c:v>-16.12012834070369</c:v>
                </c:pt>
                <c:pt idx="58">
                  <c:v>-0.97885962301585039</c:v>
                </c:pt>
                <c:pt idx="59">
                  <c:v>-37.849695660522272</c:v>
                </c:pt>
                <c:pt idx="60">
                  <c:v>-0.81545122887864352</c:v>
                </c:pt>
                <c:pt idx="61">
                  <c:v>-14.280249824067541</c:v>
                </c:pt>
                <c:pt idx="62">
                  <c:v>-21.28132913675017</c:v>
                </c:pt>
                <c:pt idx="63">
                  <c:v>-11.664210317460279</c:v>
                </c:pt>
                <c:pt idx="64">
                  <c:v>-9.5353110599078548</c:v>
                </c:pt>
                <c:pt idx="65">
                  <c:v>-16.581053571428559</c:v>
                </c:pt>
                <c:pt idx="66">
                  <c:v>-27.70077572964669</c:v>
                </c:pt>
                <c:pt idx="67">
                  <c:v>-47.666021505376342</c:v>
                </c:pt>
                <c:pt idx="68">
                  <c:v>-38.421992063492063</c:v>
                </c:pt>
                <c:pt idx="69">
                  <c:v>0.49408431070949632</c:v>
                </c:pt>
                <c:pt idx="70">
                  <c:v>6.7711681547619236</c:v>
                </c:pt>
                <c:pt idx="71">
                  <c:v>-15.49477630568356</c:v>
                </c:pt>
                <c:pt idx="72">
                  <c:v>22.4355837173579</c:v>
                </c:pt>
                <c:pt idx="73">
                  <c:v>39.933774703847078</c:v>
                </c:pt>
                <c:pt idx="74">
                  <c:v>1.8412271821745629</c:v>
                </c:pt>
                <c:pt idx="75">
                  <c:v>4.3314702380952781</c:v>
                </c:pt>
                <c:pt idx="76">
                  <c:v>-3.818751920122907</c:v>
                </c:pt>
                <c:pt idx="77">
                  <c:v>-21.549470238095228</c:v>
                </c:pt>
                <c:pt idx="78">
                  <c:v>-6.9292031490015384</c:v>
                </c:pt>
                <c:pt idx="79">
                  <c:v>-47.14606182795697</c:v>
                </c:pt>
                <c:pt idx="80">
                  <c:v>-37.73689484126983</c:v>
                </c:pt>
                <c:pt idx="81">
                  <c:v>2.1959113631994001</c:v>
                </c:pt>
                <c:pt idx="82">
                  <c:v>3.7399632936508169</c:v>
                </c:pt>
                <c:pt idx="83">
                  <c:v>-24.89474270353303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098-6D43-A9E9-D4F8E2272F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  <c:txPr>
        <a:bodyPr/>
        <a:lstStyle/>
        <a:p>
          <a:pPr rtl="0">
            <a:defRPr/>
          </a:pPr>
          <a:endParaRPr lang="en-DK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Monthly Spot Prices - DK1 (Primary) and DK2 (Robustness)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'Electricity Price Data'!$B$1</c:f>
              <c:strCache>
                <c:ptCount val="1"/>
                <c:pt idx="0">
                  <c:v>DK1 Spot Price (EUR/MWh)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'Electricity Price Data'!$B$2:$B$85</c:f>
              <c:numCache>
                <c:formatCode>General</c:formatCode>
                <c:ptCount val="84"/>
                <c:pt idx="0">
                  <c:v>50.295645161290317</c:v>
                </c:pt>
                <c:pt idx="1">
                  <c:v>42.813958333333332</c:v>
                </c:pt>
                <c:pt idx="2">
                  <c:v>33.608259109311753</c:v>
                </c:pt>
                <c:pt idx="3">
                  <c:v>39.068416666666657</c:v>
                </c:pt>
                <c:pt idx="4">
                  <c:v>37.429516129032258</c:v>
                </c:pt>
                <c:pt idx="5">
                  <c:v>32.879222222222232</c:v>
                </c:pt>
                <c:pt idx="6">
                  <c:v>38.817311827956978</c:v>
                </c:pt>
                <c:pt idx="7">
                  <c:v>37.865698924731177</c:v>
                </c:pt>
                <c:pt idx="8">
                  <c:v>35.378861111111107</c:v>
                </c:pt>
                <c:pt idx="9">
                  <c:v>38.347402422611033</c:v>
                </c:pt>
                <c:pt idx="10">
                  <c:v>41.745069444444447</c:v>
                </c:pt>
                <c:pt idx="11">
                  <c:v>34.04197580645161</c:v>
                </c:pt>
                <c:pt idx="12">
                  <c:v>24.99454301075269</c:v>
                </c:pt>
                <c:pt idx="13">
                  <c:v>17.585071839080459</c:v>
                </c:pt>
                <c:pt idx="14">
                  <c:v>18.301727395411611</c:v>
                </c:pt>
                <c:pt idx="15">
                  <c:v>14.533777777777781</c:v>
                </c:pt>
                <c:pt idx="16">
                  <c:v>16.053991935483872</c:v>
                </c:pt>
                <c:pt idx="17">
                  <c:v>26.276277777777771</c:v>
                </c:pt>
                <c:pt idx="18">
                  <c:v>24.61956989247312</c:v>
                </c:pt>
                <c:pt idx="19">
                  <c:v>34.539287634408602</c:v>
                </c:pt>
                <c:pt idx="20">
                  <c:v>38.535041666666658</c:v>
                </c:pt>
                <c:pt idx="21">
                  <c:v>25.814751009421261</c:v>
                </c:pt>
                <c:pt idx="22">
                  <c:v>23.754583333333329</c:v>
                </c:pt>
                <c:pt idx="23">
                  <c:v>34.511129032258061</c:v>
                </c:pt>
                <c:pt idx="24">
                  <c:v>50.205107526881719</c:v>
                </c:pt>
                <c:pt idx="25">
                  <c:v>47.261502976190478</c:v>
                </c:pt>
                <c:pt idx="26">
                  <c:v>45.129446693657208</c:v>
                </c:pt>
                <c:pt idx="27">
                  <c:v>47.967111111111109</c:v>
                </c:pt>
                <c:pt idx="28">
                  <c:v>54.30756720430108</c:v>
                </c:pt>
                <c:pt idx="29">
                  <c:v>73.71981944444444</c:v>
                </c:pt>
                <c:pt idx="30">
                  <c:v>79.999247311827958</c:v>
                </c:pt>
                <c:pt idx="31">
                  <c:v>82.788763440860208</c:v>
                </c:pt>
                <c:pt idx="32">
                  <c:v>125.3637638888889</c:v>
                </c:pt>
                <c:pt idx="33">
                  <c:v>117.0398115746972</c:v>
                </c:pt>
                <c:pt idx="34">
                  <c:v>141.79758333333331</c:v>
                </c:pt>
                <c:pt idx="35">
                  <c:v>189.34932795698921</c:v>
                </c:pt>
                <c:pt idx="36">
                  <c:v>117.9946505376344</c:v>
                </c:pt>
                <c:pt idx="37">
                  <c:v>113.120744047619</c:v>
                </c:pt>
                <c:pt idx="38">
                  <c:v>235.8248448043185</c:v>
                </c:pt>
                <c:pt idx="39">
                  <c:v>163.63747222222219</c:v>
                </c:pt>
                <c:pt idx="40">
                  <c:v>171.85803763440859</c:v>
                </c:pt>
                <c:pt idx="41">
                  <c:v>214.43025</c:v>
                </c:pt>
                <c:pt idx="42">
                  <c:v>275.03817204301072</c:v>
                </c:pt>
                <c:pt idx="43">
                  <c:v>456.75034946236559</c:v>
                </c:pt>
                <c:pt idx="44">
                  <c:v>342.81965277777778</c:v>
                </c:pt>
                <c:pt idx="45">
                  <c:v>137.13172274562581</c:v>
                </c:pt>
                <c:pt idx="46">
                  <c:v>139.7042083333333</c:v>
                </c:pt>
                <c:pt idx="47">
                  <c:v>249.66561827956991</c:v>
                </c:pt>
                <c:pt idx="48">
                  <c:v>112.5418413978495</c:v>
                </c:pt>
                <c:pt idx="49">
                  <c:v>118.136130952381</c:v>
                </c:pt>
                <c:pt idx="50">
                  <c:v>99.113913630229419</c:v>
                </c:pt>
                <c:pt idx="51">
                  <c:v>96.270972222222227</c:v>
                </c:pt>
                <c:pt idx="52">
                  <c:v>73.965779569892476</c:v>
                </c:pt>
                <c:pt idx="53">
                  <c:v>92.495430555555558</c:v>
                </c:pt>
                <c:pt idx="54">
                  <c:v>64.811303763440861</c:v>
                </c:pt>
                <c:pt idx="55">
                  <c:v>85.967110215053765</c:v>
                </c:pt>
                <c:pt idx="56">
                  <c:v>84.739444444444445</c:v>
                </c:pt>
                <c:pt idx="57">
                  <c:v>60.105760430686409</c:v>
                </c:pt>
                <c:pt idx="58">
                  <c:v>88.154569444444448</c:v>
                </c:pt>
                <c:pt idx="59">
                  <c:v>69.482513440860217</c:v>
                </c:pt>
                <c:pt idx="60">
                  <c:v>74.714932795698928</c:v>
                </c:pt>
                <c:pt idx="61">
                  <c:v>58.633936781609187</c:v>
                </c:pt>
                <c:pt idx="62">
                  <c:v>61.226288798920379</c:v>
                </c:pt>
                <c:pt idx="63">
                  <c:v>59.164791666666673</c:v>
                </c:pt>
                <c:pt idx="64">
                  <c:v>58.516854838709683</c:v>
                </c:pt>
                <c:pt idx="65">
                  <c:v>63.753041666666668</c:v>
                </c:pt>
                <c:pt idx="66">
                  <c:v>62.030349462365592</c:v>
                </c:pt>
                <c:pt idx="67">
                  <c:v>72.95380376344086</c:v>
                </c:pt>
                <c:pt idx="68">
                  <c:v>71.713583333333332</c:v>
                </c:pt>
                <c:pt idx="69">
                  <c:v>76.7199730820996</c:v>
                </c:pt>
                <c:pt idx="70">
                  <c:v>95.904597222222222</c:v>
                </c:pt>
                <c:pt idx="71">
                  <c:v>91.83743279569893</c:v>
                </c:pt>
                <c:pt idx="72">
                  <c:v>97.965967741935472</c:v>
                </c:pt>
                <c:pt idx="73">
                  <c:v>112.8479613095238</c:v>
                </c:pt>
                <c:pt idx="74">
                  <c:v>84.348845117845116</c:v>
                </c:pt>
                <c:pt idx="75">
                  <c:v>75.160472222222225</c:v>
                </c:pt>
                <c:pt idx="76">
                  <c:v>64.233413978494625</c:v>
                </c:pt>
                <c:pt idx="77">
                  <c:v>58.784624999999998</c:v>
                </c:pt>
                <c:pt idx="78">
                  <c:v>82.801922043010748</c:v>
                </c:pt>
                <c:pt idx="79">
                  <c:v>73.473763440860225</c:v>
                </c:pt>
                <c:pt idx="80">
                  <c:v>72.398680555555558</c:v>
                </c:pt>
                <c:pt idx="81">
                  <c:v>78.421800134589503</c:v>
                </c:pt>
                <c:pt idx="82">
                  <c:v>92.873392361111115</c:v>
                </c:pt>
                <c:pt idx="83">
                  <c:v>82.437466397849462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491-974A-BD29-1A5BC4C9389F}"/>
            </c:ext>
          </c:extLst>
        </c:ser>
        <c:ser>
          <c:idx val="1"/>
          <c:order val="1"/>
          <c:tx>
            <c:strRef>
              <c:f>'Electricity Price Data'!$C$1</c:f>
              <c:strCache>
                <c:ptCount val="1"/>
                <c:pt idx="0">
                  <c:v>DK2 Spot Price (EUR/MWh)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'Electricity Price Data'!$C$2:$C$85</c:f>
              <c:numCache>
                <c:formatCode>General</c:formatCode>
                <c:ptCount val="84"/>
                <c:pt idx="0">
                  <c:v>51.655026881720417</c:v>
                </c:pt>
                <c:pt idx="1">
                  <c:v>43.932946428571427</c:v>
                </c:pt>
                <c:pt idx="2">
                  <c:v>35.667354925775967</c:v>
                </c:pt>
                <c:pt idx="3">
                  <c:v>39.892097222222233</c:v>
                </c:pt>
                <c:pt idx="4">
                  <c:v>38.151397849462363</c:v>
                </c:pt>
                <c:pt idx="5">
                  <c:v>33.622236111111107</c:v>
                </c:pt>
                <c:pt idx="6">
                  <c:v>39.000174731182803</c:v>
                </c:pt>
                <c:pt idx="7">
                  <c:v>39.493172043010752</c:v>
                </c:pt>
                <c:pt idx="8">
                  <c:v>37.321347222222222</c:v>
                </c:pt>
                <c:pt idx="9">
                  <c:v>41.599353970390311</c:v>
                </c:pt>
                <c:pt idx="10">
                  <c:v>42.696444444444452</c:v>
                </c:pt>
                <c:pt idx="11">
                  <c:v>35.34711021505376</c:v>
                </c:pt>
                <c:pt idx="12">
                  <c:v>27.385241935483869</c:v>
                </c:pt>
                <c:pt idx="13">
                  <c:v>18.816997126436782</c:v>
                </c:pt>
                <c:pt idx="14">
                  <c:v>20.05249662618084</c:v>
                </c:pt>
                <c:pt idx="15">
                  <c:v>17.354861111111109</c:v>
                </c:pt>
                <c:pt idx="16">
                  <c:v>19.04407258064516</c:v>
                </c:pt>
                <c:pt idx="17">
                  <c:v>29.82329166666667</c:v>
                </c:pt>
                <c:pt idx="18">
                  <c:v>25.886680107526882</c:v>
                </c:pt>
                <c:pt idx="19">
                  <c:v>40.923817204301074</c:v>
                </c:pt>
                <c:pt idx="20">
                  <c:v>39.51423611111111</c:v>
                </c:pt>
                <c:pt idx="21">
                  <c:v>26.933512786002691</c:v>
                </c:pt>
                <c:pt idx="22">
                  <c:v>35.711347222222223</c:v>
                </c:pt>
                <c:pt idx="23">
                  <c:v>39.257150537634409</c:v>
                </c:pt>
                <c:pt idx="24">
                  <c:v>50.858951612903233</c:v>
                </c:pt>
                <c:pt idx="25">
                  <c:v>54.54806547619048</c:v>
                </c:pt>
                <c:pt idx="26">
                  <c:v>46.732213225371119</c:v>
                </c:pt>
                <c:pt idx="27">
                  <c:v>47.862958333333339</c:v>
                </c:pt>
                <c:pt idx="28">
                  <c:v>55.208803763440862</c:v>
                </c:pt>
                <c:pt idx="29">
                  <c:v>73.58690277777778</c:v>
                </c:pt>
                <c:pt idx="30">
                  <c:v>81.44088709677419</c:v>
                </c:pt>
                <c:pt idx="31">
                  <c:v>84.363548387096785</c:v>
                </c:pt>
                <c:pt idx="32">
                  <c:v>123.9021111111111</c:v>
                </c:pt>
                <c:pt idx="33">
                  <c:v>106.9322745625841</c:v>
                </c:pt>
                <c:pt idx="34">
                  <c:v>136.38005555555549</c:v>
                </c:pt>
                <c:pt idx="35">
                  <c:v>191.06861559139779</c:v>
                </c:pt>
                <c:pt idx="36">
                  <c:v>111.62209677419349</c:v>
                </c:pt>
                <c:pt idx="37">
                  <c:v>100.2914136904762</c:v>
                </c:pt>
                <c:pt idx="38">
                  <c:v>227.92036437246961</c:v>
                </c:pt>
                <c:pt idx="39">
                  <c:v>152.83280555555561</c:v>
                </c:pt>
                <c:pt idx="40">
                  <c:v>162.65841397849459</c:v>
                </c:pt>
                <c:pt idx="41">
                  <c:v>213.2331388888889</c:v>
                </c:pt>
                <c:pt idx="42">
                  <c:v>233.47774193548389</c:v>
                </c:pt>
                <c:pt idx="43">
                  <c:v>449.7688306451613</c:v>
                </c:pt>
                <c:pt idx="44">
                  <c:v>328.80015277777778</c:v>
                </c:pt>
                <c:pt idx="45">
                  <c:v>136.89783310901751</c:v>
                </c:pt>
                <c:pt idx="46">
                  <c:v>145.05780555555549</c:v>
                </c:pt>
                <c:pt idx="47">
                  <c:v>248.88206989247311</c:v>
                </c:pt>
                <c:pt idx="48">
                  <c:v>99.762889784946225</c:v>
                </c:pt>
                <c:pt idx="49">
                  <c:v>100.6489285714286</c:v>
                </c:pt>
                <c:pt idx="50">
                  <c:v>89.795614035087723</c:v>
                </c:pt>
                <c:pt idx="51">
                  <c:v>83.651124999999993</c:v>
                </c:pt>
                <c:pt idx="52">
                  <c:v>66.151747311827961</c:v>
                </c:pt>
                <c:pt idx="53">
                  <c:v>91.423152777777773</c:v>
                </c:pt>
                <c:pt idx="54">
                  <c:v>65.24004032258064</c:v>
                </c:pt>
                <c:pt idx="55">
                  <c:v>86.293736559139788</c:v>
                </c:pt>
                <c:pt idx="56">
                  <c:v>85.484125000000006</c:v>
                </c:pt>
                <c:pt idx="57">
                  <c:v>56.925814266487208</c:v>
                </c:pt>
                <c:pt idx="58">
                  <c:v>81.486041666666665</c:v>
                </c:pt>
                <c:pt idx="59">
                  <c:v>70.879731182795695</c:v>
                </c:pt>
                <c:pt idx="60">
                  <c:v>78.214811827956993</c:v>
                </c:pt>
                <c:pt idx="61">
                  <c:v>54.722241379310347</c:v>
                </c:pt>
                <c:pt idx="62">
                  <c:v>61.040863697705802</c:v>
                </c:pt>
                <c:pt idx="63">
                  <c:v>60.476708333333328</c:v>
                </c:pt>
                <c:pt idx="64">
                  <c:v>58.122983870967737</c:v>
                </c:pt>
                <c:pt idx="65">
                  <c:v>66.79098611111111</c:v>
                </c:pt>
                <c:pt idx="66">
                  <c:v>62.841706989247307</c:v>
                </c:pt>
                <c:pt idx="67">
                  <c:v>72.614260752688182</c:v>
                </c:pt>
                <c:pt idx="68">
                  <c:v>70.411833333333334</c:v>
                </c:pt>
                <c:pt idx="69">
                  <c:v>76.326123822341856</c:v>
                </c:pt>
                <c:pt idx="70">
                  <c:v>95.282694444444431</c:v>
                </c:pt>
                <c:pt idx="71">
                  <c:v>92.728158602150543</c:v>
                </c:pt>
                <c:pt idx="72">
                  <c:v>100.1237365591398</c:v>
                </c:pt>
                <c:pt idx="73">
                  <c:v>117.9355505952381</c:v>
                </c:pt>
                <c:pt idx="74">
                  <c:v>82.846865319865316</c:v>
                </c:pt>
                <c:pt idx="75">
                  <c:v>75.806652777777785</c:v>
                </c:pt>
                <c:pt idx="76">
                  <c:v>63.082553763440863</c:v>
                </c:pt>
                <c:pt idx="77">
                  <c:v>56.448249999999987</c:v>
                </c:pt>
                <c:pt idx="78">
                  <c:v>79.959690860215062</c:v>
                </c:pt>
                <c:pt idx="79">
                  <c:v>75.315497311827954</c:v>
                </c:pt>
                <c:pt idx="80">
                  <c:v>83.288930555555552</c:v>
                </c:pt>
                <c:pt idx="81">
                  <c:v>82.368075370121133</c:v>
                </c:pt>
                <c:pt idx="82">
                  <c:v>93.695572916666663</c:v>
                </c:pt>
                <c:pt idx="83">
                  <c:v>82.081528897849466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491-974A-BD29-1A5BC4C938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DK1 De-seasonalised Price Series (Primary)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'Electricity Price Data'!$E$1</c:f>
              <c:strCache>
                <c:ptCount val="1"/>
                <c:pt idx="0">
                  <c:v>DK1 De-seasonalised Price (EUR/MWh)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'Electricity Price Data'!$E$2:$E$85</c:f>
              <c:numCache>
                <c:formatCode>General</c:formatCode>
                <c:ptCount val="84"/>
                <c:pt idx="0">
                  <c:v>-25.234738863287252</c:v>
                </c:pt>
                <c:pt idx="1">
                  <c:v>-30.100228272343401</c:v>
                </c:pt>
                <c:pt idx="2">
                  <c:v>-48.899358826358807</c:v>
                </c:pt>
                <c:pt idx="3">
                  <c:v>-31.760585317460279</c:v>
                </c:pt>
                <c:pt idx="4">
                  <c:v>-30.622649769585269</c:v>
                </c:pt>
                <c:pt idx="5">
                  <c:v>-47.454873015873012</c:v>
                </c:pt>
                <c:pt idx="6">
                  <c:v>-50.913813364055301</c:v>
                </c:pt>
                <c:pt idx="7">
                  <c:v>-82.754126344086018</c:v>
                </c:pt>
                <c:pt idx="8">
                  <c:v>-74.756714285714281</c:v>
                </c:pt>
                <c:pt idx="9">
                  <c:v>-37.87848634877907</c:v>
                </c:pt>
                <c:pt idx="10">
                  <c:v>-47.388359623015852</c:v>
                </c:pt>
                <c:pt idx="11">
                  <c:v>-73.290233294930886</c:v>
                </c:pt>
                <c:pt idx="12">
                  <c:v>-50.535841013824893</c:v>
                </c:pt>
                <c:pt idx="13">
                  <c:v>-55.329114766596277</c:v>
                </c:pt>
                <c:pt idx="14">
                  <c:v>-64.205890540258949</c:v>
                </c:pt>
                <c:pt idx="15">
                  <c:v>-56.295224206349168</c:v>
                </c:pt>
                <c:pt idx="16">
                  <c:v>-51.998173963133659</c:v>
                </c:pt>
                <c:pt idx="17">
                  <c:v>-54.057817460317452</c:v>
                </c:pt>
                <c:pt idx="18">
                  <c:v>-65.111555299539162</c:v>
                </c:pt>
                <c:pt idx="19">
                  <c:v>-86.080537634408586</c:v>
                </c:pt>
                <c:pt idx="20">
                  <c:v>-71.60053373015873</c:v>
                </c:pt>
                <c:pt idx="21">
                  <c:v>-50.411137761968838</c:v>
                </c:pt>
                <c:pt idx="22">
                  <c:v>-65.378845734126969</c:v>
                </c:pt>
                <c:pt idx="23">
                  <c:v>-72.821080069124434</c:v>
                </c:pt>
                <c:pt idx="24">
                  <c:v>-25.32527649769585</c:v>
                </c:pt>
                <c:pt idx="25">
                  <c:v>-25.652683629486251</c:v>
                </c:pt>
                <c:pt idx="26">
                  <c:v>-37.378171242013337</c:v>
                </c:pt>
                <c:pt idx="27">
                  <c:v>-22.861890873015842</c:v>
                </c:pt>
                <c:pt idx="28">
                  <c:v>-13.74459869431645</c:v>
                </c:pt>
                <c:pt idx="29">
                  <c:v>-6.6142757936507914</c:v>
                </c:pt>
                <c:pt idx="30">
                  <c:v>-9.731877880184328</c:v>
                </c:pt>
                <c:pt idx="31">
                  <c:v>-37.831061827956987</c:v>
                </c:pt>
                <c:pt idx="32">
                  <c:v>15.228188492063509</c:v>
                </c:pt>
                <c:pt idx="33">
                  <c:v>40.813922803307079</c:v>
                </c:pt>
                <c:pt idx="34">
                  <c:v>52.664154265873037</c:v>
                </c:pt>
                <c:pt idx="35">
                  <c:v>82.017118855606753</c:v>
                </c:pt>
                <c:pt idx="36">
                  <c:v>42.464266513056842</c:v>
                </c:pt>
                <c:pt idx="37">
                  <c:v>40.206557441942309</c:v>
                </c:pt>
                <c:pt idx="38">
                  <c:v>153.31722686864791</c:v>
                </c:pt>
                <c:pt idx="39">
                  <c:v>92.808470238095268</c:v>
                </c:pt>
                <c:pt idx="40">
                  <c:v>103.8058717357911</c:v>
                </c:pt>
                <c:pt idx="41">
                  <c:v>134.09615476190481</c:v>
                </c:pt>
                <c:pt idx="42">
                  <c:v>185.3070468509984</c:v>
                </c:pt>
                <c:pt idx="43">
                  <c:v>336.13052419354841</c:v>
                </c:pt>
                <c:pt idx="44">
                  <c:v>232.6840773809524</c:v>
                </c:pt>
                <c:pt idx="45">
                  <c:v>60.905833974235733</c:v>
                </c:pt>
                <c:pt idx="46">
                  <c:v>50.570779265873028</c:v>
                </c:pt>
                <c:pt idx="47">
                  <c:v>142.3334091781874</c:v>
                </c:pt>
                <c:pt idx="48">
                  <c:v>37.011457373271902</c:v>
                </c:pt>
                <c:pt idx="49">
                  <c:v>45.22194434670422</c:v>
                </c:pt>
                <c:pt idx="50">
                  <c:v>16.60629569455887</c:v>
                </c:pt>
                <c:pt idx="51">
                  <c:v>25.44197023809528</c:v>
                </c:pt>
                <c:pt idx="52">
                  <c:v>5.9136136712749447</c:v>
                </c:pt>
                <c:pt idx="53">
                  <c:v>12.161335317460329</c:v>
                </c:pt>
                <c:pt idx="54">
                  <c:v>-24.919821428571421</c:v>
                </c:pt>
                <c:pt idx="55">
                  <c:v>-34.65271505376343</c:v>
                </c:pt>
                <c:pt idx="56">
                  <c:v>-25.39613095238094</c:v>
                </c:pt>
                <c:pt idx="57">
                  <c:v>-16.12012834070369</c:v>
                </c:pt>
                <c:pt idx="58">
                  <c:v>-0.97885962301585039</c:v>
                </c:pt>
                <c:pt idx="59">
                  <c:v>-37.849695660522272</c:v>
                </c:pt>
                <c:pt idx="60">
                  <c:v>-0.81545122887864352</c:v>
                </c:pt>
                <c:pt idx="61">
                  <c:v>-14.280249824067541</c:v>
                </c:pt>
                <c:pt idx="62">
                  <c:v>-21.28132913675017</c:v>
                </c:pt>
                <c:pt idx="63">
                  <c:v>-11.664210317460279</c:v>
                </c:pt>
                <c:pt idx="64">
                  <c:v>-9.5353110599078548</c:v>
                </c:pt>
                <c:pt idx="65">
                  <c:v>-16.581053571428559</c:v>
                </c:pt>
                <c:pt idx="66">
                  <c:v>-27.70077572964669</c:v>
                </c:pt>
                <c:pt idx="67">
                  <c:v>-47.666021505376342</c:v>
                </c:pt>
                <c:pt idx="68">
                  <c:v>-38.421992063492063</c:v>
                </c:pt>
                <c:pt idx="69">
                  <c:v>0.49408431070949632</c:v>
                </c:pt>
                <c:pt idx="70">
                  <c:v>6.7711681547619236</c:v>
                </c:pt>
                <c:pt idx="71">
                  <c:v>-15.49477630568356</c:v>
                </c:pt>
                <c:pt idx="72">
                  <c:v>22.4355837173579</c:v>
                </c:pt>
                <c:pt idx="73">
                  <c:v>39.933774703847078</c:v>
                </c:pt>
                <c:pt idx="74">
                  <c:v>1.8412271821745629</c:v>
                </c:pt>
                <c:pt idx="75">
                  <c:v>4.3314702380952781</c:v>
                </c:pt>
                <c:pt idx="76">
                  <c:v>-3.818751920122907</c:v>
                </c:pt>
                <c:pt idx="77">
                  <c:v>-21.549470238095228</c:v>
                </c:pt>
                <c:pt idx="78">
                  <c:v>-6.9292031490015384</c:v>
                </c:pt>
                <c:pt idx="79">
                  <c:v>-47.14606182795697</c:v>
                </c:pt>
                <c:pt idx="80">
                  <c:v>-37.73689484126983</c:v>
                </c:pt>
                <c:pt idx="81">
                  <c:v>2.1959113631994001</c:v>
                </c:pt>
                <c:pt idx="82">
                  <c:v>3.7399632936508169</c:v>
                </c:pt>
                <c:pt idx="83">
                  <c:v>-24.89474270353303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C4A-744F-A02B-D7B3EEC542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  <c:txPr>
        <a:bodyPr/>
        <a:lstStyle/>
        <a:p>
          <a:pPr rtl="0">
            <a:defRPr/>
          </a:pPr>
          <a:endParaRPr lang="en-DK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Monthly Spot Prices - DK1 (Primary) and DK2 (Robustness)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'Electricity Price Data'!$B$1</c:f>
              <c:strCache>
                <c:ptCount val="1"/>
                <c:pt idx="0">
                  <c:v>DK1 Spot Price (EUR/MWh)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'Electricity Price Data'!$B$2:$B$85</c:f>
              <c:numCache>
                <c:formatCode>General</c:formatCode>
                <c:ptCount val="84"/>
                <c:pt idx="0">
                  <c:v>50.295645161290317</c:v>
                </c:pt>
                <c:pt idx="1">
                  <c:v>42.813958333333332</c:v>
                </c:pt>
                <c:pt idx="2">
                  <c:v>33.608259109311753</c:v>
                </c:pt>
                <c:pt idx="3">
                  <c:v>39.068416666666657</c:v>
                </c:pt>
                <c:pt idx="4">
                  <c:v>37.429516129032258</c:v>
                </c:pt>
                <c:pt idx="5">
                  <c:v>32.879222222222232</c:v>
                </c:pt>
                <c:pt idx="6">
                  <c:v>38.817311827956978</c:v>
                </c:pt>
                <c:pt idx="7">
                  <c:v>37.865698924731177</c:v>
                </c:pt>
                <c:pt idx="8">
                  <c:v>35.378861111111107</c:v>
                </c:pt>
                <c:pt idx="9">
                  <c:v>38.347402422611033</c:v>
                </c:pt>
                <c:pt idx="10">
                  <c:v>41.745069444444447</c:v>
                </c:pt>
                <c:pt idx="11">
                  <c:v>34.04197580645161</c:v>
                </c:pt>
                <c:pt idx="12">
                  <c:v>24.99454301075269</c:v>
                </c:pt>
                <c:pt idx="13">
                  <c:v>17.585071839080459</c:v>
                </c:pt>
                <c:pt idx="14">
                  <c:v>18.301727395411611</c:v>
                </c:pt>
                <c:pt idx="15">
                  <c:v>14.533777777777781</c:v>
                </c:pt>
                <c:pt idx="16">
                  <c:v>16.053991935483872</c:v>
                </c:pt>
                <c:pt idx="17">
                  <c:v>26.276277777777771</c:v>
                </c:pt>
                <c:pt idx="18">
                  <c:v>24.61956989247312</c:v>
                </c:pt>
                <c:pt idx="19">
                  <c:v>34.539287634408602</c:v>
                </c:pt>
                <c:pt idx="20">
                  <c:v>38.535041666666658</c:v>
                </c:pt>
                <c:pt idx="21">
                  <c:v>25.814751009421261</c:v>
                </c:pt>
                <c:pt idx="22">
                  <c:v>23.754583333333329</c:v>
                </c:pt>
                <c:pt idx="23">
                  <c:v>34.511129032258061</c:v>
                </c:pt>
                <c:pt idx="24">
                  <c:v>50.205107526881719</c:v>
                </c:pt>
                <c:pt idx="25">
                  <c:v>47.261502976190478</c:v>
                </c:pt>
                <c:pt idx="26">
                  <c:v>45.129446693657208</c:v>
                </c:pt>
                <c:pt idx="27">
                  <c:v>47.967111111111109</c:v>
                </c:pt>
                <c:pt idx="28">
                  <c:v>54.30756720430108</c:v>
                </c:pt>
                <c:pt idx="29">
                  <c:v>73.71981944444444</c:v>
                </c:pt>
                <c:pt idx="30">
                  <c:v>79.999247311827958</c:v>
                </c:pt>
                <c:pt idx="31">
                  <c:v>82.788763440860208</c:v>
                </c:pt>
                <c:pt idx="32">
                  <c:v>125.3637638888889</c:v>
                </c:pt>
                <c:pt idx="33">
                  <c:v>117.0398115746972</c:v>
                </c:pt>
                <c:pt idx="34">
                  <c:v>141.79758333333331</c:v>
                </c:pt>
                <c:pt idx="35">
                  <c:v>189.34932795698921</c:v>
                </c:pt>
                <c:pt idx="36">
                  <c:v>117.9946505376344</c:v>
                </c:pt>
                <c:pt idx="37">
                  <c:v>113.120744047619</c:v>
                </c:pt>
                <c:pt idx="38">
                  <c:v>235.8248448043185</c:v>
                </c:pt>
                <c:pt idx="39">
                  <c:v>163.63747222222219</c:v>
                </c:pt>
                <c:pt idx="40">
                  <c:v>171.85803763440859</c:v>
                </c:pt>
                <c:pt idx="41">
                  <c:v>214.43025</c:v>
                </c:pt>
                <c:pt idx="42">
                  <c:v>275.03817204301072</c:v>
                </c:pt>
                <c:pt idx="43">
                  <c:v>456.75034946236559</c:v>
                </c:pt>
                <c:pt idx="44">
                  <c:v>342.81965277777778</c:v>
                </c:pt>
                <c:pt idx="45">
                  <c:v>137.13172274562581</c:v>
                </c:pt>
                <c:pt idx="46">
                  <c:v>139.7042083333333</c:v>
                </c:pt>
                <c:pt idx="47">
                  <c:v>249.66561827956991</c:v>
                </c:pt>
                <c:pt idx="48">
                  <c:v>112.5418413978495</c:v>
                </c:pt>
                <c:pt idx="49">
                  <c:v>118.136130952381</c:v>
                </c:pt>
                <c:pt idx="50">
                  <c:v>99.113913630229419</c:v>
                </c:pt>
                <c:pt idx="51">
                  <c:v>96.270972222222227</c:v>
                </c:pt>
                <c:pt idx="52">
                  <c:v>73.965779569892476</c:v>
                </c:pt>
                <c:pt idx="53">
                  <c:v>92.495430555555558</c:v>
                </c:pt>
                <c:pt idx="54">
                  <c:v>64.811303763440861</c:v>
                </c:pt>
                <c:pt idx="55">
                  <c:v>85.967110215053765</c:v>
                </c:pt>
                <c:pt idx="56">
                  <c:v>84.739444444444445</c:v>
                </c:pt>
                <c:pt idx="57">
                  <c:v>60.105760430686409</c:v>
                </c:pt>
                <c:pt idx="58">
                  <c:v>88.154569444444448</c:v>
                </c:pt>
                <c:pt idx="59">
                  <c:v>69.482513440860217</c:v>
                </c:pt>
                <c:pt idx="60">
                  <c:v>74.714932795698928</c:v>
                </c:pt>
                <c:pt idx="61">
                  <c:v>58.633936781609187</c:v>
                </c:pt>
                <c:pt idx="62">
                  <c:v>61.226288798920379</c:v>
                </c:pt>
                <c:pt idx="63">
                  <c:v>59.164791666666673</c:v>
                </c:pt>
                <c:pt idx="64">
                  <c:v>58.516854838709683</c:v>
                </c:pt>
                <c:pt idx="65">
                  <c:v>63.753041666666668</c:v>
                </c:pt>
                <c:pt idx="66">
                  <c:v>62.030349462365592</c:v>
                </c:pt>
                <c:pt idx="67">
                  <c:v>72.95380376344086</c:v>
                </c:pt>
                <c:pt idx="68">
                  <c:v>71.713583333333332</c:v>
                </c:pt>
                <c:pt idx="69">
                  <c:v>76.7199730820996</c:v>
                </c:pt>
                <c:pt idx="70">
                  <c:v>95.904597222222222</c:v>
                </c:pt>
                <c:pt idx="71">
                  <c:v>91.83743279569893</c:v>
                </c:pt>
                <c:pt idx="72">
                  <c:v>97.965967741935472</c:v>
                </c:pt>
                <c:pt idx="73">
                  <c:v>112.8479613095238</c:v>
                </c:pt>
                <c:pt idx="74">
                  <c:v>84.348845117845116</c:v>
                </c:pt>
                <c:pt idx="75">
                  <c:v>75.160472222222225</c:v>
                </c:pt>
                <c:pt idx="76">
                  <c:v>64.233413978494625</c:v>
                </c:pt>
                <c:pt idx="77">
                  <c:v>58.784624999999998</c:v>
                </c:pt>
                <c:pt idx="78">
                  <c:v>82.801922043010748</c:v>
                </c:pt>
                <c:pt idx="79">
                  <c:v>73.473763440860225</c:v>
                </c:pt>
                <c:pt idx="80">
                  <c:v>72.398680555555558</c:v>
                </c:pt>
                <c:pt idx="81">
                  <c:v>78.421800134589503</c:v>
                </c:pt>
                <c:pt idx="82">
                  <c:v>92.873392361111115</c:v>
                </c:pt>
                <c:pt idx="83">
                  <c:v>82.437466397849462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DA-7246-81D8-19FE7B7BFC61}"/>
            </c:ext>
          </c:extLst>
        </c:ser>
        <c:ser>
          <c:idx val="1"/>
          <c:order val="1"/>
          <c:tx>
            <c:strRef>
              <c:f>'Electricity Price Data'!$C$1</c:f>
              <c:strCache>
                <c:ptCount val="1"/>
                <c:pt idx="0">
                  <c:v>DK2 Spot Price (EUR/MWh)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'Electricity Price Data'!$C$2:$C$85</c:f>
              <c:numCache>
                <c:formatCode>General</c:formatCode>
                <c:ptCount val="84"/>
                <c:pt idx="0">
                  <c:v>51.655026881720417</c:v>
                </c:pt>
                <c:pt idx="1">
                  <c:v>43.932946428571427</c:v>
                </c:pt>
                <c:pt idx="2">
                  <c:v>35.667354925775967</c:v>
                </c:pt>
                <c:pt idx="3">
                  <c:v>39.892097222222233</c:v>
                </c:pt>
                <c:pt idx="4">
                  <c:v>38.151397849462363</c:v>
                </c:pt>
                <c:pt idx="5">
                  <c:v>33.622236111111107</c:v>
                </c:pt>
                <c:pt idx="6">
                  <c:v>39.000174731182803</c:v>
                </c:pt>
                <c:pt idx="7">
                  <c:v>39.493172043010752</c:v>
                </c:pt>
                <c:pt idx="8">
                  <c:v>37.321347222222222</c:v>
                </c:pt>
                <c:pt idx="9">
                  <c:v>41.599353970390311</c:v>
                </c:pt>
                <c:pt idx="10">
                  <c:v>42.696444444444452</c:v>
                </c:pt>
                <c:pt idx="11">
                  <c:v>35.34711021505376</c:v>
                </c:pt>
                <c:pt idx="12">
                  <c:v>27.385241935483869</c:v>
                </c:pt>
                <c:pt idx="13">
                  <c:v>18.816997126436782</c:v>
                </c:pt>
                <c:pt idx="14">
                  <c:v>20.05249662618084</c:v>
                </c:pt>
                <c:pt idx="15">
                  <c:v>17.354861111111109</c:v>
                </c:pt>
                <c:pt idx="16">
                  <c:v>19.04407258064516</c:v>
                </c:pt>
                <c:pt idx="17">
                  <c:v>29.82329166666667</c:v>
                </c:pt>
                <c:pt idx="18">
                  <c:v>25.886680107526882</c:v>
                </c:pt>
                <c:pt idx="19">
                  <c:v>40.923817204301074</c:v>
                </c:pt>
                <c:pt idx="20">
                  <c:v>39.51423611111111</c:v>
                </c:pt>
                <c:pt idx="21">
                  <c:v>26.933512786002691</c:v>
                </c:pt>
                <c:pt idx="22">
                  <c:v>35.711347222222223</c:v>
                </c:pt>
                <c:pt idx="23">
                  <c:v>39.257150537634409</c:v>
                </c:pt>
                <c:pt idx="24">
                  <c:v>50.858951612903233</c:v>
                </c:pt>
                <c:pt idx="25">
                  <c:v>54.54806547619048</c:v>
                </c:pt>
                <c:pt idx="26">
                  <c:v>46.732213225371119</c:v>
                </c:pt>
                <c:pt idx="27">
                  <c:v>47.862958333333339</c:v>
                </c:pt>
                <c:pt idx="28">
                  <c:v>55.208803763440862</c:v>
                </c:pt>
                <c:pt idx="29">
                  <c:v>73.58690277777778</c:v>
                </c:pt>
                <c:pt idx="30">
                  <c:v>81.44088709677419</c:v>
                </c:pt>
                <c:pt idx="31">
                  <c:v>84.363548387096785</c:v>
                </c:pt>
                <c:pt idx="32">
                  <c:v>123.9021111111111</c:v>
                </c:pt>
                <c:pt idx="33">
                  <c:v>106.9322745625841</c:v>
                </c:pt>
                <c:pt idx="34">
                  <c:v>136.38005555555549</c:v>
                </c:pt>
                <c:pt idx="35">
                  <c:v>191.06861559139779</c:v>
                </c:pt>
                <c:pt idx="36">
                  <c:v>111.62209677419349</c:v>
                </c:pt>
                <c:pt idx="37">
                  <c:v>100.2914136904762</c:v>
                </c:pt>
                <c:pt idx="38">
                  <c:v>227.92036437246961</c:v>
                </c:pt>
                <c:pt idx="39">
                  <c:v>152.83280555555561</c:v>
                </c:pt>
                <c:pt idx="40">
                  <c:v>162.65841397849459</c:v>
                </c:pt>
                <c:pt idx="41">
                  <c:v>213.2331388888889</c:v>
                </c:pt>
                <c:pt idx="42">
                  <c:v>233.47774193548389</c:v>
                </c:pt>
                <c:pt idx="43">
                  <c:v>449.7688306451613</c:v>
                </c:pt>
                <c:pt idx="44">
                  <c:v>328.80015277777778</c:v>
                </c:pt>
                <c:pt idx="45">
                  <c:v>136.89783310901751</c:v>
                </c:pt>
                <c:pt idx="46">
                  <c:v>145.05780555555549</c:v>
                </c:pt>
                <c:pt idx="47">
                  <c:v>248.88206989247311</c:v>
                </c:pt>
                <c:pt idx="48">
                  <c:v>99.762889784946225</c:v>
                </c:pt>
                <c:pt idx="49">
                  <c:v>100.6489285714286</c:v>
                </c:pt>
                <c:pt idx="50">
                  <c:v>89.795614035087723</c:v>
                </c:pt>
                <c:pt idx="51">
                  <c:v>83.651124999999993</c:v>
                </c:pt>
                <c:pt idx="52">
                  <c:v>66.151747311827961</c:v>
                </c:pt>
                <c:pt idx="53">
                  <c:v>91.423152777777773</c:v>
                </c:pt>
                <c:pt idx="54">
                  <c:v>65.24004032258064</c:v>
                </c:pt>
                <c:pt idx="55">
                  <c:v>86.293736559139788</c:v>
                </c:pt>
                <c:pt idx="56">
                  <c:v>85.484125000000006</c:v>
                </c:pt>
                <c:pt idx="57">
                  <c:v>56.925814266487208</c:v>
                </c:pt>
                <c:pt idx="58">
                  <c:v>81.486041666666665</c:v>
                </c:pt>
                <c:pt idx="59">
                  <c:v>70.879731182795695</c:v>
                </c:pt>
                <c:pt idx="60">
                  <c:v>78.214811827956993</c:v>
                </c:pt>
                <c:pt idx="61">
                  <c:v>54.722241379310347</c:v>
                </c:pt>
                <c:pt idx="62">
                  <c:v>61.040863697705802</c:v>
                </c:pt>
                <c:pt idx="63">
                  <c:v>60.476708333333328</c:v>
                </c:pt>
                <c:pt idx="64">
                  <c:v>58.122983870967737</c:v>
                </c:pt>
                <c:pt idx="65">
                  <c:v>66.79098611111111</c:v>
                </c:pt>
                <c:pt idx="66">
                  <c:v>62.841706989247307</c:v>
                </c:pt>
                <c:pt idx="67">
                  <c:v>72.614260752688182</c:v>
                </c:pt>
                <c:pt idx="68">
                  <c:v>70.411833333333334</c:v>
                </c:pt>
                <c:pt idx="69">
                  <c:v>76.326123822341856</c:v>
                </c:pt>
                <c:pt idx="70">
                  <c:v>95.282694444444431</c:v>
                </c:pt>
                <c:pt idx="71">
                  <c:v>92.728158602150543</c:v>
                </c:pt>
                <c:pt idx="72">
                  <c:v>100.1237365591398</c:v>
                </c:pt>
                <c:pt idx="73">
                  <c:v>117.9355505952381</c:v>
                </c:pt>
                <c:pt idx="74">
                  <c:v>82.846865319865316</c:v>
                </c:pt>
                <c:pt idx="75">
                  <c:v>75.806652777777785</c:v>
                </c:pt>
                <c:pt idx="76">
                  <c:v>63.082553763440863</c:v>
                </c:pt>
                <c:pt idx="77">
                  <c:v>56.448249999999987</c:v>
                </c:pt>
                <c:pt idx="78">
                  <c:v>79.959690860215062</c:v>
                </c:pt>
                <c:pt idx="79">
                  <c:v>75.315497311827954</c:v>
                </c:pt>
                <c:pt idx="80">
                  <c:v>83.288930555555552</c:v>
                </c:pt>
                <c:pt idx="81">
                  <c:v>82.368075370121133</c:v>
                </c:pt>
                <c:pt idx="82">
                  <c:v>93.695572916666663</c:v>
                </c:pt>
                <c:pt idx="83">
                  <c:v>82.081528897849466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DA-7246-81D8-19FE7B7BFC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DK1 De-seasonalised Price Series (Primary)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'Electricity Price Data'!$E$1</c:f>
              <c:strCache>
                <c:ptCount val="1"/>
                <c:pt idx="0">
                  <c:v>DK1 De-seasonalised Price (EUR/MWh)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'Electricity Price Data'!$E$2:$E$85</c:f>
              <c:numCache>
                <c:formatCode>General</c:formatCode>
                <c:ptCount val="84"/>
                <c:pt idx="0">
                  <c:v>-25.234738863287252</c:v>
                </c:pt>
                <c:pt idx="1">
                  <c:v>-30.100228272343401</c:v>
                </c:pt>
                <c:pt idx="2">
                  <c:v>-48.899358826358807</c:v>
                </c:pt>
                <c:pt idx="3">
                  <c:v>-31.760585317460279</c:v>
                </c:pt>
                <c:pt idx="4">
                  <c:v>-30.622649769585269</c:v>
                </c:pt>
                <c:pt idx="5">
                  <c:v>-47.454873015873012</c:v>
                </c:pt>
                <c:pt idx="6">
                  <c:v>-50.913813364055301</c:v>
                </c:pt>
                <c:pt idx="7">
                  <c:v>-82.754126344086018</c:v>
                </c:pt>
                <c:pt idx="8">
                  <c:v>-74.756714285714281</c:v>
                </c:pt>
                <c:pt idx="9">
                  <c:v>-37.87848634877907</c:v>
                </c:pt>
                <c:pt idx="10">
                  <c:v>-47.388359623015852</c:v>
                </c:pt>
                <c:pt idx="11">
                  <c:v>-73.290233294930886</c:v>
                </c:pt>
                <c:pt idx="12">
                  <c:v>-50.535841013824893</c:v>
                </c:pt>
                <c:pt idx="13">
                  <c:v>-55.329114766596277</c:v>
                </c:pt>
                <c:pt idx="14">
                  <c:v>-64.205890540258949</c:v>
                </c:pt>
                <c:pt idx="15">
                  <c:v>-56.295224206349168</c:v>
                </c:pt>
                <c:pt idx="16">
                  <c:v>-51.998173963133659</c:v>
                </c:pt>
                <c:pt idx="17">
                  <c:v>-54.057817460317452</c:v>
                </c:pt>
                <c:pt idx="18">
                  <c:v>-65.111555299539162</c:v>
                </c:pt>
                <c:pt idx="19">
                  <c:v>-86.080537634408586</c:v>
                </c:pt>
                <c:pt idx="20">
                  <c:v>-71.60053373015873</c:v>
                </c:pt>
                <c:pt idx="21">
                  <c:v>-50.411137761968838</c:v>
                </c:pt>
                <c:pt idx="22">
                  <c:v>-65.378845734126969</c:v>
                </c:pt>
                <c:pt idx="23">
                  <c:v>-72.821080069124434</c:v>
                </c:pt>
                <c:pt idx="24">
                  <c:v>-25.32527649769585</c:v>
                </c:pt>
                <c:pt idx="25">
                  <c:v>-25.652683629486251</c:v>
                </c:pt>
                <c:pt idx="26">
                  <c:v>-37.378171242013337</c:v>
                </c:pt>
                <c:pt idx="27">
                  <c:v>-22.861890873015842</c:v>
                </c:pt>
                <c:pt idx="28">
                  <c:v>-13.74459869431645</c:v>
                </c:pt>
                <c:pt idx="29">
                  <c:v>-6.6142757936507914</c:v>
                </c:pt>
                <c:pt idx="30">
                  <c:v>-9.731877880184328</c:v>
                </c:pt>
                <c:pt idx="31">
                  <c:v>-37.831061827956987</c:v>
                </c:pt>
                <c:pt idx="32">
                  <c:v>15.228188492063509</c:v>
                </c:pt>
                <c:pt idx="33">
                  <c:v>40.813922803307079</c:v>
                </c:pt>
                <c:pt idx="34">
                  <c:v>52.664154265873037</c:v>
                </c:pt>
                <c:pt idx="35">
                  <c:v>82.017118855606753</c:v>
                </c:pt>
                <c:pt idx="36">
                  <c:v>42.464266513056842</c:v>
                </c:pt>
                <c:pt idx="37">
                  <c:v>40.206557441942309</c:v>
                </c:pt>
                <c:pt idx="38">
                  <c:v>153.31722686864791</c:v>
                </c:pt>
                <c:pt idx="39">
                  <c:v>92.808470238095268</c:v>
                </c:pt>
                <c:pt idx="40">
                  <c:v>103.8058717357911</c:v>
                </c:pt>
                <c:pt idx="41">
                  <c:v>134.09615476190481</c:v>
                </c:pt>
                <c:pt idx="42">
                  <c:v>185.3070468509984</c:v>
                </c:pt>
                <c:pt idx="43">
                  <c:v>336.13052419354841</c:v>
                </c:pt>
                <c:pt idx="44">
                  <c:v>232.6840773809524</c:v>
                </c:pt>
                <c:pt idx="45">
                  <c:v>60.905833974235733</c:v>
                </c:pt>
                <c:pt idx="46">
                  <c:v>50.570779265873028</c:v>
                </c:pt>
                <c:pt idx="47">
                  <c:v>142.3334091781874</c:v>
                </c:pt>
                <c:pt idx="48">
                  <c:v>37.011457373271902</c:v>
                </c:pt>
                <c:pt idx="49">
                  <c:v>45.22194434670422</c:v>
                </c:pt>
                <c:pt idx="50">
                  <c:v>16.60629569455887</c:v>
                </c:pt>
                <c:pt idx="51">
                  <c:v>25.44197023809528</c:v>
                </c:pt>
                <c:pt idx="52">
                  <c:v>5.9136136712749447</c:v>
                </c:pt>
                <c:pt idx="53">
                  <c:v>12.161335317460329</c:v>
                </c:pt>
                <c:pt idx="54">
                  <c:v>-24.919821428571421</c:v>
                </c:pt>
                <c:pt idx="55">
                  <c:v>-34.65271505376343</c:v>
                </c:pt>
                <c:pt idx="56">
                  <c:v>-25.39613095238094</c:v>
                </c:pt>
                <c:pt idx="57">
                  <c:v>-16.12012834070369</c:v>
                </c:pt>
                <c:pt idx="58">
                  <c:v>-0.97885962301585039</c:v>
                </c:pt>
                <c:pt idx="59">
                  <c:v>-37.849695660522272</c:v>
                </c:pt>
                <c:pt idx="60">
                  <c:v>-0.81545122887864352</c:v>
                </c:pt>
                <c:pt idx="61">
                  <c:v>-14.280249824067541</c:v>
                </c:pt>
                <c:pt idx="62">
                  <c:v>-21.28132913675017</c:v>
                </c:pt>
                <c:pt idx="63">
                  <c:v>-11.664210317460279</c:v>
                </c:pt>
                <c:pt idx="64">
                  <c:v>-9.5353110599078548</c:v>
                </c:pt>
                <c:pt idx="65">
                  <c:v>-16.581053571428559</c:v>
                </c:pt>
                <c:pt idx="66">
                  <c:v>-27.70077572964669</c:v>
                </c:pt>
                <c:pt idx="67">
                  <c:v>-47.666021505376342</c:v>
                </c:pt>
                <c:pt idx="68">
                  <c:v>-38.421992063492063</c:v>
                </c:pt>
                <c:pt idx="69">
                  <c:v>0.49408431070949632</c:v>
                </c:pt>
                <c:pt idx="70">
                  <c:v>6.7711681547619236</c:v>
                </c:pt>
                <c:pt idx="71">
                  <c:v>-15.49477630568356</c:v>
                </c:pt>
                <c:pt idx="72">
                  <c:v>22.4355837173579</c:v>
                </c:pt>
                <c:pt idx="73">
                  <c:v>39.933774703847078</c:v>
                </c:pt>
                <c:pt idx="74">
                  <c:v>1.8412271821745629</c:v>
                </c:pt>
                <c:pt idx="75">
                  <c:v>4.3314702380952781</c:v>
                </c:pt>
                <c:pt idx="76">
                  <c:v>-3.818751920122907</c:v>
                </c:pt>
                <c:pt idx="77">
                  <c:v>-21.549470238095228</c:v>
                </c:pt>
                <c:pt idx="78">
                  <c:v>-6.9292031490015384</c:v>
                </c:pt>
                <c:pt idx="79">
                  <c:v>-47.14606182795697</c:v>
                </c:pt>
                <c:pt idx="80">
                  <c:v>-37.73689484126983</c:v>
                </c:pt>
                <c:pt idx="81">
                  <c:v>2.1959113631994001</c:v>
                </c:pt>
                <c:pt idx="82">
                  <c:v>3.7399632936508169</c:v>
                </c:pt>
                <c:pt idx="83">
                  <c:v>-24.89474270353303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9FE-514D-9547-E5A9C0D40B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  <c:txPr>
        <a:bodyPr/>
        <a:lstStyle/>
        <a:p>
          <a:pPr rtl="0">
            <a:defRPr/>
          </a:pPr>
          <a:endParaRPr lang="en-DK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Monthly Spot Prices - DK1 (Primary) and DK2 (Robustness)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'Electricity Price Data'!$B$1</c:f>
              <c:strCache>
                <c:ptCount val="1"/>
                <c:pt idx="0">
                  <c:v>DK1 Spot Price (EUR/MWh)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'Electricity Price Data'!$B$2:$B$85</c:f>
              <c:numCache>
                <c:formatCode>General</c:formatCode>
                <c:ptCount val="84"/>
                <c:pt idx="0">
                  <c:v>50.295645161290317</c:v>
                </c:pt>
                <c:pt idx="1">
                  <c:v>42.813958333333332</c:v>
                </c:pt>
                <c:pt idx="2">
                  <c:v>33.608259109311753</c:v>
                </c:pt>
                <c:pt idx="3">
                  <c:v>39.068416666666657</c:v>
                </c:pt>
                <c:pt idx="4">
                  <c:v>37.429516129032258</c:v>
                </c:pt>
                <c:pt idx="5">
                  <c:v>32.879222222222232</c:v>
                </c:pt>
                <c:pt idx="6">
                  <c:v>38.817311827956978</c:v>
                </c:pt>
                <c:pt idx="7">
                  <c:v>37.865698924731177</c:v>
                </c:pt>
                <c:pt idx="8">
                  <c:v>35.378861111111107</c:v>
                </c:pt>
                <c:pt idx="9">
                  <c:v>38.347402422611033</c:v>
                </c:pt>
                <c:pt idx="10">
                  <c:v>41.745069444444447</c:v>
                </c:pt>
                <c:pt idx="11">
                  <c:v>34.04197580645161</c:v>
                </c:pt>
                <c:pt idx="12">
                  <c:v>24.99454301075269</c:v>
                </c:pt>
                <c:pt idx="13">
                  <c:v>17.585071839080459</c:v>
                </c:pt>
                <c:pt idx="14">
                  <c:v>18.301727395411611</c:v>
                </c:pt>
                <c:pt idx="15">
                  <c:v>14.533777777777781</c:v>
                </c:pt>
                <c:pt idx="16">
                  <c:v>16.053991935483872</c:v>
                </c:pt>
                <c:pt idx="17">
                  <c:v>26.276277777777771</c:v>
                </c:pt>
                <c:pt idx="18">
                  <c:v>24.61956989247312</c:v>
                </c:pt>
                <c:pt idx="19">
                  <c:v>34.539287634408602</c:v>
                </c:pt>
                <c:pt idx="20">
                  <c:v>38.535041666666658</c:v>
                </c:pt>
                <c:pt idx="21">
                  <c:v>25.814751009421261</c:v>
                </c:pt>
                <c:pt idx="22">
                  <c:v>23.754583333333329</c:v>
                </c:pt>
                <c:pt idx="23">
                  <c:v>34.511129032258061</c:v>
                </c:pt>
                <c:pt idx="24">
                  <c:v>50.205107526881719</c:v>
                </c:pt>
                <c:pt idx="25">
                  <c:v>47.261502976190478</c:v>
                </c:pt>
                <c:pt idx="26">
                  <c:v>45.129446693657208</c:v>
                </c:pt>
                <c:pt idx="27">
                  <c:v>47.967111111111109</c:v>
                </c:pt>
                <c:pt idx="28">
                  <c:v>54.30756720430108</c:v>
                </c:pt>
                <c:pt idx="29">
                  <c:v>73.71981944444444</c:v>
                </c:pt>
                <c:pt idx="30">
                  <c:v>79.999247311827958</c:v>
                </c:pt>
                <c:pt idx="31">
                  <c:v>82.788763440860208</c:v>
                </c:pt>
                <c:pt idx="32">
                  <c:v>125.3637638888889</c:v>
                </c:pt>
                <c:pt idx="33">
                  <c:v>117.0398115746972</c:v>
                </c:pt>
                <c:pt idx="34">
                  <c:v>141.79758333333331</c:v>
                </c:pt>
                <c:pt idx="35">
                  <c:v>189.34932795698921</c:v>
                </c:pt>
                <c:pt idx="36">
                  <c:v>117.9946505376344</c:v>
                </c:pt>
                <c:pt idx="37">
                  <c:v>113.120744047619</c:v>
                </c:pt>
                <c:pt idx="38">
                  <c:v>235.8248448043185</c:v>
                </c:pt>
                <c:pt idx="39">
                  <c:v>163.63747222222219</c:v>
                </c:pt>
                <c:pt idx="40">
                  <c:v>171.85803763440859</c:v>
                </c:pt>
                <c:pt idx="41">
                  <c:v>214.43025</c:v>
                </c:pt>
                <c:pt idx="42">
                  <c:v>275.03817204301072</c:v>
                </c:pt>
                <c:pt idx="43">
                  <c:v>456.75034946236559</c:v>
                </c:pt>
                <c:pt idx="44">
                  <c:v>342.81965277777778</c:v>
                </c:pt>
                <c:pt idx="45">
                  <c:v>137.13172274562581</c:v>
                </c:pt>
                <c:pt idx="46">
                  <c:v>139.7042083333333</c:v>
                </c:pt>
                <c:pt idx="47">
                  <c:v>249.66561827956991</c:v>
                </c:pt>
                <c:pt idx="48">
                  <c:v>112.5418413978495</c:v>
                </c:pt>
                <c:pt idx="49">
                  <c:v>118.136130952381</c:v>
                </c:pt>
                <c:pt idx="50">
                  <c:v>99.113913630229419</c:v>
                </c:pt>
                <c:pt idx="51">
                  <c:v>96.270972222222227</c:v>
                </c:pt>
                <c:pt idx="52">
                  <c:v>73.965779569892476</c:v>
                </c:pt>
                <c:pt idx="53">
                  <c:v>92.495430555555558</c:v>
                </c:pt>
                <c:pt idx="54">
                  <c:v>64.811303763440861</c:v>
                </c:pt>
                <c:pt idx="55">
                  <c:v>85.967110215053765</c:v>
                </c:pt>
                <c:pt idx="56">
                  <c:v>84.739444444444445</c:v>
                </c:pt>
                <c:pt idx="57">
                  <c:v>60.105760430686409</c:v>
                </c:pt>
                <c:pt idx="58">
                  <c:v>88.154569444444448</c:v>
                </c:pt>
                <c:pt idx="59">
                  <c:v>69.482513440860217</c:v>
                </c:pt>
                <c:pt idx="60">
                  <c:v>74.714932795698928</c:v>
                </c:pt>
                <c:pt idx="61">
                  <c:v>58.633936781609187</c:v>
                </c:pt>
                <c:pt idx="62">
                  <c:v>61.226288798920379</c:v>
                </c:pt>
                <c:pt idx="63">
                  <c:v>59.164791666666673</c:v>
                </c:pt>
                <c:pt idx="64">
                  <c:v>58.516854838709683</c:v>
                </c:pt>
                <c:pt idx="65">
                  <c:v>63.753041666666668</c:v>
                </c:pt>
                <c:pt idx="66">
                  <c:v>62.030349462365592</c:v>
                </c:pt>
                <c:pt idx="67">
                  <c:v>72.95380376344086</c:v>
                </c:pt>
                <c:pt idx="68">
                  <c:v>71.713583333333332</c:v>
                </c:pt>
                <c:pt idx="69">
                  <c:v>76.7199730820996</c:v>
                </c:pt>
                <c:pt idx="70">
                  <c:v>95.904597222222222</c:v>
                </c:pt>
                <c:pt idx="71">
                  <c:v>91.83743279569893</c:v>
                </c:pt>
                <c:pt idx="72">
                  <c:v>97.965967741935472</c:v>
                </c:pt>
                <c:pt idx="73">
                  <c:v>112.8479613095238</c:v>
                </c:pt>
                <c:pt idx="74">
                  <c:v>84.348845117845116</c:v>
                </c:pt>
                <c:pt idx="75">
                  <c:v>75.160472222222225</c:v>
                </c:pt>
                <c:pt idx="76">
                  <c:v>64.233413978494625</c:v>
                </c:pt>
                <c:pt idx="77">
                  <c:v>58.784624999999998</c:v>
                </c:pt>
                <c:pt idx="78">
                  <c:v>82.801922043010748</c:v>
                </c:pt>
                <c:pt idx="79">
                  <c:v>73.473763440860225</c:v>
                </c:pt>
                <c:pt idx="80">
                  <c:v>72.398680555555558</c:v>
                </c:pt>
                <c:pt idx="81">
                  <c:v>78.421800134589503</c:v>
                </c:pt>
                <c:pt idx="82">
                  <c:v>92.873392361111115</c:v>
                </c:pt>
                <c:pt idx="83">
                  <c:v>82.437466397849462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B73-4A4D-87D9-14AFADCFE820}"/>
            </c:ext>
          </c:extLst>
        </c:ser>
        <c:ser>
          <c:idx val="1"/>
          <c:order val="1"/>
          <c:tx>
            <c:strRef>
              <c:f>'Electricity Price Data'!$C$1</c:f>
              <c:strCache>
                <c:ptCount val="1"/>
                <c:pt idx="0">
                  <c:v>DK2 Spot Price (EUR/MWh)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'Electricity Price Data'!$C$2:$C$85</c:f>
              <c:numCache>
                <c:formatCode>General</c:formatCode>
                <c:ptCount val="84"/>
                <c:pt idx="0">
                  <c:v>51.655026881720417</c:v>
                </c:pt>
                <c:pt idx="1">
                  <c:v>43.932946428571427</c:v>
                </c:pt>
                <c:pt idx="2">
                  <c:v>35.667354925775967</c:v>
                </c:pt>
                <c:pt idx="3">
                  <c:v>39.892097222222233</c:v>
                </c:pt>
                <c:pt idx="4">
                  <c:v>38.151397849462363</c:v>
                </c:pt>
                <c:pt idx="5">
                  <c:v>33.622236111111107</c:v>
                </c:pt>
                <c:pt idx="6">
                  <c:v>39.000174731182803</c:v>
                </c:pt>
                <c:pt idx="7">
                  <c:v>39.493172043010752</c:v>
                </c:pt>
                <c:pt idx="8">
                  <c:v>37.321347222222222</c:v>
                </c:pt>
                <c:pt idx="9">
                  <c:v>41.599353970390311</c:v>
                </c:pt>
                <c:pt idx="10">
                  <c:v>42.696444444444452</c:v>
                </c:pt>
                <c:pt idx="11">
                  <c:v>35.34711021505376</c:v>
                </c:pt>
                <c:pt idx="12">
                  <c:v>27.385241935483869</c:v>
                </c:pt>
                <c:pt idx="13">
                  <c:v>18.816997126436782</c:v>
                </c:pt>
                <c:pt idx="14">
                  <c:v>20.05249662618084</c:v>
                </c:pt>
                <c:pt idx="15">
                  <c:v>17.354861111111109</c:v>
                </c:pt>
                <c:pt idx="16">
                  <c:v>19.04407258064516</c:v>
                </c:pt>
                <c:pt idx="17">
                  <c:v>29.82329166666667</c:v>
                </c:pt>
                <c:pt idx="18">
                  <c:v>25.886680107526882</c:v>
                </c:pt>
                <c:pt idx="19">
                  <c:v>40.923817204301074</c:v>
                </c:pt>
                <c:pt idx="20">
                  <c:v>39.51423611111111</c:v>
                </c:pt>
                <c:pt idx="21">
                  <c:v>26.933512786002691</c:v>
                </c:pt>
                <c:pt idx="22">
                  <c:v>35.711347222222223</c:v>
                </c:pt>
                <c:pt idx="23">
                  <c:v>39.257150537634409</c:v>
                </c:pt>
                <c:pt idx="24">
                  <c:v>50.858951612903233</c:v>
                </c:pt>
                <c:pt idx="25">
                  <c:v>54.54806547619048</c:v>
                </c:pt>
                <c:pt idx="26">
                  <c:v>46.732213225371119</c:v>
                </c:pt>
                <c:pt idx="27">
                  <c:v>47.862958333333339</c:v>
                </c:pt>
                <c:pt idx="28">
                  <c:v>55.208803763440862</c:v>
                </c:pt>
                <c:pt idx="29">
                  <c:v>73.58690277777778</c:v>
                </c:pt>
                <c:pt idx="30">
                  <c:v>81.44088709677419</c:v>
                </c:pt>
                <c:pt idx="31">
                  <c:v>84.363548387096785</c:v>
                </c:pt>
                <c:pt idx="32">
                  <c:v>123.9021111111111</c:v>
                </c:pt>
                <c:pt idx="33">
                  <c:v>106.9322745625841</c:v>
                </c:pt>
                <c:pt idx="34">
                  <c:v>136.38005555555549</c:v>
                </c:pt>
                <c:pt idx="35">
                  <c:v>191.06861559139779</c:v>
                </c:pt>
                <c:pt idx="36">
                  <c:v>111.62209677419349</c:v>
                </c:pt>
                <c:pt idx="37">
                  <c:v>100.2914136904762</c:v>
                </c:pt>
                <c:pt idx="38">
                  <c:v>227.92036437246961</c:v>
                </c:pt>
                <c:pt idx="39">
                  <c:v>152.83280555555561</c:v>
                </c:pt>
                <c:pt idx="40">
                  <c:v>162.65841397849459</c:v>
                </c:pt>
                <c:pt idx="41">
                  <c:v>213.2331388888889</c:v>
                </c:pt>
                <c:pt idx="42">
                  <c:v>233.47774193548389</c:v>
                </c:pt>
                <c:pt idx="43">
                  <c:v>449.7688306451613</c:v>
                </c:pt>
                <c:pt idx="44">
                  <c:v>328.80015277777778</c:v>
                </c:pt>
                <c:pt idx="45">
                  <c:v>136.89783310901751</c:v>
                </c:pt>
                <c:pt idx="46">
                  <c:v>145.05780555555549</c:v>
                </c:pt>
                <c:pt idx="47">
                  <c:v>248.88206989247311</c:v>
                </c:pt>
                <c:pt idx="48">
                  <c:v>99.762889784946225</c:v>
                </c:pt>
                <c:pt idx="49">
                  <c:v>100.6489285714286</c:v>
                </c:pt>
                <c:pt idx="50">
                  <c:v>89.795614035087723</c:v>
                </c:pt>
                <c:pt idx="51">
                  <c:v>83.651124999999993</c:v>
                </c:pt>
                <c:pt idx="52">
                  <c:v>66.151747311827961</c:v>
                </c:pt>
                <c:pt idx="53">
                  <c:v>91.423152777777773</c:v>
                </c:pt>
                <c:pt idx="54">
                  <c:v>65.24004032258064</c:v>
                </c:pt>
                <c:pt idx="55">
                  <c:v>86.293736559139788</c:v>
                </c:pt>
                <c:pt idx="56">
                  <c:v>85.484125000000006</c:v>
                </c:pt>
                <c:pt idx="57">
                  <c:v>56.925814266487208</c:v>
                </c:pt>
                <c:pt idx="58">
                  <c:v>81.486041666666665</c:v>
                </c:pt>
                <c:pt idx="59">
                  <c:v>70.879731182795695</c:v>
                </c:pt>
                <c:pt idx="60">
                  <c:v>78.214811827956993</c:v>
                </c:pt>
                <c:pt idx="61">
                  <c:v>54.722241379310347</c:v>
                </c:pt>
                <c:pt idx="62">
                  <c:v>61.040863697705802</c:v>
                </c:pt>
                <c:pt idx="63">
                  <c:v>60.476708333333328</c:v>
                </c:pt>
                <c:pt idx="64">
                  <c:v>58.122983870967737</c:v>
                </c:pt>
                <c:pt idx="65">
                  <c:v>66.79098611111111</c:v>
                </c:pt>
                <c:pt idx="66">
                  <c:v>62.841706989247307</c:v>
                </c:pt>
                <c:pt idx="67">
                  <c:v>72.614260752688182</c:v>
                </c:pt>
                <c:pt idx="68">
                  <c:v>70.411833333333334</c:v>
                </c:pt>
                <c:pt idx="69">
                  <c:v>76.326123822341856</c:v>
                </c:pt>
                <c:pt idx="70">
                  <c:v>95.282694444444431</c:v>
                </c:pt>
                <c:pt idx="71">
                  <c:v>92.728158602150543</c:v>
                </c:pt>
                <c:pt idx="72">
                  <c:v>100.1237365591398</c:v>
                </c:pt>
                <c:pt idx="73">
                  <c:v>117.9355505952381</c:v>
                </c:pt>
                <c:pt idx="74">
                  <c:v>82.846865319865316</c:v>
                </c:pt>
                <c:pt idx="75">
                  <c:v>75.806652777777785</c:v>
                </c:pt>
                <c:pt idx="76">
                  <c:v>63.082553763440863</c:v>
                </c:pt>
                <c:pt idx="77">
                  <c:v>56.448249999999987</c:v>
                </c:pt>
                <c:pt idx="78">
                  <c:v>79.959690860215062</c:v>
                </c:pt>
                <c:pt idx="79">
                  <c:v>75.315497311827954</c:v>
                </c:pt>
                <c:pt idx="80">
                  <c:v>83.288930555555552</c:v>
                </c:pt>
                <c:pt idx="81">
                  <c:v>82.368075370121133</c:v>
                </c:pt>
                <c:pt idx="82">
                  <c:v>93.695572916666663</c:v>
                </c:pt>
                <c:pt idx="83">
                  <c:v>82.081528897849466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B73-4A4D-87D9-14AFADCFE8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DK1 De-seasonalised Price Series (Primary)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'Electricity Price Data'!$E$1</c:f>
              <c:strCache>
                <c:ptCount val="1"/>
                <c:pt idx="0">
                  <c:v>DK1 De-seasonalised Price (EUR/MWh)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'Electricity Price Data'!$E$2:$E$85</c:f>
              <c:numCache>
                <c:formatCode>General</c:formatCode>
                <c:ptCount val="84"/>
                <c:pt idx="0">
                  <c:v>-25.234738863287252</c:v>
                </c:pt>
                <c:pt idx="1">
                  <c:v>-30.100228272343401</c:v>
                </c:pt>
                <c:pt idx="2">
                  <c:v>-48.899358826358807</c:v>
                </c:pt>
                <c:pt idx="3">
                  <c:v>-31.760585317460279</c:v>
                </c:pt>
                <c:pt idx="4">
                  <c:v>-30.622649769585269</c:v>
                </c:pt>
                <c:pt idx="5">
                  <c:v>-47.454873015873012</c:v>
                </c:pt>
                <c:pt idx="6">
                  <c:v>-50.913813364055301</c:v>
                </c:pt>
                <c:pt idx="7">
                  <c:v>-82.754126344086018</c:v>
                </c:pt>
                <c:pt idx="8">
                  <c:v>-74.756714285714281</c:v>
                </c:pt>
                <c:pt idx="9">
                  <c:v>-37.87848634877907</c:v>
                </c:pt>
                <c:pt idx="10">
                  <c:v>-47.388359623015852</c:v>
                </c:pt>
                <c:pt idx="11">
                  <c:v>-73.290233294930886</c:v>
                </c:pt>
                <c:pt idx="12">
                  <c:v>-50.535841013824893</c:v>
                </c:pt>
                <c:pt idx="13">
                  <c:v>-55.329114766596277</c:v>
                </c:pt>
                <c:pt idx="14">
                  <c:v>-64.205890540258949</c:v>
                </c:pt>
                <c:pt idx="15">
                  <c:v>-56.295224206349168</c:v>
                </c:pt>
                <c:pt idx="16">
                  <c:v>-51.998173963133659</c:v>
                </c:pt>
                <c:pt idx="17">
                  <c:v>-54.057817460317452</c:v>
                </c:pt>
                <c:pt idx="18">
                  <c:v>-65.111555299539162</c:v>
                </c:pt>
                <c:pt idx="19">
                  <c:v>-86.080537634408586</c:v>
                </c:pt>
                <c:pt idx="20">
                  <c:v>-71.60053373015873</c:v>
                </c:pt>
                <c:pt idx="21">
                  <c:v>-50.411137761968838</c:v>
                </c:pt>
                <c:pt idx="22">
                  <c:v>-65.378845734126969</c:v>
                </c:pt>
                <c:pt idx="23">
                  <c:v>-72.821080069124434</c:v>
                </c:pt>
                <c:pt idx="24">
                  <c:v>-25.32527649769585</c:v>
                </c:pt>
                <c:pt idx="25">
                  <c:v>-25.652683629486251</c:v>
                </c:pt>
                <c:pt idx="26">
                  <c:v>-37.378171242013337</c:v>
                </c:pt>
                <c:pt idx="27">
                  <c:v>-22.861890873015842</c:v>
                </c:pt>
                <c:pt idx="28">
                  <c:v>-13.74459869431645</c:v>
                </c:pt>
                <c:pt idx="29">
                  <c:v>-6.6142757936507914</c:v>
                </c:pt>
                <c:pt idx="30">
                  <c:v>-9.731877880184328</c:v>
                </c:pt>
                <c:pt idx="31">
                  <c:v>-37.831061827956987</c:v>
                </c:pt>
                <c:pt idx="32">
                  <c:v>15.228188492063509</c:v>
                </c:pt>
                <c:pt idx="33">
                  <c:v>40.813922803307079</c:v>
                </c:pt>
                <c:pt idx="34">
                  <c:v>52.664154265873037</c:v>
                </c:pt>
                <c:pt idx="35">
                  <c:v>82.017118855606753</c:v>
                </c:pt>
                <c:pt idx="36">
                  <c:v>42.464266513056842</c:v>
                </c:pt>
                <c:pt idx="37">
                  <c:v>40.206557441942309</c:v>
                </c:pt>
                <c:pt idx="38">
                  <c:v>153.31722686864791</c:v>
                </c:pt>
                <c:pt idx="39">
                  <c:v>92.808470238095268</c:v>
                </c:pt>
                <c:pt idx="40">
                  <c:v>103.8058717357911</c:v>
                </c:pt>
                <c:pt idx="41">
                  <c:v>134.09615476190481</c:v>
                </c:pt>
                <c:pt idx="42">
                  <c:v>185.3070468509984</c:v>
                </c:pt>
                <c:pt idx="43">
                  <c:v>336.13052419354841</c:v>
                </c:pt>
                <c:pt idx="44">
                  <c:v>232.6840773809524</c:v>
                </c:pt>
                <c:pt idx="45">
                  <c:v>60.905833974235733</c:v>
                </c:pt>
                <c:pt idx="46">
                  <c:v>50.570779265873028</c:v>
                </c:pt>
                <c:pt idx="47">
                  <c:v>142.3334091781874</c:v>
                </c:pt>
                <c:pt idx="48">
                  <c:v>37.011457373271902</c:v>
                </c:pt>
                <c:pt idx="49">
                  <c:v>45.22194434670422</c:v>
                </c:pt>
                <c:pt idx="50">
                  <c:v>16.60629569455887</c:v>
                </c:pt>
                <c:pt idx="51">
                  <c:v>25.44197023809528</c:v>
                </c:pt>
                <c:pt idx="52">
                  <c:v>5.9136136712749447</c:v>
                </c:pt>
                <c:pt idx="53">
                  <c:v>12.161335317460329</c:v>
                </c:pt>
                <c:pt idx="54">
                  <c:v>-24.919821428571421</c:v>
                </c:pt>
                <c:pt idx="55">
                  <c:v>-34.65271505376343</c:v>
                </c:pt>
                <c:pt idx="56">
                  <c:v>-25.39613095238094</c:v>
                </c:pt>
                <c:pt idx="57">
                  <c:v>-16.12012834070369</c:v>
                </c:pt>
                <c:pt idx="58">
                  <c:v>-0.97885962301585039</c:v>
                </c:pt>
                <c:pt idx="59">
                  <c:v>-37.849695660522272</c:v>
                </c:pt>
                <c:pt idx="60">
                  <c:v>-0.81545122887864352</c:v>
                </c:pt>
                <c:pt idx="61">
                  <c:v>-14.280249824067541</c:v>
                </c:pt>
                <c:pt idx="62">
                  <c:v>-21.28132913675017</c:v>
                </c:pt>
                <c:pt idx="63">
                  <c:v>-11.664210317460279</c:v>
                </c:pt>
                <c:pt idx="64">
                  <c:v>-9.5353110599078548</c:v>
                </c:pt>
                <c:pt idx="65">
                  <c:v>-16.581053571428559</c:v>
                </c:pt>
                <c:pt idx="66">
                  <c:v>-27.70077572964669</c:v>
                </c:pt>
                <c:pt idx="67">
                  <c:v>-47.666021505376342</c:v>
                </c:pt>
                <c:pt idx="68">
                  <c:v>-38.421992063492063</c:v>
                </c:pt>
                <c:pt idx="69">
                  <c:v>0.49408431070949632</c:v>
                </c:pt>
                <c:pt idx="70">
                  <c:v>6.7711681547619236</c:v>
                </c:pt>
                <c:pt idx="71">
                  <c:v>-15.49477630568356</c:v>
                </c:pt>
                <c:pt idx="72">
                  <c:v>22.4355837173579</c:v>
                </c:pt>
                <c:pt idx="73">
                  <c:v>39.933774703847078</c:v>
                </c:pt>
                <c:pt idx="74">
                  <c:v>1.8412271821745629</c:v>
                </c:pt>
                <c:pt idx="75">
                  <c:v>4.3314702380952781</c:v>
                </c:pt>
                <c:pt idx="76">
                  <c:v>-3.818751920122907</c:v>
                </c:pt>
                <c:pt idx="77">
                  <c:v>-21.549470238095228</c:v>
                </c:pt>
                <c:pt idx="78">
                  <c:v>-6.9292031490015384</c:v>
                </c:pt>
                <c:pt idx="79">
                  <c:v>-47.14606182795697</c:v>
                </c:pt>
                <c:pt idx="80">
                  <c:v>-37.73689484126983</c:v>
                </c:pt>
                <c:pt idx="81">
                  <c:v>2.1959113631994001</c:v>
                </c:pt>
                <c:pt idx="82">
                  <c:v>3.7399632936508169</c:v>
                </c:pt>
                <c:pt idx="83">
                  <c:v>-24.89474270353303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5A6-7643-A63B-64F0D443EF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  <c:txPr>
        <a:bodyPr/>
        <a:lstStyle/>
        <a:p>
          <a:pPr rtl="0">
            <a:defRPr/>
          </a:pPr>
          <a:endParaRPr lang="en-DK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Monthly Spot Prices - DK1 (Primary) and DK2 (Robustness)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'Electricity Price Data'!$B$1</c:f>
              <c:strCache>
                <c:ptCount val="1"/>
                <c:pt idx="0">
                  <c:v>DK1 Spot Price (EUR/MWh)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'Electricity Price Data'!$B$2:$B$85</c:f>
              <c:numCache>
                <c:formatCode>General</c:formatCode>
                <c:ptCount val="84"/>
                <c:pt idx="0">
                  <c:v>50.295645161290317</c:v>
                </c:pt>
                <c:pt idx="1">
                  <c:v>42.813958333333332</c:v>
                </c:pt>
                <c:pt idx="2">
                  <c:v>33.608259109311753</c:v>
                </c:pt>
                <c:pt idx="3">
                  <c:v>39.068416666666657</c:v>
                </c:pt>
                <c:pt idx="4">
                  <c:v>37.429516129032258</c:v>
                </c:pt>
                <c:pt idx="5">
                  <c:v>32.879222222222232</c:v>
                </c:pt>
                <c:pt idx="6">
                  <c:v>38.817311827956978</c:v>
                </c:pt>
                <c:pt idx="7">
                  <c:v>37.865698924731177</c:v>
                </c:pt>
                <c:pt idx="8">
                  <c:v>35.378861111111107</c:v>
                </c:pt>
                <c:pt idx="9">
                  <c:v>38.347402422611033</c:v>
                </c:pt>
                <c:pt idx="10">
                  <c:v>41.745069444444447</c:v>
                </c:pt>
                <c:pt idx="11">
                  <c:v>34.04197580645161</c:v>
                </c:pt>
                <c:pt idx="12">
                  <c:v>24.99454301075269</c:v>
                </c:pt>
                <c:pt idx="13">
                  <c:v>17.585071839080459</c:v>
                </c:pt>
                <c:pt idx="14">
                  <c:v>18.301727395411611</c:v>
                </c:pt>
                <c:pt idx="15">
                  <c:v>14.533777777777781</c:v>
                </c:pt>
                <c:pt idx="16">
                  <c:v>16.053991935483872</c:v>
                </c:pt>
                <c:pt idx="17">
                  <c:v>26.276277777777771</c:v>
                </c:pt>
                <c:pt idx="18">
                  <c:v>24.61956989247312</c:v>
                </c:pt>
                <c:pt idx="19">
                  <c:v>34.539287634408602</c:v>
                </c:pt>
                <c:pt idx="20">
                  <c:v>38.535041666666658</c:v>
                </c:pt>
                <c:pt idx="21">
                  <c:v>25.814751009421261</c:v>
                </c:pt>
                <c:pt idx="22">
                  <c:v>23.754583333333329</c:v>
                </c:pt>
                <c:pt idx="23">
                  <c:v>34.511129032258061</c:v>
                </c:pt>
                <c:pt idx="24">
                  <c:v>50.205107526881719</c:v>
                </c:pt>
                <c:pt idx="25">
                  <c:v>47.261502976190478</c:v>
                </c:pt>
                <c:pt idx="26">
                  <c:v>45.129446693657208</c:v>
                </c:pt>
                <c:pt idx="27">
                  <c:v>47.967111111111109</c:v>
                </c:pt>
                <c:pt idx="28">
                  <c:v>54.30756720430108</c:v>
                </c:pt>
                <c:pt idx="29">
                  <c:v>73.71981944444444</c:v>
                </c:pt>
                <c:pt idx="30">
                  <c:v>79.999247311827958</c:v>
                </c:pt>
                <c:pt idx="31">
                  <c:v>82.788763440860208</c:v>
                </c:pt>
                <c:pt idx="32">
                  <c:v>125.3637638888889</c:v>
                </c:pt>
                <c:pt idx="33">
                  <c:v>117.0398115746972</c:v>
                </c:pt>
                <c:pt idx="34">
                  <c:v>141.79758333333331</c:v>
                </c:pt>
                <c:pt idx="35">
                  <c:v>189.34932795698921</c:v>
                </c:pt>
                <c:pt idx="36">
                  <c:v>117.9946505376344</c:v>
                </c:pt>
                <c:pt idx="37">
                  <c:v>113.120744047619</c:v>
                </c:pt>
                <c:pt idx="38">
                  <c:v>235.8248448043185</c:v>
                </c:pt>
                <c:pt idx="39">
                  <c:v>163.63747222222219</c:v>
                </c:pt>
                <c:pt idx="40">
                  <c:v>171.85803763440859</c:v>
                </c:pt>
                <c:pt idx="41">
                  <c:v>214.43025</c:v>
                </c:pt>
                <c:pt idx="42">
                  <c:v>275.03817204301072</c:v>
                </c:pt>
                <c:pt idx="43">
                  <c:v>456.75034946236559</c:v>
                </c:pt>
                <c:pt idx="44">
                  <c:v>342.81965277777778</c:v>
                </c:pt>
                <c:pt idx="45">
                  <c:v>137.13172274562581</c:v>
                </c:pt>
                <c:pt idx="46">
                  <c:v>139.7042083333333</c:v>
                </c:pt>
                <c:pt idx="47">
                  <c:v>249.66561827956991</c:v>
                </c:pt>
                <c:pt idx="48">
                  <c:v>112.5418413978495</c:v>
                </c:pt>
                <c:pt idx="49">
                  <c:v>118.136130952381</c:v>
                </c:pt>
                <c:pt idx="50">
                  <c:v>99.113913630229419</c:v>
                </c:pt>
                <c:pt idx="51">
                  <c:v>96.270972222222227</c:v>
                </c:pt>
                <c:pt idx="52">
                  <c:v>73.965779569892476</c:v>
                </c:pt>
                <c:pt idx="53">
                  <c:v>92.495430555555558</c:v>
                </c:pt>
                <c:pt idx="54">
                  <c:v>64.811303763440861</c:v>
                </c:pt>
                <c:pt idx="55">
                  <c:v>85.967110215053765</c:v>
                </c:pt>
                <c:pt idx="56">
                  <c:v>84.739444444444445</c:v>
                </c:pt>
                <c:pt idx="57">
                  <c:v>60.105760430686409</c:v>
                </c:pt>
                <c:pt idx="58">
                  <c:v>88.154569444444448</c:v>
                </c:pt>
                <c:pt idx="59">
                  <c:v>69.482513440860217</c:v>
                </c:pt>
                <c:pt idx="60">
                  <c:v>74.714932795698928</c:v>
                </c:pt>
                <c:pt idx="61">
                  <c:v>58.633936781609187</c:v>
                </c:pt>
                <c:pt idx="62">
                  <c:v>61.226288798920379</c:v>
                </c:pt>
                <c:pt idx="63">
                  <c:v>59.164791666666673</c:v>
                </c:pt>
                <c:pt idx="64">
                  <c:v>58.516854838709683</c:v>
                </c:pt>
                <c:pt idx="65">
                  <c:v>63.753041666666668</c:v>
                </c:pt>
                <c:pt idx="66">
                  <c:v>62.030349462365592</c:v>
                </c:pt>
                <c:pt idx="67">
                  <c:v>72.95380376344086</c:v>
                </c:pt>
                <c:pt idx="68">
                  <c:v>71.713583333333332</c:v>
                </c:pt>
                <c:pt idx="69">
                  <c:v>76.7199730820996</c:v>
                </c:pt>
                <c:pt idx="70">
                  <c:v>95.904597222222222</c:v>
                </c:pt>
                <c:pt idx="71">
                  <c:v>91.83743279569893</c:v>
                </c:pt>
                <c:pt idx="72">
                  <c:v>97.965967741935472</c:v>
                </c:pt>
                <c:pt idx="73">
                  <c:v>112.8479613095238</c:v>
                </c:pt>
                <c:pt idx="74">
                  <c:v>84.348845117845116</c:v>
                </c:pt>
                <c:pt idx="75">
                  <c:v>75.160472222222225</c:v>
                </c:pt>
                <c:pt idx="76">
                  <c:v>64.233413978494625</c:v>
                </c:pt>
                <c:pt idx="77">
                  <c:v>58.784624999999998</c:v>
                </c:pt>
                <c:pt idx="78">
                  <c:v>82.801922043010748</c:v>
                </c:pt>
                <c:pt idx="79">
                  <c:v>73.473763440860225</c:v>
                </c:pt>
                <c:pt idx="80">
                  <c:v>72.398680555555558</c:v>
                </c:pt>
                <c:pt idx="81">
                  <c:v>78.421800134589503</c:v>
                </c:pt>
                <c:pt idx="82">
                  <c:v>92.873392361111115</c:v>
                </c:pt>
                <c:pt idx="83">
                  <c:v>82.437466397849462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AC4-4643-BAA4-D3151C99C99F}"/>
            </c:ext>
          </c:extLst>
        </c:ser>
        <c:ser>
          <c:idx val="1"/>
          <c:order val="1"/>
          <c:tx>
            <c:strRef>
              <c:f>'Electricity Price Data'!$C$1</c:f>
              <c:strCache>
                <c:ptCount val="1"/>
                <c:pt idx="0">
                  <c:v>DK2 Spot Price (EUR/MWh)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'Electricity Price Data'!$C$2:$C$85</c:f>
              <c:numCache>
                <c:formatCode>General</c:formatCode>
                <c:ptCount val="84"/>
                <c:pt idx="0">
                  <c:v>51.655026881720417</c:v>
                </c:pt>
                <c:pt idx="1">
                  <c:v>43.932946428571427</c:v>
                </c:pt>
                <c:pt idx="2">
                  <c:v>35.667354925775967</c:v>
                </c:pt>
                <c:pt idx="3">
                  <c:v>39.892097222222233</c:v>
                </c:pt>
                <c:pt idx="4">
                  <c:v>38.151397849462363</c:v>
                </c:pt>
                <c:pt idx="5">
                  <c:v>33.622236111111107</c:v>
                </c:pt>
                <c:pt idx="6">
                  <c:v>39.000174731182803</c:v>
                </c:pt>
                <c:pt idx="7">
                  <c:v>39.493172043010752</c:v>
                </c:pt>
                <c:pt idx="8">
                  <c:v>37.321347222222222</c:v>
                </c:pt>
                <c:pt idx="9">
                  <c:v>41.599353970390311</c:v>
                </c:pt>
                <c:pt idx="10">
                  <c:v>42.696444444444452</c:v>
                </c:pt>
                <c:pt idx="11">
                  <c:v>35.34711021505376</c:v>
                </c:pt>
                <c:pt idx="12">
                  <c:v>27.385241935483869</c:v>
                </c:pt>
                <c:pt idx="13">
                  <c:v>18.816997126436782</c:v>
                </c:pt>
                <c:pt idx="14">
                  <c:v>20.05249662618084</c:v>
                </c:pt>
                <c:pt idx="15">
                  <c:v>17.354861111111109</c:v>
                </c:pt>
                <c:pt idx="16">
                  <c:v>19.04407258064516</c:v>
                </c:pt>
                <c:pt idx="17">
                  <c:v>29.82329166666667</c:v>
                </c:pt>
                <c:pt idx="18">
                  <c:v>25.886680107526882</c:v>
                </c:pt>
                <c:pt idx="19">
                  <c:v>40.923817204301074</c:v>
                </c:pt>
                <c:pt idx="20">
                  <c:v>39.51423611111111</c:v>
                </c:pt>
                <c:pt idx="21">
                  <c:v>26.933512786002691</c:v>
                </c:pt>
                <c:pt idx="22">
                  <c:v>35.711347222222223</c:v>
                </c:pt>
                <c:pt idx="23">
                  <c:v>39.257150537634409</c:v>
                </c:pt>
                <c:pt idx="24">
                  <c:v>50.858951612903233</c:v>
                </c:pt>
                <c:pt idx="25">
                  <c:v>54.54806547619048</c:v>
                </c:pt>
                <c:pt idx="26">
                  <c:v>46.732213225371119</c:v>
                </c:pt>
                <c:pt idx="27">
                  <c:v>47.862958333333339</c:v>
                </c:pt>
                <c:pt idx="28">
                  <c:v>55.208803763440862</c:v>
                </c:pt>
                <c:pt idx="29">
                  <c:v>73.58690277777778</c:v>
                </c:pt>
                <c:pt idx="30">
                  <c:v>81.44088709677419</c:v>
                </c:pt>
                <c:pt idx="31">
                  <c:v>84.363548387096785</c:v>
                </c:pt>
                <c:pt idx="32">
                  <c:v>123.9021111111111</c:v>
                </c:pt>
                <c:pt idx="33">
                  <c:v>106.9322745625841</c:v>
                </c:pt>
                <c:pt idx="34">
                  <c:v>136.38005555555549</c:v>
                </c:pt>
                <c:pt idx="35">
                  <c:v>191.06861559139779</c:v>
                </c:pt>
                <c:pt idx="36">
                  <c:v>111.62209677419349</c:v>
                </c:pt>
                <c:pt idx="37">
                  <c:v>100.2914136904762</c:v>
                </c:pt>
                <c:pt idx="38">
                  <c:v>227.92036437246961</c:v>
                </c:pt>
                <c:pt idx="39">
                  <c:v>152.83280555555561</c:v>
                </c:pt>
                <c:pt idx="40">
                  <c:v>162.65841397849459</c:v>
                </c:pt>
                <c:pt idx="41">
                  <c:v>213.2331388888889</c:v>
                </c:pt>
                <c:pt idx="42">
                  <c:v>233.47774193548389</c:v>
                </c:pt>
                <c:pt idx="43">
                  <c:v>449.7688306451613</c:v>
                </c:pt>
                <c:pt idx="44">
                  <c:v>328.80015277777778</c:v>
                </c:pt>
                <c:pt idx="45">
                  <c:v>136.89783310901751</c:v>
                </c:pt>
                <c:pt idx="46">
                  <c:v>145.05780555555549</c:v>
                </c:pt>
                <c:pt idx="47">
                  <c:v>248.88206989247311</c:v>
                </c:pt>
                <c:pt idx="48">
                  <c:v>99.762889784946225</c:v>
                </c:pt>
                <c:pt idx="49">
                  <c:v>100.6489285714286</c:v>
                </c:pt>
                <c:pt idx="50">
                  <c:v>89.795614035087723</c:v>
                </c:pt>
                <c:pt idx="51">
                  <c:v>83.651124999999993</c:v>
                </c:pt>
                <c:pt idx="52">
                  <c:v>66.151747311827961</c:v>
                </c:pt>
                <c:pt idx="53">
                  <c:v>91.423152777777773</c:v>
                </c:pt>
                <c:pt idx="54">
                  <c:v>65.24004032258064</c:v>
                </c:pt>
                <c:pt idx="55">
                  <c:v>86.293736559139788</c:v>
                </c:pt>
                <c:pt idx="56">
                  <c:v>85.484125000000006</c:v>
                </c:pt>
                <c:pt idx="57">
                  <c:v>56.925814266487208</c:v>
                </c:pt>
                <c:pt idx="58">
                  <c:v>81.486041666666665</c:v>
                </c:pt>
                <c:pt idx="59">
                  <c:v>70.879731182795695</c:v>
                </c:pt>
                <c:pt idx="60">
                  <c:v>78.214811827956993</c:v>
                </c:pt>
                <c:pt idx="61">
                  <c:v>54.722241379310347</c:v>
                </c:pt>
                <c:pt idx="62">
                  <c:v>61.040863697705802</c:v>
                </c:pt>
                <c:pt idx="63">
                  <c:v>60.476708333333328</c:v>
                </c:pt>
                <c:pt idx="64">
                  <c:v>58.122983870967737</c:v>
                </c:pt>
                <c:pt idx="65">
                  <c:v>66.79098611111111</c:v>
                </c:pt>
                <c:pt idx="66">
                  <c:v>62.841706989247307</c:v>
                </c:pt>
                <c:pt idx="67">
                  <c:v>72.614260752688182</c:v>
                </c:pt>
                <c:pt idx="68">
                  <c:v>70.411833333333334</c:v>
                </c:pt>
                <c:pt idx="69">
                  <c:v>76.326123822341856</c:v>
                </c:pt>
                <c:pt idx="70">
                  <c:v>95.282694444444431</c:v>
                </c:pt>
                <c:pt idx="71">
                  <c:v>92.728158602150543</c:v>
                </c:pt>
                <c:pt idx="72">
                  <c:v>100.1237365591398</c:v>
                </c:pt>
                <c:pt idx="73">
                  <c:v>117.9355505952381</c:v>
                </c:pt>
                <c:pt idx="74">
                  <c:v>82.846865319865316</c:v>
                </c:pt>
                <c:pt idx="75">
                  <c:v>75.806652777777785</c:v>
                </c:pt>
                <c:pt idx="76">
                  <c:v>63.082553763440863</c:v>
                </c:pt>
                <c:pt idx="77">
                  <c:v>56.448249999999987</c:v>
                </c:pt>
                <c:pt idx="78">
                  <c:v>79.959690860215062</c:v>
                </c:pt>
                <c:pt idx="79">
                  <c:v>75.315497311827954</c:v>
                </c:pt>
                <c:pt idx="80">
                  <c:v>83.288930555555552</c:v>
                </c:pt>
                <c:pt idx="81">
                  <c:v>82.368075370121133</c:v>
                </c:pt>
                <c:pt idx="82">
                  <c:v>93.695572916666663</c:v>
                </c:pt>
                <c:pt idx="83">
                  <c:v>82.081528897849466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AC4-4643-BAA4-D3151C99C9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DK1 De-seasonalised Price Series (Primary)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'Electricity Price Data'!$E$1</c:f>
              <c:strCache>
                <c:ptCount val="1"/>
                <c:pt idx="0">
                  <c:v>DK1 De-seasonalised Price (EUR/MWh)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'Electricity Price Data'!$E$2:$E$85</c:f>
              <c:numCache>
                <c:formatCode>General</c:formatCode>
                <c:ptCount val="84"/>
                <c:pt idx="0">
                  <c:v>-25.234738863287252</c:v>
                </c:pt>
                <c:pt idx="1">
                  <c:v>-30.100228272343401</c:v>
                </c:pt>
                <c:pt idx="2">
                  <c:v>-48.899358826358807</c:v>
                </c:pt>
                <c:pt idx="3">
                  <c:v>-31.760585317460279</c:v>
                </c:pt>
                <c:pt idx="4">
                  <c:v>-30.622649769585269</c:v>
                </c:pt>
                <c:pt idx="5">
                  <c:v>-47.454873015873012</c:v>
                </c:pt>
                <c:pt idx="6">
                  <c:v>-50.913813364055301</c:v>
                </c:pt>
                <c:pt idx="7">
                  <c:v>-82.754126344086018</c:v>
                </c:pt>
                <c:pt idx="8">
                  <c:v>-74.756714285714281</c:v>
                </c:pt>
                <c:pt idx="9">
                  <c:v>-37.87848634877907</c:v>
                </c:pt>
                <c:pt idx="10">
                  <c:v>-47.388359623015852</c:v>
                </c:pt>
                <c:pt idx="11">
                  <c:v>-73.290233294930886</c:v>
                </c:pt>
                <c:pt idx="12">
                  <c:v>-50.535841013824893</c:v>
                </c:pt>
                <c:pt idx="13">
                  <c:v>-55.329114766596277</c:v>
                </c:pt>
                <c:pt idx="14">
                  <c:v>-64.205890540258949</c:v>
                </c:pt>
                <c:pt idx="15">
                  <c:v>-56.295224206349168</c:v>
                </c:pt>
                <c:pt idx="16">
                  <c:v>-51.998173963133659</c:v>
                </c:pt>
                <c:pt idx="17">
                  <c:v>-54.057817460317452</c:v>
                </c:pt>
                <c:pt idx="18">
                  <c:v>-65.111555299539162</c:v>
                </c:pt>
                <c:pt idx="19">
                  <c:v>-86.080537634408586</c:v>
                </c:pt>
                <c:pt idx="20">
                  <c:v>-71.60053373015873</c:v>
                </c:pt>
                <c:pt idx="21">
                  <c:v>-50.411137761968838</c:v>
                </c:pt>
                <c:pt idx="22">
                  <c:v>-65.378845734126969</c:v>
                </c:pt>
                <c:pt idx="23">
                  <c:v>-72.821080069124434</c:v>
                </c:pt>
                <c:pt idx="24">
                  <c:v>-25.32527649769585</c:v>
                </c:pt>
                <c:pt idx="25">
                  <c:v>-25.652683629486251</c:v>
                </c:pt>
                <c:pt idx="26">
                  <c:v>-37.378171242013337</c:v>
                </c:pt>
                <c:pt idx="27">
                  <c:v>-22.861890873015842</c:v>
                </c:pt>
                <c:pt idx="28">
                  <c:v>-13.74459869431645</c:v>
                </c:pt>
                <c:pt idx="29">
                  <c:v>-6.6142757936507914</c:v>
                </c:pt>
                <c:pt idx="30">
                  <c:v>-9.731877880184328</c:v>
                </c:pt>
                <c:pt idx="31">
                  <c:v>-37.831061827956987</c:v>
                </c:pt>
                <c:pt idx="32">
                  <c:v>15.228188492063509</c:v>
                </c:pt>
                <c:pt idx="33">
                  <c:v>40.813922803307079</c:v>
                </c:pt>
                <c:pt idx="34">
                  <c:v>52.664154265873037</c:v>
                </c:pt>
                <c:pt idx="35">
                  <c:v>82.017118855606753</c:v>
                </c:pt>
                <c:pt idx="36">
                  <c:v>42.464266513056842</c:v>
                </c:pt>
                <c:pt idx="37">
                  <c:v>40.206557441942309</c:v>
                </c:pt>
                <c:pt idx="38">
                  <c:v>153.31722686864791</c:v>
                </c:pt>
                <c:pt idx="39">
                  <c:v>92.808470238095268</c:v>
                </c:pt>
                <c:pt idx="40">
                  <c:v>103.8058717357911</c:v>
                </c:pt>
                <c:pt idx="41">
                  <c:v>134.09615476190481</c:v>
                </c:pt>
                <c:pt idx="42">
                  <c:v>185.3070468509984</c:v>
                </c:pt>
                <c:pt idx="43">
                  <c:v>336.13052419354841</c:v>
                </c:pt>
                <c:pt idx="44">
                  <c:v>232.6840773809524</c:v>
                </c:pt>
                <c:pt idx="45">
                  <c:v>60.905833974235733</c:v>
                </c:pt>
                <c:pt idx="46">
                  <c:v>50.570779265873028</c:v>
                </c:pt>
                <c:pt idx="47">
                  <c:v>142.3334091781874</c:v>
                </c:pt>
                <c:pt idx="48">
                  <c:v>37.011457373271902</c:v>
                </c:pt>
                <c:pt idx="49">
                  <c:v>45.22194434670422</c:v>
                </c:pt>
                <c:pt idx="50">
                  <c:v>16.60629569455887</c:v>
                </c:pt>
                <c:pt idx="51">
                  <c:v>25.44197023809528</c:v>
                </c:pt>
                <c:pt idx="52">
                  <c:v>5.9136136712749447</c:v>
                </c:pt>
                <c:pt idx="53">
                  <c:v>12.161335317460329</c:v>
                </c:pt>
                <c:pt idx="54">
                  <c:v>-24.919821428571421</c:v>
                </c:pt>
                <c:pt idx="55">
                  <c:v>-34.65271505376343</c:v>
                </c:pt>
                <c:pt idx="56">
                  <c:v>-25.39613095238094</c:v>
                </c:pt>
                <c:pt idx="57">
                  <c:v>-16.12012834070369</c:v>
                </c:pt>
                <c:pt idx="58">
                  <c:v>-0.97885962301585039</c:v>
                </c:pt>
                <c:pt idx="59">
                  <c:v>-37.849695660522272</c:v>
                </c:pt>
                <c:pt idx="60">
                  <c:v>-0.81545122887864352</c:v>
                </c:pt>
                <c:pt idx="61">
                  <c:v>-14.280249824067541</c:v>
                </c:pt>
                <c:pt idx="62">
                  <c:v>-21.28132913675017</c:v>
                </c:pt>
                <c:pt idx="63">
                  <c:v>-11.664210317460279</c:v>
                </c:pt>
                <c:pt idx="64">
                  <c:v>-9.5353110599078548</c:v>
                </c:pt>
                <c:pt idx="65">
                  <c:v>-16.581053571428559</c:v>
                </c:pt>
                <c:pt idx="66">
                  <c:v>-27.70077572964669</c:v>
                </c:pt>
                <c:pt idx="67">
                  <c:v>-47.666021505376342</c:v>
                </c:pt>
                <c:pt idx="68">
                  <c:v>-38.421992063492063</c:v>
                </c:pt>
                <c:pt idx="69">
                  <c:v>0.49408431070949632</c:v>
                </c:pt>
                <c:pt idx="70">
                  <c:v>6.7711681547619236</c:v>
                </c:pt>
                <c:pt idx="71">
                  <c:v>-15.49477630568356</c:v>
                </c:pt>
                <c:pt idx="72">
                  <c:v>22.4355837173579</c:v>
                </c:pt>
                <c:pt idx="73">
                  <c:v>39.933774703847078</c:v>
                </c:pt>
                <c:pt idx="74">
                  <c:v>1.8412271821745629</c:v>
                </c:pt>
                <c:pt idx="75">
                  <c:v>4.3314702380952781</c:v>
                </c:pt>
                <c:pt idx="76">
                  <c:v>-3.818751920122907</c:v>
                </c:pt>
                <c:pt idx="77">
                  <c:v>-21.549470238095228</c:v>
                </c:pt>
                <c:pt idx="78">
                  <c:v>-6.9292031490015384</c:v>
                </c:pt>
                <c:pt idx="79">
                  <c:v>-47.14606182795697</c:v>
                </c:pt>
                <c:pt idx="80">
                  <c:v>-37.73689484126983</c:v>
                </c:pt>
                <c:pt idx="81">
                  <c:v>2.1959113631994001</c:v>
                </c:pt>
                <c:pt idx="82">
                  <c:v>3.7399632936508169</c:v>
                </c:pt>
                <c:pt idx="83">
                  <c:v>-24.89474270353303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82A-F243-8401-AB2D280E78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  <c:txPr>
        <a:bodyPr/>
        <a:lstStyle/>
        <a:p>
          <a:pPr rtl="0">
            <a:defRPr/>
          </a:pPr>
          <a:endParaRPr lang="en-DK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Monthly Spot Prices - DK1 (Primary) and DK2 (Robustness)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'Electricity Price Data'!$B$1</c:f>
              <c:strCache>
                <c:ptCount val="1"/>
                <c:pt idx="0">
                  <c:v>DK1 Spot Price (EUR/MWh)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'Electricity Price Data'!$B$2:$B$85</c:f>
              <c:numCache>
                <c:formatCode>General</c:formatCode>
                <c:ptCount val="84"/>
                <c:pt idx="0">
                  <c:v>50.295645161290317</c:v>
                </c:pt>
                <c:pt idx="1">
                  <c:v>42.813958333333332</c:v>
                </c:pt>
                <c:pt idx="2">
                  <c:v>33.608259109311753</c:v>
                </c:pt>
                <c:pt idx="3">
                  <c:v>39.068416666666657</c:v>
                </c:pt>
                <c:pt idx="4">
                  <c:v>37.429516129032258</c:v>
                </c:pt>
                <c:pt idx="5">
                  <c:v>32.879222222222232</c:v>
                </c:pt>
                <c:pt idx="6">
                  <c:v>38.817311827956978</c:v>
                </c:pt>
                <c:pt idx="7">
                  <c:v>37.865698924731177</c:v>
                </c:pt>
                <c:pt idx="8">
                  <c:v>35.378861111111107</c:v>
                </c:pt>
                <c:pt idx="9">
                  <c:v>38.347402422611033</c:v>
                </c:pt>
                <c:pt idx="10">
                  <c:v>41.745069444444447</c:v>
                </c:pt>
                <c:pt idx="11">
                  <c:v>34.04197580645161</c:v>
                </c:pt>
                <c:pt idx="12">
                  <c:v>24.99454301075269</c:v>
                </c:pt>
                <c:pt idx="13">
                  <c:v>17.585071839080459</c:v>
                </c:pt>
                <c:pt idx="14">
                  <c:v>18.301727395411611</c:v>
                </c:pt>
                <c:pt idx="15">
                  <c:v>14.533777777777781</c:v>
                </c:pt>
                <c:pt idx="16">
                  <c:v>16.053991935483872</c:v>
                </c:pt>
                <c:pt idx="17">
                  <c:v>26.276277777777771</c:v>
                </c:pt>
                <c:pt idx="18">
                  <c:v>24.61956989247312</c:v>
                </c:pt>
                <c:pt idx="19">
                  <c:v>34.539287634408602</c:v>
                </c:pt>
                <c:pt idx="20">
                  <c:v>38.535041666666658</c:v>
                </c:pt>
                <c:pt idx="21">
                  <c:v>25.814751009421261</c:v>
                </c:pt>
                <c:pt idx="22">
                  <c:v>23.754583333333329</c:v>
                </c:pt>
                <c:pt idx="23">
                  <c:v>34.511129032258061</c:v>
                </c:pt>
                <c:pt idx="24">
                  <c:v>50.205107526881719</c:v>
                </c:pt>
                <c:pt idx="25">
                  <c:v>47.261502976190478</c:v>
                </c:pt>
                <c:pt idx="26">
                  <c:v>45.129446693657208</c:v>
                </c:pt>
                <c:pt idx="27">
                  <c:v>47.967111111111109</c:v>
                </c:pt>
                <c:pt idx="28">
                  <c:v>54.30756720430108</c:v>
                </c:pt>
                <c:pt idx="29">
                  <c:v>73.71981944444444</c:v>
                </c:pt>
                <c:pt idx="30">
                  <c:v>79.999247311827958</c:v>
                </c:pt>
                <c:pt idx="31">
                  <c:v>82.788763440860208</c:v>
                </c:pt>
                <c:pt idx="32">
                  <c:v>125.3637638888889</c:v>
                </c:pt>
                <c:pt idx="33">
                  <c:v>117.0398115746972</c:v>
                </c:pt>
                <c:pt idx="34">
                  <c:v>141.79758333333331</c:v>
                </c:pt>
                <c:pt idx="35">
                  <c:v>189.34932795698921</c:v>
                </c:pt>
                <c:pt idx="36">
                  <c:v>117.9946505376344</c:v>
                </c:pt>
                <c:pt idx="37">
                  <c:v>113.120744047619</c:v>
                </c:pt>
                <c:pt idx="38">
                  <c:v>235.8248448043185</c:v>
                </c:pt>
                <c:pt idx="39">
                  <c:v>163.63747222222219</c:v>
                </c:pt>
                <c:pt idx="40">
                  <c:v>171.85803763440859</c:v>
                </c:pt>
                <c:pt idx="41">
                  <c:v>214.43025</c:v>
                </c:pt>
                <c:pt idx="42">
                  <c:v>275.03817204301072</c:v>
                </c:pt>
                <c:pt idx="43">
                  <c:v>456.75034946236559</c:v>
                </c:pt>
                <c:pt idx="44">
                  <c:v>342.81965277777778</c:v>
                </c:pt>
                <c:pt idx="45">
                  <c:v>137.13172274562581</c:v>
                </c:pt>
                <c:pt idx="46">
                  <c:v>139.7042083333333</c:v>
                </c:pt>
                <c:pt idx="47">
                  <c:v>249.66561827956991</c:v>
                </c:pt>
                <c:pt idx="48">
                  <c:v>112.5418413978495</c:v>
                </c:pt>
                <c:pt idx="49">
                  <c:v>118.136130952381</c:v>
                </c:pt>
                <c:pt idx="50">
                  <c:v>99.113913630229419</c:v>
                </c:pt>
                <c:pt idx="51">
                  <c:v>96.270972222222227</c:v>
                </c:pt>
                <c:pt idx="52">
                  <c:v>73.965779569892476</c:v>
                </c:pt>
                <c:pt idx="53">
                  <c:v>92.495430555555558</c:v>
                </c:pt>
                <c:pt idx="54">
                  <c:v>64.811303763440861</c:v>
                </c:pt>
                <c:pt idx="55">
                  <c:v>85.967110215053765</c:v>
                </c:pt>
                <c:pt idx="56">
                  <c:v>84.739444444444445</c:v>
                </c:pt>
                <c:pt idx="57">
                  <c:v>60.105760430686409</c:v>
                </c:pt>
                <c:pt idx="58">
                  <c:v>88.154569444444448</c:v>
                </c:pt>
                <c:pt idx="59">
                  <c:v>69.482513440860217</c:v>
                </c:pt>
                <c:pt idx="60">
                  <c:v>74.714932795698928</c:v>
                </c:pt>
                <c:pt idx="61">
                  <c:v>58.633936781609187</c:v>
                </c:pt>
                <c:pt idx="62">
                  <c:v>61.226288798920379</c:v>
                </c:pt>
                <c:pt idx="63">
                  <c:v>59.164791666666673</c:v>
                </c:pt>
                <c:pt idx="64">
                  <c:v>58.516854838709683</c:v>
                </c:pt>
                <c:pt idx="65">
                  <c:v>63.753041666666668</c:v>
                </c:pt>
                <c:pt idx="66">
                  <c:v>62.030349462365592</c:v>
                </c:pt>
                <c:pt idx="67">
                  <c:v>72.95380376344086</c:v>
                </c:pt>
                <c:pt idx="68">
                  <c:v>71.713583333333332</c:v>
                </c:pt>
                <c:pt idx="69">
                  <c:v>76.7199730820996</c:v>
                </c:pt>
                <c:pt idx="70">
                  <c:v>95.904597222222222</c:v>
                </c:pt>
                <c:pt idx="71">
                  <c:v>91.83743279569893</c:v>
                </c:pt>
                <c:pt idx="72">
                  <c:v>97.965967741935472</c:v>
                </c:pt>
                <c:pt idx="73">
                  <c:v>112.8479613095238</c:v>
                </c:pt>
                <c:pt idx="74">
                  <c:v>84.348845117845116</c:v>
                </c:pt>
                <c:pt idx="75">
                  <c:v>75.160472222222225</c:v>
                </c:pt>
                <c:pt idx="76">
                  <c:v>64.233413978494625</c:v>
                </c:pt>
                <c:pt idx="77">
                  <c:v>58.784624999999998</c:v>
                </c:pt>
                <c:pt idx="78">
                  <c:v>82.801922043010748</c:v>
                </c:pt>
                <c:pt idx="79">
                  <c:v>73.473763440860225</c:v>
                </c:pt>
                <c:pt idx="80">
                  <c:v>72.398680555555558</c:v>
                </c:pt>
                <c:pt idx="81">
                  <c:v>78.421800134589503</c:v>
                </c:pt>
                <c:pt idx="82">
                  <c:v>92.873392361111115</c:v>
                </c:pt>
                <c:pt idx="83">
                  <c:v>82.437466397849462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78D-4544-ABA5-B8902D22DFCD}"/>
            </c:ext>
          </c:extLst>
        </c:ser>
        <c:ser>
          <c:idx val="1"/>
          <c:order val="1"/>
          <c:tx>
            <c:strRef>
              <c:f>'Electricity Price Data'!$C$1</c:f>
              <c:strCache>
                <c:ptCount val="1"/>
                <c:pt idx="0">
                  <c:v>DK2 Spot Price (EUR/MWh)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'Electricity Price Data'!$C$2:$C$85</c:f>
              <c:numCache>
                <c:formatCode>General</c:formatCode>
                <c:ptCount val="84"/>
                <c:pt idx="0">
                  <c:v>51.655026881720417</c:v>
                </c:pt>
                <c:pt idx="1">
                  <c:v>43.932946428571427</c:v>
                </c:pt>
                <c:pt idx="2">
                  <c:v>35.667354925775967</c:v>
                </c:pt>
                <c:pt idx="3">
                  <c:v>39.892097222222233</c:v>
                </c:pt>
                <c:pt idx="4">
                  <c:v>38.151397849462363</c:v>
                </c:pt>
                <c:pt idx="5">
                  <c:v>33.622236111111107</c:v>
                </c:pt>
                <c:pt idx="6">
                  <c:v>39.000174731182803</c:v>
                </c:pt>
                <c:pt idx="7">
                  <c:v>39.493172043010752</c:v>
                </c:pt>
                <c:pt idx="8">
                  <c:v>37.321347222222222</c:v>
                </c:pt>
                <c:pt idx="9">
                  <c:v>41.599353970390311</c:v>
                </c:pt>
                <c:pt idx="10">
                  <c:v>42.696444444444452</c:v>
                </c:pt>
                <c:pt idx="11">
                  <c:v>35.34711021505376</c:v>
                </c:pt>
                <c:pt idx="12">
                  <c:v>27.385241935483869</c:v>
                </c:pt>
                <c:pt idx="13">
                  <c:v>18.816997126436782</c:v>
                </c:pt>
                <c:pt idx="14">
                  <c:v>20.05249662618084</c:v>
                </c:pt>
                <c:pt idx="15">
                  <c:v>17.354861111111109</c:v>
                </c:pt>
                <c:pt idx="16">
                  <c:v>19.04407258064516</c:v>
                </c:pt>
                <c:pt idx="17">
                  <c:v>29.82329166666667</c:v>
                </c:pt>
                <c:pt idx="18">
                  <c:v>25.886680107526882</c:v>
                </c:pt>
                <c:pt idx="19">
                  <c:v>40.923817204301074</c:v>
                </c:pt>
                <c:pt idx="20">
                  <c:v>39.51423611111111</c:v>
                </c:pt>
                <c:pt idx="21">
                  <c:v>26.933512786002691</c:v>
                </c:pt>
                <c:pt idx="22">
                  <c:v>35.711347222222223</c:v>
                </c:pt>
                <c:pt idx="23">
                  <c:v>39.257150537634409</c:v>
                </c:pt>
                <c:pt idx="24">
                  <c:v>50.858951612903233</c:v>
                </c:pt>
                <c:pt idx="25">
                  <c:v>54.54806547619048</c:v>
                </c:pt>
                <c:pt idx="26">
                  <c:v>46.732213225371119</c:v>
                </c:pt>
                <c:pt idx="27">
                  <c:v>47.862958333333339</c:v>
                </c:pt>
                <c:pt idx="28">
                  <c:v>55.208803763440862</c:v>
                </c:pt>
                <c:pt idx="29">
                  <c:v>73.58690277777778</c:v>
                </c:pt>
                <c:pt idx="30">
                  <c:v>81.44088709677419</c:v>
                </c:pt>
                <c:pt idx="31">
                  <c:v>84.363548387096785</c:v>
                </c:pt>
                <c:pt idx="32">
                  <c:v>123.9021111111111</c:v>
                </c:pt>
                <c:pt idx="33">
                  <c:v>106.9322745625841</c:v>
                </c:pt>
                <c:pt idx="34">
                  <c:v>136.38005555555549</c:v>
                </c:pt>
                <c:pt idx="35">
                  <c:v>191.06861559139779</c:v>
                </c:pt>
                <c:pt idx="36">
                  <c:v>111.62209677419349</c:v>
                </c:pt>
                <c:pt idx="37">
                  <c:v>100.2914136904762</c:v>
                </c:pt>
                <c:pt idx="38">
                  <c:v>227.92036437246961</c:v>
                </c:pt>
                <c:pt idx="39">
                  <c:v>152.83280555555561</c:v>
                </c:pt>
                <c:pt idx="40">
                  <c:v>162.65841397849459</c:v>
                </c:pt>
                <c:pt idx="41">
                  <c:v>213.2331388888889</c:v>
                </c:pt>
                <c:pt idx="42">
                  <c:v>233.47774193548389</c:v>
                </c:pt>
                <c:pt idx="43">
                  <c:v>449.7688306451613</c:v>
                </c:pt>
                <c:pt idx="44">
                  <c:v>328.80015277777778</c:v>
                </c:pt>
                <c:pt idx="45">
                  <c:v>136.89783310901751</c:v>
                </c:pt>
                <c:pt idx="46">
                  <c:v>145.05780555555549</c:v>
                </c:pt>
                <c:pt idx="47">
                  <c:v>248.88206989247311</c:v>
                </c:pt>
                <c:pt idx="48">
                  <c:v>99.762889784946225</c:v>
                </c:pt>
                <c:pt idx="49">
                  <c:v>100.6489285714286</c:v>
                </c:pt>
                <c:pt idx="50">
                  <c:v>89.795614035087723</c:v>
                </c:pt>
                <c:pt idx="51">
                  <c:v>83.651124999999993</c:v>
                </c:pt>
                <c:pt idx="52">
                  <c:v>66.151747311827961</c:v>
                </c:pt>
                <c:pt idx="53">
                  <c:v>91.423152777777773</c:v>
                </c:pt>
                <c:pt idx="54">
                  <c:v>65.24004032258064</c:v>
                </c:pt>
                <c:pt idx="55">
                  <c:v>86.293736559139788</c:v>
                </c:pt>
                <c:pt idx="56">
                  <c:v>85.484125000000006</c:v>
                </c:pt>
                <c:pt idx="57">
                  <c:v>56.925814266487208</c:v>
                </c:pt>
                <c:pt idx="58">
                  <c:v>81.486041666666665</c:v>
                </c:pt>
                <c:pt idx="59">
                  <c:v>70.879731182795695</c:v>
                </c:pt>
                <c:pt idx="60">
                  <c:v>78.214811827956993</c:v>
                </c:pt>
                <c:pt idx="61">
                  <c:v>54.722241379310347</c:v>
                </c:pt>
                <c:pt idx="62">
                  <c:v>61.040863697705802</c:v>
                </c:pt>
                <c:pt idx="63">
                  <c:v>60.476708333333328</c:v>
                </c:pt>
                <c:pt idx="64">
                  <c:v>58.122983870967737</c:v>
                </c:pt>
                <c:pt idx="65">
                  <c:v>66.79098611111111</c:v>
                </c:pt>
                <c:pt idx="66">
                  <c:v>62.841706989247307</c:v>
                </c:pt>
                <c:pt idx="67">
                  <c:v>72.614260752688182</c:v>
                </c:pt>
                <c:pt idx="68">
                  <c:v>70.411833333333334</c:v>
                </c:pt>
                <c:pt idx="69">
                  <c:v>76.326123822341856</c:v>
                </c:pt>
                <c:pt idx="70">
                  <c:v>95.282694444444431</c:v>
                </c:pt>
                <c:pt idx="71">
                  <c:v>92.728158602150543</c:v>
                </c:pt>
                <c:pt idx="72">
                  <c:v>100.1237365591398</c:v>
                </c:pt>
                <c:pt idx="73">
                  <c:v>117.9355505952381</c:v>
                </c:pt>
                <c:pt idx="74">
                  <c:v>82.846865319865316</c:v>
                </c:pt>
                <c:pt idx="75">
                  <c:v>75.806652777777785</c:v>
                </c:pt>
                <c:pt idx="76">
                  <c:v>63.082553763440863</c:v>
                </c:pt>
                <c:pt idx="77">
                  <c:v>56.448249999999987</c:v>
                </c:pt>
                <c:pt idx="78">
                  <c:v>79.959690860215062</c:v>
                </c:pt>
                <c:pt idx="79">
                  <c:v>75.315497311827954</c:v>
                </c:pt>
                <c:pt idx="80">
                  <c:v>83.288930555555552</c:v>
                </c:pt>
                <c:pt idx="81">
                  <c:v>82.368075370121133</c:v>
                </c:pt>
                <c:pt idx="82">
                  <c:v>93.695572916666663</c:v>
                </c:pt>
                <c:pt idx="83">
                  <c:v>82.081528897849466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78D-4544-ABA5-B8902D22DF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DK1 De-seasonalised Price Series (Primary)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'Electricity Price Data'!$E$1</c:f>
              <c:strCache>
                <c:ptCount val="1"/>
                <c:pt idx="0">
                  <c:v>DK1 De-seasonalised Price (EUR/MWh)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'Electricity Price Data'!$E$2:$E$85</c:f>
              <c:numCache>
                <c:formatCode>General</c:formatCode>
                <c:ptCount val="84"/>
                <c:pt idx="0">
                  <c:v>-25.234738863287252</c:v>
                </c:pt>
                <c:pt idx="1">
                  <c:v>-30.100228272343401</c:v>
                </c:pt>
                <c:pt idx="2">
                  <c:v>-48.899358826358807</c:v>
                </c:pt>
                <c:pt idx="3">
                  <c:v>-31.760585317460279</c:v>
                </c:pt>
                <c:pt idx="4">
                  <c:v>-30.622649769585269</c:v>
                </c:pt>
                <c:pt idx="5">
                  <c:v>-47.454873015873012</c:v>
                </c:pt>
                <c:pt idx="6">
                  <c:v>-50.913813364055301</c:v>
                </c:pt>
                <c:pt idx="7">
                  <c:v>-82.754126344086018</c:v>
                </c:pt>
                <c:pt idx="8">
                  <c:v>-74.756714285714281</c:v>
                </c:pt>
                <c:pt idx="9">
                  <c:v>-37.87848634877907</c:v>
                </c:pt>
                <c:pt idx="10">
                  <c:v>-47.388359623015852</c:v>
                </c:pt>
                <c:pt idx="11">
                  <c:v>-73.290233294930886</c:v>
                </c:pt>
                <c:pt idx="12">
                  <c:v>-50.535841013824893</c:v>
                </c:pt>
                <c:pt idx="13">
                  <c:v>-55.329114766596277</c:v>
                </c:pt>
                <c:pt idx="14">
                  <c:v>-64.205890540258949</c:v>
                </c:pt>
                <c:pt idx="15">
                  <c:v>-56.295224206349168</c:v>
                </c:pt>
                <c:pt idx="16">
                  <c:v>-51.998173963133659</c:v>
                </c:pt>
                <c:pt idx="17">
                  <c:v>-54.057817460317452</c:v>
                </c:pt>
                <c:pt idx="18">
                  <c:v>-65.111555299539162</c:v>
                </c:pt>
                <c:pt idx="19">
                  <c:v>-86.080537634408586</c:v>
                </c:pt>
                <c:pt idx="20">
                  <c:v>-71.60053373015873</c:v>
                </c:pt>
                <c:pt idx="21">
                  <c:v>-50.411137761968838</c:v>
                </c:pt>
                <c:pt idx="22">
                  <c:v>-65.378845734126969</c:v>
                </c:pt>
                <c:pt idx="23">
                  <c:v>-72.821080069124434</c:v>
                </c:pt>
                <c:pt idx="24">
                  <c:v>-25.32527649769585</c:v>
                </c:pt>
                <c:pt idx="25">
                  <c:v>-25.652683629486251</c:v>
                </c:pt>
                <c:pt idx="26">
                  <c:v>-37.378171242013337</c:v>
                </c:pt>
                <c:pt idx="27">
                  <c:v>-22.861890873015842</c:v>
                </c:pt>
                <c:pt idx="28">
                  <c:v>-13.74459869431645</c:v>
                </c:pt>
                <c:pt idx="29">
                  <c:v>-6.6142757936507914</c:v>
                </c:pt>
                <c:pt idx="30">
                  <c:v>-9.731877880184328</c:v>
                </c:pt>
                <c:pt idx="31">
                  <c:v>-37.831061827956987</c:v>
                </c:pt>
                <c:pt idx="32">
                  <c:v>15.228188492063509</c:v>
                </c:pt>
                <c:pt idx="33">
                  <c:v>40.813922803307079</c:v>
                </c:pt>
                <c:pt idx="34">
                  <c:v>52.664154265873037</c:v>
                </c:pt>
                <c:pt idx="35">
                  <c:v>82.017118855606753</c:v>
                </c:pt>
                <c:pt idx="36">
                  <c:v>42.464266513056842</c:v>
                </c:pt>
                <c:pt idx="37">
                  <c:v>40.206557441942309</c:v>
                </c:pt>
                <c:pt idx="38">
                  <c:v>153.31722686864791</c:v>
                </c:pt>
                <c:pt idx="39">
                  <c:v>92.808470238095268</c:v>
                </c:pt>
                <c:pt idx="40">
                  <c:v>103.8058717357911</c:v>
                </c:pt>
                <c:pt idx="41">
                  <c:v>134.09615476190481</c:v>
                </c:pt>
                <c:pt idx="42">
                  <c:v>185.3070468509984</c:v>
                </c:pt>
                <c:pt idx="43">
                  <c:v>336.13052419354841</c:v>
                </c:pt>
                <c:pt idx="44">
                  <c:v>232.6840773809524</c:v>
                </c:pt>
                <c:pt idx="45">
                  <c:v>60.905833974235733</c:v>
                </c:pt>
                <c:pt idx="46">
                  <c:v>50.570779265873028</c:v>
                </c:pt>
                <c:pt idx="47">
                  <c:v>142.3334091781874</c:v>
                </c:pt>
                <c:pt idx="48">
                  <c:v>37.011457373271902</c:v>
                </c:pt>
                <c:pt idx="49">
                  <c:v>45.22194434670422</c:v>
                </c:pt>
                <c:pt idx="50">
                  <c:v>16.60629569455887</c:v>
                </c:pt>
                <c:pt idx="51">
                  <c:v>25.44197023809528</c:v>
                </c:pt>
                <c:pt idx="52">
                  <c:v>5.9136136712749447</c:v>
                </c:pt>
                <c:pt idx="53">
                  <c:v>12.161335317460329</c:v>
                </c:pt>
                <c:pt idx="54">
                  <c:v>-24.919821428571421</c:v>
                </c:pt>
                <c:pt idx="55">
                  <c:v>-34.65271505376343</c:v>
                </c:pt>
                <c:pt idx="56">
                  <c:v>-25.39613095238094</c:v>
                </c:pt>
                <c:pt idx="57">
                  <c:v>-16.12012834070369</c:v>
                </c:pt>
                <c:pt idx="58">
                  <c:v>-0.97885962301585039</c:v>
                </c:pt>
                <c:pt idx="59">
                  <c:v>-37.849695660522272</c:v>
                </c:pt>
                <c:pt idx="60">
                  <c:v>-0.81545122887864352</c:v>
                </c:pt>
                <c:pt idx="61">
                  <c:v>-14.280249824067541</c:v>
                </c:pt>
                <c:pt idx="62">
                  <c:v>-21.28132913675017</c:v>
                </c:pt>
                <c:pt idx="63">
                  <c:v>-11.664210317460279</c:v>
                </c:pt>
                <c:pt idx="64">
                  <c:v>-9.5353110599078548</c:v>
                </c:pt>
                <c:pt idx="65">
                  <c:v>-16.581053571428559</c:v>
                </c:pt>
                <c:pt idx="66">
                  <c:v>-27.70077572964669</c:v>
                </c:pt>
                <c:pt idx="67">
                  <c:v>-47.666021505376342</c:v>
                </c:pt>
                <c:pt idx="68">
                  <c:v>-38.421992063492063</c:v>
                </c:pt>
                <c:pt idx="69">
                  <c:v>0.49408431070949632</c:v>
                </c:pt>
                <c:pt idx="70">
                  <c:v>6.7711681547619236</c:v>
                </c:pt>
                <c:pt idx="71">
                  <c:v>-15.49477630568356</c:v>
                </c:pt>
                <c:pt idx="72">
                  <c:v>22.4355837173579</c:v>
                </c:pt>
                <c:pt idx="73">
                  <c:v>39.933774703847078</c:v>
                </c:pt>
                <c:pt idx="74">
                  <c:v>1.8412271821745629</c:v>
                </c:pt>
                <c:pt idx="75">
                  <c:v>4.3314702380952781</c:v>
                </c:pt>
                <c:pt idx="76">
                  <c:v>-3.818751920122907</c:v>
                </c:pt>
                <c:pt idx="77">
                  <c:v>-21.549470238095228</c:v>
                </c:pt>
                <c:pt idx="78">
                  <c:v>-6.9292031490015384</c:v>
                </c:pt>
                <c:pt idx="79">
                  <c:v>-47.14606182795697</c:v>
                </c:pt>
                <c:pt idx="80">
                  <c:v>-37.73689484126983</c:v>
                </c:pt>
                <c:pt idx="81">
                  <c:v>2.1959113631994001</c:v>
                </c:pt>
                <c:pt idx="82">
                  <c:v>3.7399632936508169</c:v>
                </c:pt>
                <c:pt idx="83">
                  <c:v>-24.89474270353303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EED-A348-84E1-C37D9EABD1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  <c:txPr>
        <a:bodyPr/>
        <a:lstStyle/>
        <a:p>
          <a:pPr rtl="0">
            <a:defRPr/>
          </a:pPr>
          <a:endParaRPr lang="en-DK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Monthly Spot Prices - DK1 (Primary) and DK2 (Robustness)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'Electricity Price Data'!$B$1</c:f>
              <c:strCache>
                <c:ptCount val="1"/>
                <c:pt idx="0">
                  <c:v>DK1 Spot Price (EUR/MWh)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'Electricity Price Data'!$B$2:$B$85</c:f>
              <c:numCache>
                <c:formatCode>General</c:formatCode>
                <c:ptCount val="84"/>
                <c:pt idx="0">
                  <c:v>50.295645161290317</c:v>
                </c:pt>
                <c:pt idx="1">
                  <c:v>42.813958333333332</c:v>
                </c:pt>
                <c:pt idx="2">
                  <c:v>33.608259109311753</c:v>
                </c:pt>
                <c:pt idx="3">
                  <c:v>39.068416666666657</c:v>
                </c:pt>
                <c:pt idx="4">
                  <c:v>37.429516129032258</c:v>
                </c:pt>
                <c:pt idx="5">
                  <c:v>32.879222222222232</c:v>
                </c:pt>
                <c:pt idx="6">
                  <c:v>38.817311827956978</c:v>
                </c:pt>
                <c:pt idx="7">
                  <c:v>37.865698924731177</c:v>
                </c:pt>
                <c:pt idx="8">
                  <c:v>35.378861111111107</c:v>
                </c:pt>
                <c:pt idx="9">
                  <c:v>38.347402422611033</c:v>
                </c:pt>
                <c:pt idx="10">
                  <c:v>41.745069444444447</c:v>
                </c:pt>
                <c:pt idx="11">
                  <c:v>34.04197580645161</c:v>
                </c:pt>
                <c:pt idx="12">
                  <c:v>24.99454301075269</c:v>
                </c:pt>
                <c:pt idx="13">
                  <c:v>17.585071839080459</c:v>
                </c:pt>
                <c:pt idx="14">
                  <c:v>18.301727395411611</c:v>
                </c:pt>
                <c:pt idx="15">
                  <c:v>14.533777777777781</c:v>
                </c:pt>
                <c:pt idx="16">
                  <c:v>16.053991935483872</c:v>
                </c:pt>
                <c:pt idx="17">
                  <c:v>26.276277777777771</c:v>
                </c:pt>
                <c:pt idx="18">
                  <c:v>24.61956989247312</c:v>
                </c:pt>
                <c:pt idx="19">
                  <c:v>34.539287634408602</c:v>
                </c:pt>
                <c:pt idx="20">
                  <c:v>38.535041666666658</c:v>
                </c:pt>
                <c:pt idx="21">
                  <c:v>25.814751009421261</c:v>
                </c:pt>
                <c:pt idx="22">
                  <c:v>23.754583333333329</c:v>
                </c:pt>
                <c:pt idx="23">
                  <c:v>34.511129032258061</c:v>
                </c:pt>
                <c:pt idx="24">
                  <c:v>50.205107526881719</c:v>
                </c:pt>
                <c:pt idx="25">
                  <c:v>47.261502976190478</c:v>
                </c:pt>
                <c:pt idx="26">
                  <c:v>45.129446693657208</c:v>
                </c:pt>
                <c:pt idx="27">
                  <c:v>47.967111111111109</c:v>
                </c:pt>
                <c:pt idx="28">
                  <c:v>54.30756720430108</c:v>
                </c:pt>
                <c:pt idx="29">
                  <c:v>73.71981944444444</c:v>
                </c:pt>
                <c:pt idx="30">
                  <c:v>79.999247311827958</c:v>
                </c:pt>
                <c:pt idx="31">
                  <c:v>82.788763440860208</c:v>
                </c:pt>
                <c:pt idx="32">
                  <c:v>125.3637638888889</c:v>
                </c:pt>
                <c:pt idx="33">
                  <c:v>117.0398115746972</c:v>
                </c:pt>
                <c:pt idx="34">
                  <c:v>141.79758333333331</c:v>
                </c:pt>
                <c:pt idx="35">
                  <c:v>189.34932795698921</c:v>
                </c:pt>
                <c:pt idx="36">
                  <c:v>117.9946505376344</c:v>
                </c:pt>
                <c:pt idx="37">
                  <c:v>113.120744047619</c:v>
                </c:pt>
                <c:pt idx="38">
                  <c:v>235.8248448043185</c:v>
                </c:pt>
                <c:pt idx="39">
                  <c:v>163.63747222222219</c:v>
                </c:pt>
                <c:pt idx="40">
                  <c:v>171.85803763440859</c:v>
                </c:pt>
                <c:pt idx="41">
                  <c:v>214.43025</c:v>
                </c:pt>
                <c:pt idx="42">
                  <c:v>275.03817204301072</c:v>
                </c:pt>
                <c:pt idx="43">
                  <c:v>456.75034946236559</c:v>
                </c:pt>
                <c:pt idx="44">
                  <c:v>342.81965277777778</c:v>
                </c:pt>
                <c:pt idx="45">
                  <c:v>137.13172274562581</c:v>
                </c:pt>
                <c:pt idx="46">
                  <c:v>139.7042083333333</c:v>
                </c:pt>
                <c:pt idx="47">
                  <c:v>249.66561827956991</c:v>
                </c:pt>
                <c:pt idx="48">
                  <c:v>112.5418413978495</c:v>
                </c:pt>
                <c:pt idx="49">
                  <c:v>118.136130952381</c:v>
                </c:pt>
                <c:pt idx="50">
                  <c:v>99.113913630229419</c:v>
                </c:pt>
                <c:pt idx="51">
                  <c:v>96.270972222222227</c:v>
                </c:pt>
                <c:pt idx="52">
                  <c:v>73.965779569892476</c:v>
                </c:pt>
                <c:pt idx="53">
                  <c:v>92.495430555555558</c:v>
                </c:pt>
                <c:pt idx="54">
                  <c:v>64.811303763440861</c:v>
                </c:pt>
                <c:pt idx="55">
                  <c:v>85.967110215053765</c:v>
                </c:pt>
                <c:pt idx="56">
                  <c:v>84.739444444444445</c:v>
                </c:pt>
                <c:pt idx="57">
                  <c:v>60.105760430686409</c:v>
                </c:pt>
                <c:pt idx="58">
                  <c:v>88.154569444444448</c:v>
                </c:pt>
                <c:pt idx="59">
                  <c:v>69.482513440860217</c:v>
                </c:pt>
                <c:pt idx="60">
                  <c:v>74.714932795698928</c:v>
                </c:pt>
                <c:pt idx="61">
                  <c:v>58.633936781609187</c:v>
                </c:pt>
                <c:pt idx="62">
                  <c:v>61.226288798920379</c:v>
                </c:pt>
                <c:pt idx="63">
                  <c:v>59.164791666666673</c:v>
                </c:pt>
                <c:pt idx="64">
                  <c:v>58.516854838709683</c:v>
                </c:pt>
                <c:pt idx="65">
                  <c:v>63.753041666666668</c:v>
                </c:pt>
                <c:pt idx="66">
                  <c:v>62.030349462365592</c:v>
                </c:pt>
                <c:pt idx="67">
                  <c:v>72.95380376344086</c:v>
                </c:pt>
                <c:pt idx="68">
                  <c:v>71.713583333333332</c:v>
                </c:pt>
                <c:pt idx="69">
                  <c:v>76.7199730820996</c:v>
                </c:pt>
                <c:pt idx="70">
                  <c:v>95.904597222222222</c:v>
                </c:pt>
                <c:pt idx="71">
                  <c:v>91.83743279569893</c:v>
                </c:pt>
                <c:pt idx="72">
                  <c:v>97.965967741935472</c:v>
                </c:pt>
                <c:pt idx="73">
                  <c:v>112.8479613095238</c:v>
                </c:pt>
                <c:pt idx="74">
                  <c:v>84.348845117845116</c:v>
                </c:pt>
                <c:pt idx="75">
                  <c:v>75.160472222222225</c:v>
                </c:pt>
                <c:pt idx="76">
                  <c:v>64.233413978494625</c:v>
                </c:pt>
                <c:pt idx="77">
                  <c:v>58.784624999999998</c:v>
                </c:pt>
                <c:pt idx="78">
                  <c:v>82.801922043010748</c:v>
                </c:pt>
                <c:pt idx="79">
                  <c:v>73.473763440860225</c:v>
                </c:pt>
                <c:pt idx="80">
                  <c:v>72.398680555555558</c:v>
                </c:pt>
                <c:pt idx="81">
                  <c:v>78.421800134589503</c:v>
                </c:pt>
                <c:pt idx="82">
                  <c:v>92.873392361111115</c:v>
                </c:pt>
                <c:pt idx="83">
                  <c:v>82.437466397849462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C6-864F-968F-8B1388E4C108}"/>
            </c:ext>
          </c:extLst>
        </c:ser>
        <c:ser>
          <c:idx val="1"/>
          <c:order val="1"/>
          <c:tx>
            <c:strRef>
              <c:f>'Electricity Price Data'!$C$1</c:f>
              <c:strCache>
                <c:ptCount val="1"/>
                <c:pt idx="0">
                  <c:v>DK2 Spot Price (EUR/MWh)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'Electricity Price Data'!$C$2:$C$85</c:f>
              <c:numCache>
                <c:formatCode>General</c:formatCode>
                <c:ptCount val="84"/>
                <c:pt idx="0">
                  <c:v>51.655026881720417</c:v>
                </c:pt>
                <c:pt idx="1">
                  <c:v>43.932946428571427</c:v>
                </c:pt>
                <c:pt idx="2">
                  <c:v>35.667354925775967</c:v>
                </c:pt>
                <c:pt idx="3">
                  <c:v>39.892097222222233</c:v>
                </c:pt>
                <c:pt idx="4">
                  <c:v>38.151397849462363</c:v>
                </c:pt>
                <c:pt idx="5">
                  <c:v>33.622236111111107</c:v>
                </c:pt>
                <c:pt idx="6">
                  <c:v>39.000174731182803</c:v>
                </c:pt>
                <c:pt idx="7">
                  <c:v>39.493172043010752</c:v>
                </c:pt>
                <c:pt idx="8">
                  <c:v>37.321347222222222</c:v>
                </c:pt>
                <c:pt idx="9">
                  <c:v>41.599353970390311</c:v>
                </c:pt>
                <c:pt idx="10">
                  <c:v>42.696444444444452</c:v>
                </c:pt>
                <c:pt idx="11">
                  <c:v>35.34711021505376</c:v>
                </c:pt>
                <c:pt idx="12">
                  <c:v>27.385241935483869</c:v>
                </c:pt>
                <c:pt idx="13">
                  <c:v>18.816997126436782</c:v>
                </c:pt>
                <c:pt idx="14">
                  <c:v>20.05249662618084</c:v>
                </c:pt>
                <c:pt idx="15">
                  <c:v>17.354861111111109</c:v>
                </c:pt>
                <c:pt idx="16">
                  <c:v>19.04407258064516</c:v>
                </c:pt>
                <c:pt idx="17">
                  <c:v>29.82329166666667</c:v>
                </c:pt>
                <c:pt idx="18">
                  <c:v>25.886680107526882</c:v>
                </c:pt>
                <c:pt idx="19">
                  <c:v>40.923817204301074</c:v>
                </c:pt>
                <c:pt idx="20">
                  <c:v>39.51423611111111</c:v>
                </c:pt>
                <c:pt idx="21">
                  <c:v>26.933512786002691</c:v>
                </c:pt>
                <c:pt idx="22">
                  <c:v>35.711347222222223</c:v>
                </c:pt>
                <c:pt idx="23">
                  <c:v>39.257150537634409</c:v>
                </c:pt>
                <c:pt idx="24">
                  <c:v>50.858951612903233</c:v>
                </c:pt>
                <c:pt idx="25">
                  <c:v>54.54806547619048</c:v>
                </c:pt>
                <c:pt idx="26">
                  <c:v>46.732213225371119</c:v>
                </c:pt>
                <c:pt idx="27">
                  <c:v>47.862958333333339</c:v>
                </c:pt>
                <c:pt idx="28">
                  <c:v>55.208803763440862</c:v>
                </c:pt>
                <c:pt idx="29">
                  <c:v>73.58690277777778</c:v>
                </c:pt>
                <c:pt idx="30">
                  <c:v>81.44088709677419</c:v>
                </c:pt>
                <c:pt idx="31">
                  <c:v>84.363548387096785</c:v>
                </c:pt>
                <c:pt idx="32">
                  <c:v>123.9021111111111</c:v>
                </c:pt>
                <c:pt idx="33">
                  <c:v>106.9322745625841</c:v>
                </c:pt>
                <c:pt idx="34">
                  <c:v>136.38005555555549</c:v>
                </c:pt>
                <c:pt idx="35">
                  <c:v>191.06861559139779</c:v>
                </c:pt>
                <c:pt idx="36">
                  <c:v>111.62209677419349</c:v>
                </c:pt>
                <c:pt idx="37">
                  <c:v>100.2914136904762</c:v>
                </c:pt>
                <c:pt idx="38">
                  <c:v>227.92036437246961</c:v>
                </c:pt>
                <c:pt idx="39">
                  <c:v>152.83280555555561</c:v>
                </c:pt>
                <c:pt idx="40">
                  <c:v>162.65841397849459</c:v>
                </c:pt>
                <c:pt idx="41">
                  <c:v>213.2331388888889</c:v>
                </c:pt>
                <c:pt idx="42">
                  <c:v>233.47774193548389</c:v>
                </c:pt>
                <c:pt idx="43">
                  <c:v>449.7688306451613</c:v>
                </c:pt>
                <c:pt idx="44">
                  <c:v>328.80015277777778</c:v>
                </c:pt>
                <c:pt idx="45">
                  <c:v>136.89783310901751</c:v>
                </c:pt>
                <c:pt idx="46">
                  <c:v>145.05780555555549</c:v>
                </c:pt>
                <c:pt idx="47">
                  <c:v>248.88206989247311</c:v>
                </c:pt>
                <c:pt idx="48">
                  <c:v>99.762889784946225</c:v>
                </c:pt>
                <c:pt idx="49">
                  <c:v>100.6489285714286</c:v>
                </c:pt>
                <c:pt idx="50">
                  <c:v>89.795614035087723</c:v>
                </c:pt>
                <c:pt idx="51">
                  <c:v>83.651124999999993</c:v>
                </c:pt>
                <c:pt idx="52">
                  <c:v>66.151747311827961</c:v>
                </c:pt>
                <c:pt idx="53">
                  <c:v>91.423152777777773</c:v>
                </c:pt>
                <c:pt idx="54">
                  <c:v>65.24004032258064</c:v>
                </c:pt>
                <c:pt idx="55">
                  <c:v>86.293736559139788</c:v>
                </c:pt>
                <c:pt idx="56">
                  <c:v>85.484125000000006</c:v>
                </c:pt>
                <c:pt idx="57">
                  <c:v>56.925814266487208</c:v>
                </c:pt>
                <c:pt idx="58">
                  <c:v>81.486041666666665</c:v>
                </c:pt>
                <c:pt idx="59">
                  <c:v>70.879731182795695</c:v>
                </c:pt>
                <c:pt idx="60">
                  <c:v>78.214811827956993</c:v>
                </c:pt>
                <c:pt idx="61">
                  <c:v>54.722241379310347</c:v>
                </c:pt>
                <c:pt idx="62">
                  <c:v>61.040863697705802</c:v>
                </c:pt>
                <c:pt idx="63">
                  <c:v>60.476708333333328</c:v>
                </c:pt>
                <c:pt idx="64">
                  <c:v>58.122983870967737</c:v>
                </c:pt>
                <c:pt idx="65">
                  <c:v>66.79098611111111</c:v>
                </c:pt>
                <c:pt idx="66">
                  <c:v>62.841706989247307</c:v>
                </c:pt>
                <c:pt idx="67">
                  <c:v>72.614260752688182</c:v>
                </c:pt>
                <c:pt idx="68">
                  <c:v>70.411833333333334</c:v>
                </c:pt>
                <c:pt idx="69">
                  <c:v>76.326123822341856</c:v>
                </c:pt>
                <c:pt idx="70">
                  <c:v>95.282694444444431</c:v>
                </c:pt>
                <c:pt idx="71">
                  <c:v>92.728158602150543</c:v>
                </c:pt>
                <c:pt idx="72">
                  <c:v>100.1237365591398</c:v>
                </c:pt>
                <c:pt idx="73">
                  <c:v>117.9355505952381</c:v>
                </c:pt>
                <c:pt idx="74">
                  <c:v>82.846865319865316</c:v>
                </c:pt>
                <c:pt idx="75">
                  <c:v>75.806652777777785</c:v>
                </c:pt>
                <c:pt idx="76">
                  <c:v>63.082553763440863</c:v>
                </c:pt>
                <c:pt idx="77">
                  <c:v>56.448249999999987</c:v>
                </c:pt>
                <c:pt idx="78">
                  <c:v>79.959690860215062</c:v>
                </c:pt>
                <c:pt idx="79">
                  <c:v>75.315497311827954</c:v>
                </c:pt>
                <c:pt idx="80">
                  <c:v>83.288930555555552</c:v>
                </c:pt>
                <c:pt idx="81">
                  <c:v>82.368075370121133</c:v>
                </c:pt>
                <c:pt idx="82">
                  <c:v>93.695572916666663</c:v>
                </c:pt>
                <c:pt idx="83">
                  <c:v>82.081528897849466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C6-864F-968F-8B1388E4C1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DK1 De-seasonalised Price Series (Primary)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'Electricity Price Data'!$E$1</c:f>
              <c:strCache>
                <c:ptCount val="1"/>
                <c:pt idx="0">
                  <c:v>DK1 De-seasonalised Price (EUR/MWh)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'Electricity Price Data'!$E$2:$E$85</c:f>
              <c:numCache>
                <c:formatCode>General</c:formatCode>
                <c:ptCount val="84"/>
                <c:pt idx="0">
                  <c:v>-25.234738863287252</c:v>
                </c:pt>
                <c:pt idx="1">
                  <c:v>-30.100228272343401</c:v>
                </c:pt>
                <c:pt idx="2">
                  <c:v>-48.899358826358807</c:v>
                </c:pt>
                <c:pt idx="3">
                  <c:v>-31.760585317460279</c:v>
                </c:pt>
                <c:pt idx="4">
                  <c:v>-30.622649769585269</c:v>
                </c:pt>
                <c:pt idx="5">
                  <c:v>-47.454873015873012</c:v>
                </c:pt>
                <c:pt idx="6">
                  <c:v>-50.913813364055301</c:v>
                </c:pt>
                <c:pt idx="7">
                  <c:v>-82.754126344086018</c:v>
                </c:pt>
                <c:pt idx="8">
                  <c:v>-74.756714285714281</c:v>
                </c:pt>
                <c:pt idx="9">
                  <c:v>-37.87848634877907</c:v>
                </c:pt>
                <c:pt idx="10">
                  <c:v>-47.388359623015852</c:v>
                </c:pt>
                <c:pt idx="11">
                  <c:v>-73.290233294930886</c:v>
                </c:pt>
                <c:pt idx="12">
                  <c:v>-50.535841013824893</c:v>
                </c:pt>
                <c:pt idx="13">
                  <c:v>-55.329114766596277</c:v>
                </c:pt>
                <c:pt idx="14">
                  <c:v>-64.205890540258949</c:v>
                </c:pt>
                <c:pt idx="15">
                  <c:v>-56.295224206349168</c:v>
                </c:pt>
                <c:pt idx="16">
                  <c:v>-51.998173963133659</c:v>
                </c:pt>
                <c:pt idx="17">
                  <c:v>-54.057817460317452</c:v>
                </c:pt>
                <c:pt idx="18">
                  <c:v>-65.111555299539162</c:v>
                </c:pt>
                <c:pt idx="19">
                  <c:v>-86.080537634408586</c:v>
                </c:pt>
                <c:pt idx="20">
                  <c:v>-71.60053373015873</c:v>
                </c:pt>
                <c:pt idx="21">
                  <c:v>-50.411137761968838</c:v>
                </c:pt>
                <c:pt idx="22">
                  <c:v>-65.378845734126969</c:v>
                </c:pt>
                <c:pt idx="23">
                  <c:v>-72.821080069124434</c:v>
                </c:pt>
                <c:pt idx="24">
                  <c:v>-25.32527649769585</c:v>
                </c:pt>
                <c:pt idx="25">
                  <c:v>-25.652683629486251</c:v>
                </c:pt>
                <c:pt idx="26">
                  <c:v>-37.378171242013337</c:v>
                </c:pt>
                <c:pt idx="27">
                  <c:v>-22.861890873015842</c:v>
                </c:pt>
                <c:pt idx="28">
                  <c:v>-13.74459869431645</c:v>
                </c:pt>
                <c:pt idx="29">
                  <c:v>-6.6142757936507914</c:v>
                </c:pt>
                <c:pt idx="30">
                  <c:v>-9.731877880184328</c:v>
                </c:pt>
                <c:pt idx="31">
                  <c:v>-37.831061827956987</c:v>
                </c:pt>
                <c:pt idx="32">
                  <c:v>15.228188492063509</c:v>
                </c:pt>
                <c:pt idx="33">
                  <c:v>40.813922803307079</c:v>
                </c:pt>
                <c:pt idx="34">
                  <c:v>52.664154265873037</c:v>
                </c:pt>
                <c:pt idx="35">
                  <c:v>82.017118855606753</c:v>
                </c:pt>
                <c:pt idx="36">
                  <c:v>42.464266513056842</c:v>
                </c:pt>
                <c:pt idx="37">
                  <c:v>40.206557441942309</c:v>
                </c:pt>
                <c:pt idx="38">
                  <c:v>153.31722686864791</c:v>
                </c:pt>
                <c:pt idx="39">
                  <c:v>92.808470238095268</c:v>
                </c:pt>
                <c:pt idx="40">
                  <c:v>103.8058717357911</c:v>
                </c:pt>
                <c:pt idx="41">
                  <c:v>134.09615476190481</c:v>
                </c:pt>
                <c:pt idx="42">
                  <c:v>185.3070468509984</c:v>
                </c:pt>
                <c:pt idx="43">
                  <c:v>336.13052419354841</c:v>
                </c:pt>
                <c:pt idx="44">
                  <c:v>232.6840773809524</c:v>
                </c:pt>
                <c:pt idx="45">
                  <c:v>60.905833974235733</c:v>
                </c:pt>
                <c:pt idx="46">
                  <c:v>50.570779265873028</c:v>
                </c:pt>
                <c:pt idx="47">
                  <c:v>142.3334091781874</c:v>
                </c:pt>
                <c:pt idx="48">
                  <c:v>37.011457373271902</c:v>
                </c:pt>
                <c:pt idx="49">
                  <c:v>45.22194434670422</c:v>
                </c:pt>
                <c:pt idx="50">
                  <c:v>16.60629569455887</c:v>
                </c:pt>
                <c:pt idx="51">
                  <c:v>25.44197023809528</c:v>
                </c:pt>
                <c:pt idx="52">
                  <c:v>5.9136136712749447</c:v>
                </c:pt>
                <c:pt idx="53">
                  <c:v>12.161335317460329</c:v>
                </c:pt>
                <c:pt idx="54">
                  <c:v>-24.919821428571421</c:v>
                </c:pt>
                <c:pt idx="55">
                  <c:v>-34.65271505376343</c:v>
                </c:pt>
                <c:pt idx="56">
                  <c:v>-25.39613095238094</c:v>
                </c:pt>
                <c:pt idx="57">
                  <c:v>-16.12012834070369</c:v>
                </c:pt>
                <c:pt idx="58">
                  <c:v>-0.97885962301585039</c:v>
                </c:pt>
                <c:pt idx="59">
                  <c:v>-37.849695660522272</c:v>
                </c:pt>
                <c:pt idx="60">
                  <c:v>-0.81545122887864352</c:v>
                </c:pt>
                <c:pt idx="61">
                  <c:v>-14.280249824067541</c:v>
                </c:pt>
                <c:pt idx="62">
                  <c:v>-21.28132913675017</c:v>
                </c:pt>
                <c:pt idx="63">
                  <c:v>-11.664210317460279</c:v>
                </c:pt>
                <c:pt idx="64">
                  <c:v>-9.5353110599078548</c:v>
                </c:pt>
                <c:pt idx="65">
                  <c:v>-16.581053571428559</c:v>
                </c:pt>
                <c:pt idx="66">
                  <c:v>-27.70077572964669</c:v>
                </c:pt>
                <c:pt idx="67">
                  <c:v>-47.666021505376342</c:v>
                </c:pt>
                <c:pt idx="68">
                  <c:v>-38.421992063492063</c:v>
                </c:pt>
                <c:pt idx="69">
                  <c:v>0.49408431070949632</c:v>
                </c:pt>
                <c:pt idx="70">
                  <c:v>6.7711681547619236</c:v>
                </c:pt>
                <c:pt idx="71">
                  <c:v>-15.49477630568356</c:v>
                </c:pt>
                <c:pt idx="72">
                  <c:v>22.4355837173579</c:v>
                </c:pt>
                <c:pt idx="73">
                  <c:v>39.933774703847078</c:v>
                </c:pt>
                <c:pt idx="74">
                  <c:v>1.8412271821745629</c:v>
                </c:pt>
                <c:pt idx="75">
                  <c:v>4.3314702380952781</c:v>
                </c:pt>
                <c:pt idx="76">
                  <c:v>-3.818751920122907</c:v>
                </c:pt>
                <c:pt idx="77">
                  <c:v>-21.549470238095228</c:v>
                </c:pt>
                <c:pt idx="78">
                  <c:v>-6.9292031490015384</c:v>
                </c:pt>
                <c:pt idx="79">
                  <c:v>-47.14606182795697</c:v>
                </c:pt>
                <c:pt idx="80">
                  <c:v>-37.73689484126983</c:v>
                </c:pt>
                <c:pt idx="81">
                  <c:v>2.1959113631994001</c:v>
                </c:pt>
                <c:pt idx="82">
                  <c:v>3.7399632936508169</c:v>
                </c:pt>
                <c:pt idx="83">
                  <c:v>-24.89474270353303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0D1-4B49-9091-E133E2B9AD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  <c:txPr>
        <a:bodyPr/>
        <a:lstStyle/>
        <a:p>
          <a:pPr rtl="0">
            <a:defRPr/>
          </a:pPr>
          <a:endParaRPr lang="en-DK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Monthly Spot Prices - DK1 (Primary) and DK2 (Robustness)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'Electricity Price Data'!$B$1</c:f>
              <c:strCache>
                <c:ptCount val="1"/>
                <c:pt idx="0">
                  <c:v>DK1 Spot Price (EUR/MWh)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'Electricity Price Data'!$B$2:$B$85</c:f>
              <c:numCache>
                <c:formatCode>General</c:formatCode>
                <c:ptCount val="84"/>
                <c:pt idx="0">
                  <c:v>50.295645161290317</c:v>
                </c:pt>
                <c:pt idx="1">
                  <c:v>42.813958333333332</c:v>
                </c:pt>
                <c:pt idx="2">
                  <c:v>33.608259109311753</c:v>
                </c:pt>
                <c:pt idx="3">
                  <c:v>39.068416666666657</c:v>
                </c:pt>
                <c:pt idx="4">
                  <c:v>37.429516129032258</c:v>
                </c:pt>
                <c:pt idx="5">
                  <c:v>32.879222222222232</c:v>
                </c:pt>
                <c:pt idx="6">
                  <c:v>38.817311827956978</c:v>
                </c:pt>
                <c:pt idx="7">
                  <c:v>37.865698924731177</c:v>
                </c:pt>
                <c:pt idx="8">
                  <c:v>35.378861111111107</c:v>
                </c:pt>
                <c:pt idx="9">
                  <c:v>38.347402422611033</c:v>
                </c:pt>
                <c:pt idx="10">
                  <c:v>41.745069444444447</c:v>
                </c:pt>
                <c:pt idx="11">
                  <c:v>34.04197580645161</c:v>
                </c:pt>
                <c:pt idx="12">
                  <c:v>24.99454301075269</c:v>
                </c:pt>
                <c:pt idx="13">
                  <c:v>17.585071839080459</c:v>
                </c:pt>
                <c:pt idx="14">
                  <c:v>18.301727395411611</c:v>
                </c:pt>
                <c:pt idx="15">
                  <c:v>14.533777777777781</c:v>
                </c:pt>
                <c:pt idx="16">
                  <c:v>16.053991935483872</c:v>
                </c:pt>
                <c:pt idx="17">
                  <c:v>26.276277777777771</c:v>
                </c:pt>
                <c:pt idx="18">
                  <c:v>24.61956989247312</c:v>
                </c:pt>
                <c:pt idx="19">
                  <c:v>34.539287634408602</c:v>
                </c:pt>
                <c:pt idx="20">
                  <c:v>38.535041666666658</c:v>
                </c:pt>
                <c:pt idx="21">
                  <c:v>25.814751009421261</c:v>
                </c:pt>
                <c:pt idx="22">
                  <c:v>23.754583333333329</c:v>
                </c:pt>
                <c:pt idx="23">
                  <c:v>34.511129032258061</c:v>
                </c:pt>
                <c:pt idx="24">
                  <c:v>50.205107526881719</c:v>
                </c:pt>
                <c:pt idx="25">
                  <c:v>47.261502976190478</c:v>
                </c:pt>
                <c:pt idx="26">
                  <c:v>45.129446693657208</c:v>
                </c:pt>
                <c:pt idx="27">
                  <c:v>47.967111111111109</c:v>
                </c:pt>
                <c:pt idx="28">
                  <c:v>54.30756720430108</c:v>
                </c:pt>
                <c:pt idx="29">
                  <c:v>73.71981944444444</c:v>
                </c:pt>
                <c:pt idx="30">
                  <c:v>79.999247311827958</c:v>
                </c:pt>
                <c:pt idx="31">
                  <c:v>82.788763440860208</c:v>
                </c:pt>
                <c:pt idx="32">
                  <c:v>125.3637638888889</c:v>
                </c:pt>
                <c:pt idx="33">
                  <c:v>117.0398115746972</c:v>
                </c:pt>
                <c:pt idx="34">
                  <c:v>141.79758333333331</c:v>
                </c:pt>
                <c:pt idx="35">
                  <c:v>189.34932795698921</c:v>
                </c:pt>
                <c:pt idx="36">
                  <c:v>117.9946505376344</c:v>
                </c:pt>
                <c:pt idx="37">
                  <c:v>113.120744047619</c:v>
                </c:pt>
                <c:pt idx="38">
                  <c:v>235.8248448043185</c:v>
                </c:pt>
                <c:pt idx="39">
                  <c:v>163.63747222222219</c:v>
                </c:pt>
                <c:pt idx="40">
                  <c:v>171.85803763440859</c:v>
                </c:pt>
                <c:pt idx="41">
                  <c:v>214.43025</c:v>
                </c:pt>
                <c:pt idx="42">
                  <c:v>275.03817204301072</c:v>
                </c:pt>
                <c:pt idx="43">
                  <c:v>456.75034946236559</c:v>
                </c:pt>
                <c:pt idx="44">
                  <c:v>342.81965277777778</c:v>
                </c:pt>
                <c:pt idx="45">
                  <c:v>137.13172274562581</c:v>
                </c:pt>
                <c:pt idx="46">
                  <c:v>139.7042083333333</c:v>
                </c:pt>
                <c:pt idx="47">
                  <c:v>249.66561827956991</c:v>
                </c:pt>
                <c:pt idx="48">
                  <c:v>112.5418413978495</c:v>
                </c:pt>
                <c:pt idx="49">
                  <c:v>118.136130952381</c:v>
                </c:pt>
                <c:pt idx="50">
                  <c:v>99.113913630229419</c:v>
                </c:pt>
                <c:pt idx="51">
                  <c:v>96.270972222222227</c:v>
                </c:pt>
                <c:pt idx="52">
                  <c:v>73.965779569892476</c:v>
                </c:pt>
                <c:pt idx="53">
                  <c:v>92.495430555555558</c:v>
                </c:pt>
                <c:pt idx="54">
                  <c:v>64.811303763440861</c:v>
                </c:pt>
                <c:pt idx="55">
                  <c:v>85.967110215053765</c:v>
                </c:pt>
                <c:pt idx="56">
                  <c:v>84.739444444444445</c:v>
                </c:pt>
                <c:pt idx="57">
                  <c:v>60.105760430686409</c:v>
                </c:pt>
                <c:pt idx="58">
                  <c:v>88.154569444444448</c:v>
                </c:pt>
                <c:pt idx="59">
                  <c:v>69.482513440860217</c:v>
                </c:pt>
                <c:pt idx="60">
                  <c:v>74.714932795698928</c:v>
                </c:pt>
                <c:pt idx="61">
                  <c:v>58.633936781609187</c:v>
                </c:pt>
                <c:pt idx="62">
                  <c:v>61.226288798920379</c:v>
                </c:pt>
                <c:pt idx="63">
                  <c:v>59.164791666666673</c:v>
                </c:pt>
                <c:pt idx="64">
                  <c:v>58.516854838709683</c:v>
                </c:pt>
                <c:pt idx="65">
                  <c:v>63.753041666666668</c:v>
                </c:pt>
                <c:pt idx="66">
                  <c:v>62.030349462365592</c:v>
                </c:pt>
                <c:pt idx="67">
                  <c:v>72.95380376344086</c:v>
                </c:pt>
                <c:pt idx="68">
                  <c:v>71.713583333333332</c:v>
                </c:pt>
                <c:pt idx="69">
                  <c:v>76.7199730820996</c:v>
                </c:pt>
                <c:pt idx="70">
                  <c:v>95.904597222222222</c:v>
                </c:pt>
                <c:pt idx="71">
                  <c:v>91.83743279569893</c:v>
                </c:pt>
                <c:pt idx="72">
                  <c:v>97.965967741935472</c:v>
                </c:pt>
                <c:pt idx="73">
                  <c:v>112.8479613095238</c:v>
                </c:pt>
                <c:pt idx="74">
                  <c:v>84.348845117845116</c:v>
                </c:pt>
                <c:pt idx="75">
                  <c:v>75.160472222222225</c:v>
                </c:pt>
                <c:pt idx="76">
                  <c:v>64.233413978494625</c:v>
                </c:pt>
                <c:pt idx="77">
                  <c:v>58.784624999999998</c:v>
                </c:pt>
                <c:pt idx="78">
                  <c:v>82.801922043010748</c:v>
                </c:pt>
                <c:pt idx="79">
                  <c:v>73.473763440860225</c:v>
                </c:pt>
                <c:pt idx="80">
                  <c:v>72.398680555555558</c:v>
                </c:pt>
                <c:pt idx="81">
                  <c:v>78.421800134589503</c:v>
                </c:pt>
                <c:pt idx="82">
                  <c:v>92.873392361111115</c:v>
                </c:pt>
                <c:pt idx="83">
                  <c:v>82.437466397849462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9CB-D149-BA0F-7052151F87DA}"/>
            </c:ext>
          </c:extLst>
        </c:ser>
        <c:ser>
          <c:idx val="1"/>
          <c:order val="1"/>
          <c:tx>
            <c:strRef>
              <c:f>'Electricity Price Data'!$C$1</c:f>
              <c:strCache>
                <c:ptCount val="1"/>
                <c:pt idx="0">
                  <c:v>DK2 Spot Price (EUR/MWh)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'Electricity Price Data'!$C$2:$C$85</c:f>
              <c:numCache>
                <c:formatCode>General</c:formatCode>
                <c:ptCount val="84"/>
                <c:pt idx="0">
                  <c:v>51.655026881720417</c:v>
                </c:pt>
                <c:pt idx="1">
                  <c:v>43.932946428571427</c:v>
                </c:pt>
                <c:pt idx="2">
                  <c:v>35.667354925775967</c:v>
                </c:pt>
                <c:pt idx="3">
                  <c:v>39.892097222222233</c:v>
                </c:pt>
                <c:pt idx="4">
                  <c:v>38.151397849462363</c:v>
                </c:pt>
                <c:pt idx="5">
                  <c:v>33.622236111111107</c:v>
                </c:pt>
                <c:pt idx="6">
                  <c:v>39.000174731182803</c:v>
                </c:pt>
                <c:pt idx="7">
                  <c:v>39.493172043010752</c:v>
                </c:pt>
                <c:pt idx="8">
                  <c:v>37.321347222222222</c:v>
                </c:pt>
                <c:pt idx="9">
                  <c:v>41.599353970390311</c:v>
                </c:pt>
                <c:pt idx="10">
                  <c:v>42.696444444444452</c:v>
                </c:pt>
                <c:pt idx="11">
                  <c:v>35.34711021505376</c:v>
                </c:pt>
                <c:pt idx="12">
                  <c:v>27.385241935483869</c:v>
                </c:pt>
                <c:pt idx="13">
                  <c:v>18.816997126436782</c:v>
                </c:pt>
                <c:pt idx="14">
                  <c:v>20.05249662618084</c:v>
                </c:pt>
                <c:pt idx="15">
                  <c:v>17.354861111111109</c:v>
                </c:pt>
                <c:pt idx="16">
                  <c:v>19.04407258064516</c:v>
                </c:pt>
                <c:pt idx="17">
                  <c:v>29.82329166666667</c:v>
                </c:pt>
                <c:pt idx="18">
                  <c:v>25.886680107526882</c:v>
                </c:pt>
                <c:pt idx="19">
                  <c:v>40.923817204301074</c:v>
                </c:pt>
                <c:pt idx="20">
                  <c:v>39.51423611111111</c:v>
                </c:pt>
                <c:pt idx="21">
                  <c:v>26.933512786002691</c:v>
                </c:pt>
                <c:pt idx="22">
                  <c:v>35.711347222222223</c:v>
                </c:pt>
                <c:pt idx="23">
                  <c:v>39.257150537634409</c:v>
                </c:pt>
                <c:pt idx="24">
                  <c:v>50.858951612903233</c:v>
                </c:pt>
                <c:pt idx="25">
                  <c:v>54.54806547619048</c:v>
                </c:pt>
                <c:pt idx="26">
                  <c:v>46.732213225371119</c:v>
                </c:pt>
                <c:pt idx="27">
                  <c:v>47.862958333333339</c:v>
                </c:pt>
                <c:pt idx="28">
                  <c:v>55.208803763440862</c:v>
                </c:pt>
                <c:pt idx="29">
                  <c:v>73.58690277777778</c:v>
                </c:pt>
                <c:pt idx="30">
                  <c:v>81.44088709677419</c:v>
                </c:pt>
                <c:pt idx="31">
                  <c:v>84.363548387096785</c:v>
                </c:pt>
                <c:pt idx="32">
                  <c:v>123.9021111111111</c:v>
                </c:pt>
                <c:pt idx="33">
                  <c:v>106.9322745625841</c:v>
                </c:pt>
                <c:pt idx="34">
                  <c:v>136.38005555555549</c:v>
                </c:pt>
                <c:pt idx="35">
                  <c:v>191.06861559139779</c:v>
                </c:pt>
                <c:pt idx="36">
                  <c:v>111.62209677419349</c:v>
                </c:pt>
                <c:pt idx="37">
                  <c:v>100.2914136904762</c:v>
                </c:pt>
                <c:pt idx="38">
                  <c:v>227.92036437246961</c:v>
                </c:pt>
                <c:pt idx="39">
                  <c:v>152.83280555555561</c:v>
                </c:pt>
                <c:pt idx="40">
                  <c:v>162.65841397849459</c:v>
                </c:pt>
                <c:pt idx="41">
                  <c:v>213.2331388888889</c:v>
                </c:pt>
                <c:pt idx="42">
                  <c:v>233.47774193548389</c:v>
                </c:pt>
                <c:pt idx="43">
                  <c:v>449.7688306451613</c:v>
                </c:pt>
                <c:pt idx="44">
                  <c:v>328.80015277777778</c:v>
                </c:pt>
                <c:pt idx="45">
                  <c:v>136.89783310901751</c:v>
                </c:pt>
                <c:pt idx="46">
                  <c:v>145.05780555555549</c:v>
                </c:pt>
                <c:pt idx="47">
                  <c:v>248.88206989247311</c:v>
                </c:pt>
                <c:pt idx="48">
                  <c:v>99.762889784946225</c:v>
                </c:pt>
                <c:pt idx="49">
                  <c:v>100.6489285714286</c:v>
                </c:pt>
                <c:pt idx="50">
                  <c:v>89.795614035087723</c:v>
                </c:pt>
                <c:pt idx="51">
                  <c:v>83.651124999999993</c:v>
                </c:pt>
                <c:pt idx="52">
                  <c:v>66.151747311827961</c:v>
                </c:pt>
                <c:pt idx="53">
                  <c:v>91.423152777777773</c:v>
                </c:pt>
                <c:pt idx="54">
                  <c:v>65.24004032258064</c:v>
                </c:pt>
                <c:pt idx="55">
                  <c:v>86.293736559139788</c:v>
                </c:pt>
                <c:pt idx="56">
                  <c:v>85.484125000000006</c:v>
                </c:pt>
                <c:pt idx="57">
                  <c:v>56.925814266487208</c:v>
                </c:pt>
                <c:pt idx="58">
                  <c:v>81.486041666666665</c:v>
                </c:pt>
                <c:pt idx="59">
                  <c:v>70.879731182795695</c:v>
                </c:pt>
                <c:pt idx="60">
                  <c:v>78.214811827956993</c:v>
                </c:pt>
                <c:pt idx="61">
                  <c:v>54.722241379310347</c:v>
                </c:pt>
                <c:pt idx="62">
                  <c:v>61.040863697705802</c:v>
                </c:pt>
                <c:pt idx="63">
                  <c:v>60.476708333333328</c:v>
                </c:pt>
                <c:pt idx="64">
                  <c:v>58.122983870967737</c:v>
                </c:pt>
                <c:pt idx="65">
                  <c:v>66.79098611111111</c:v>
                </c:pt>
                <c:pt idx="66">
                  <c:v>62.841706989247307</c:v>
                </c:pt>
                <c:pt idx="67">
                  <c:v>72.614260752688182</c:v>
                </c:pt>
                <c:pt idx="68">
                  <c:v>70.411833333333334</c:v>
                </c:pt>
                <c:pt idx="69">
                  <c:v>76.326123822341856</c:v>
                </c:pt>
                <c:pt idx="70">
                  <c:v>95.282694444444431</c:v>
                </c:pt>
                <c:pt idx="71">
                  <c:v>92.728158602150543</c:v>
                </c:pt>
                <c:pt idx="72">
                  <c:v>100.1237365591398</c:v>
                </c:pt>
                <c:pt idx="73">
                  <c:v>117.9355505952381</c:v>
                </c:pt>
                <c:pt idx="74">
                  <c:v>82.846865319865316</c:v>
                </c:pt>
                <c:pt idx="75">
                  <c:v>75.806652777777785</c:v>
                </c:pt>
                <c:pt idx="76">
                  <c:v>63.082553763440863</c:v>
                </c:pt>
                <c:pt idx="77">
                  <c:v>56.448249999999987</c:v>
                </c:pt>
                <c:pt idx="78">
                  <c:v>79.959690860215062</c:v>
                </c:pt>
                <c:pt idx="79">
                  <c:v>75.315497311827954</c:v>
                </c:pt>
                <c:pt idx="80">
                  <c:v>83.288930555555552</c:v>
                </c:pt>
                <c:pt idx="81">
                  <c:v>82.368075370121133</c:v>
                </c:pt>
                <c:pt idx="82">
                  <c:v>93.695572916666663</c:v>
                </c:pt>
                <c:pt idx="83">
                  <c:v>82.081528897849466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9CB-D149-BA0F-7052151F87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DK1 De-seasonalised Price Series (Primary)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'Electricity Price Data'!$E$1</c:f>
              <c:strCache>
                <c:ptCount val="1"/>
                <c:pt idx="0">
                  <c:v>DK1 De-seasonalised Price (EUR/MWh)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'Electricity Price Data'!$E$2:$E$85</c:f>
              <c:numCache>
                <c:formatCode>General</c:formatCode>
                <c:ptCount val="84"/>
                <c:pt idx="0">
                  <c:v>-25.234738863287252</c:v>
                </c:pt>
                <c:pt idx="1">
                  <c:v>-30.100228272343401</c:v>
                </c:pt>
                <c:pt idx="2">
                  <c:v>-48.899358826358807</c:v>
                </c:pt>
                <c:pt idx="3">
                  <c:v>-31.760585317460279</c:v>
                </c:pt>
                <c:pt idx="4">
                  <c:v>-30.622649769585269</c:v>
                </c:pt>
                <c:pt idx="5">
                  <c:v>-47.454873015873012</c:v>
                </c:pt>
                <c:pt idx="6">
                  <c:v>-50.913813364055301</c:v>
                </c:pt>
                <c:pt idx="7">
                  <c:v>-82.754126344086018</c:v>
                </c:pt>
                <c:pt idx="8">
                  <c:v>-74.756714285714281</c:v>
                </c:pt>
                <c:pt idx="9">
                  <c:v>-37.87848634877907</c:v>
                </c:pt>
                <c:pt idx="10">
                  <c:v>-47.388359623015852</c:v>
                </c:pt>
                <c:pt idx="11">
                  <c:v>-73.290233294930886</c:v>
                </c:pt>
                <c:pt idx="12">
                  <c:v>-50.535841013824893</c:v>
                </c:pt>
                <c:pt idx="13">
                  <c:v>-55.329114766596277</c:v>
                </c:pt>
                <c:pt idx="14">
                  <c:v>-64.205890540258949</c:v>
                </c:pt>
                <c:pt idx="15">
                  <c:v>-56.295224206349168</c:v>
                </c:pt>
                <c:pt idx="16">
                  <c:v>-51.998173963133659</c:v>
                </c:pt>
                <c:pt idx="17">
                  <c:v>-54.057817460317452</c:v>
                </c:pt>
                <c:pt idx="18">
                  <c:v>-65.111555299539162</c:v>
                </c:pt>
                <c:pt idx="19">
                  <c:v>-86.080537634408586</c:v>
                </c:pt>
                <c:pt idx="20">
                  <c:v>-71.60053373015873</c:v>
                </c:pt>
                <c:pt idx="21">
                  <c:v>-50.411137761968838</c:v>
                </c:pt>
                <c:pt idx="22">
                  <c:v>-65.378845734126969</c:v>
                </c:pt>
                <c:pt idx="23">
                  <c:v>-72.821080069124434</c:v>
                </c:pt>
                <c:pt idx="24">
                  <c:v>-25.32527649769585</c:v>
                </c:pt>
                <c:pt idx="25">
                  <c:v>-25.652683629486251</c:v>
                </c:pt>
                <c:pt idx="26">
                  <c:v>-37.378171242013337</c:v>
                </c:pt>
                <c:pt idx="27">
                  <c:v>-22.861890873015842</c:v>
                </c:pt>
                <c:pt idx="28">
                  <c:v>-13.74459869431645</c:v>
                </c:pt>
                <c:pt idx="29">
                  <c:v>-6.6142757936507914</c:v>
                </c:pt>
                <c:pt idx="30">
                  <c:v>-9.731877880184328</c:v>
                </c:pt>
                <c:pt idx="31">
                  <c:v>-37.831061827956987</c:v>
                </c:pt>
                <c:pt idx="32">
                  <c:v>15.228188492063509</c:v>
                </c:pt>
                <c:pt idx="33">
                  <c:v>40.813922803307079</c:v>
                </c:pt>
                <c:pt idx="34">
                  <c:v>52.664154265873037</c:v>
                </c:pt>
                <c:pt idx="35">
                  <c:v>82.017118855606753</c:v>
                </c:pt>
                <c:pt idx="36">
                  <c:v>42.464266513056842</c:v>
                </c:pt>
                <c:pt idx="37">
                  <c:v>40.206557441942309</c:v>
                </c:pt>
                <c:pt idx="38">
                  <c:v>153.31722686864791</c:v>
                </c:pt>
                <c:pt idx="39">
                  <c:v>92.808470238095268</c:v>
                </c:pt>
                <c:pt idx="40">
                  <c:v>103.8058717357911</c:v>
                </c:pt>
                <c:pt idx="41">
                  <c:v>134.09615476190481</c:v>
                </c:pt>
                <c:pt idx="42">
                  <c:v>185.3070468509984</c:v>
                </c:pt>
                <c:pt idx="43">
                  <c:v>336.13052419354841</c:v>
                </c:pt>
                <c:pt idx="44">
                  <c:v>232.6840773809524</c:v>
                </c:pt>
                <c:pt idx="45">
                  <c:v>60.905833974235733</c:v>
                </c:pt>
                <c:pt idx="46">
                  <c:v>50.570779265873028</c:v>
                </c:pt>
                <c:pt idx="47">
                  <c:v>142.3334091781874</c:v>
                </c:pt>
                <c:pt idx="48">
                  <c:v>37.011457373271902</c:v>
                </c:pt>
                <c:pt idx="49">
                  <c:v>45.22194434670422</c:v>
                </c:pt>
                <c:pt idx="50">
                  <c:v>16.60629569455887</c:v>
                </c:pt>
                <c:pt idx="51">
                  <c:v>25.44197023809528</c:v>
                </c:pt>
                <c:pt idx="52">
                  <c:v>5.9136136712749447</c:v>
                </c:pt>
                <c:pt idx="53">
                  <c:v>12.161335317460329</c:v>
                </c:pt>
                <c:pt idx="54">
                  <c:v>-24.919821428571421</c:v>
                </c:pt>
                <c:pt idx="55">
                  <c:v>-34.65271505376343</c:v>
                </c:pt>
                <c:pt idx="56">
                  <c:v>-25.39613095238094</c:v>
                </c:pt>
                <c:pt idx="57">
                  <c:v>-16.12012834070369</c:v>
                </c:pt>
                <c:pt idx="58">
                  <c:v>-0.97885962301585039</c:v>
                </c:pt>
                <c:pt idx="59">
                  <c:v>-37.849695660522272</c:v>
                </c:pt>
                <c:pt idx="60">
                  <c:v>-0.81545122887864352</c:v>
                </c:pt>
                <c:pt idx="61">
                  <c:v>-14.280249824067541</c:v>
                </c:pt>
                <c:pt idx="62">
                  <c:v>-21.28132913675017</c:v>
                </c:pt>
                <c:pt idx="63">
                  <c:v>-11.664210317460279</c:v>
                </c:pt>
                <c:pt idx="64">
                  <c:v>-9.5353110599078548</c:v>
                </c:pt>
                <c:pt idx="65">
                  <c:v>-16.581053571428559</c:v>
                </c:pt>
                <c:pt idx="66">
                  <c:v>-27.70077572964669</c:v>
                </c:pt>
                <c:pt idx="67">
                  <c:v>-47.666021505376342</c:v>
                </c:pt>
                <c:pt idx="68">
                  <c:v>-38.421992063492063</c:v>
                </c:pt>
                <c:pt idx="69">
                  <c:v>0.49408431070949632</c:v>
                </c:pt>
                <c:pt idx="70">
                  <c:v>6.7711681547619236</c:v>
                </c:pt>
                <c:pt idx="71">
                  <c:v>-15.49477630568356</c:v>
                </c:pt>
                <c:pt idx="72">
                  <c:v>22.4355837173579</c:v>
                </c:pt>
                <c:pt idx="73">
                  <c:v>39.933774703847078</c:v>
                </c:pt>
                <c:pt idx="74">
                  <c:v>1.8412271821745629</c:v>
                </c:pt>
                <c:pt idx="75">
                  <c:v>4.3314702380952781</c:v>
                </c:pt>
                <c:pt idx="76">
                  <c:v>-3.818751920122907</c:v>
                </c:pt>
                <c:pt idx="77">
                  <c:v>-21.549470238095228</c:v>
                </c:pt>
                <c:pt idx="78">
                  <c:v>-6.9292031490015384</c:v>
                </c:pt>
                <c:pt idx="79">
                  <c:v>-47.14606182795697</c:v>
                </c:pt>
                <c:pt idx="80">
                  <c:v>-37.73689484126983</c:v>
                </c:pt>
                <c:pt idx="81">
                  <c:v>2.1959113631994001</c:v>
                </c:pt>
                <c:pt idx="82">
                  <c:v>3.7399632936508169</c:v>
                </c:pt>
                <c:pt idx="83">
                  <c:v>-24.89474270353303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140-D44D-BAB1-345F88E827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  <c:txPr>
        <a:bodyPr/>
        <a:lstStyle/>
        <a:p>
          <a:pPr rtl="0">
            <a:defRPr/>
          </a:pPr>
          <a:endParaRPr lang="en-DK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Monthly Spot Prices - DK1 (Primary) and DK2 (Robustness)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'Electricity Price Data'!$B$1</c:f>
              <c:strCache>
                <c:ptCount val="1"/>
                <c:pt idx="0">
                  <c:v>DK1 Spot Price (EUR/MWh)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'Electricity Price Data'!$B$2:$B$85</c:f>
              <c:numCache>
                <c:formatCode>General</c:formatCode>
                <c:ptCount val="84"/>
                <c:pt idx="0">
                  <c:v>50.295645161290317</c:v>
                </c:pt>
                <c:pt idx="1">
                  <c:v>42.813958333333332</c:v>
                </c:pt>
                <c:pt idx="2">
                  <c:v>33.608259109311753</c:v>
                </c:pt>
                <c:pt idx="3">
                  <c:v>39.068416666666657</c:v>
                </c:pt>
                <c:pt idx="4">
                  <c:v>37.429516129032258</c:v>
                </c:pt>
                <c:pt idx="5">
                  <c:v>32.879222222222232</c:v>
                </c:pt>
                <c:pt idx="6">
                  <c:v>38.817311827956978</c:v>
                </c:pt>
                <c:pt idx="7">
                  <c:v>37.865698924731177</c:v>
                </c:pt>
                <c:pt idx="8">
                  <c:v>35.378861111111107</c:v>
                </c:pt>
                <c:pt idx="9">
                  <c:v>38.347402422611033</c:v>
                </c:pt>
                <c:pt idx="10">
                  <c:v>41.745069444444447</c:v>
                </c:pt>
                <c:pt idx="11">
                  <c:v>34.04197580645161</c:v>
                </c:pt>
                <c:pt idx="12">
                  <c:v>24.99454301075269</c:v>
                </c:pt>
                <c:pt idx="13">
                  <c:v>17.585071839080459</c:v>
                </c:pt>
                <c:pt idx="14">
                  <c:v>18.301727395411611</c:v>
                </c:pt>
                <c:pt idx="15">
                  <c:v>14.533777777777781</c:v>
                </c:pt>
                <c:pt idx="16">
                  <c:v>16.053991935483872</c:v>
                </c:pt>
                <c:pt idx="17">
                  <c:v>26.276277777777771</c:v>
                </c:pt>
                <c:pt idx="18">
                  <c:v>24.61956989247312</c:v>
                </c:pt>
                <c:pt idx="19">
                  <c:v>34.539287634408602</c:v>
                </c:pt>
                <c:pt idx="20">
                  <c:v>38.535041666666658</c:v>
                </c:pt>
                <c:pt idx="21">
                  <c:v>25.814751009421261</c:v>
                </c:pt>
                <c:pt idx="22">
                  <c:v>23.754583333333329</c:v>
                </c:pt>
                <c:pt idx="23">
                  <c:v>34.511129032258061</c:v>
                </c:pt>
                <c:pt idx="24">
                  <c:v>50.205107526881719</c:v>
                </c:pt>
                <c:pt idx="25">
                  <c:v>47.261502976190478</c:v>
                </c:pt>
                <c:pt idx="26">
                  <c:v>45.129446693657208</c:v>
                </c:pt>
                <c:pt idx="27">
                  <c:v>47.967111111111109</c:v>
                </c:pt>
                <c:pt idx="28">
                  <c:v>54.30756720430108</c:v>
                </c:pt>
                <c:pt idx="29">
                  <c:v>73.71981944444444</c:v>
                </c:pt>
                <c:pt idx="30">
                  <c:v>79.999247311827958</c:v>
                </c:pt>
                <c:pt idx="31">
                  <c:v>82.788763440860208</c:v>
                </c:pt>
                <c:pt idx="32">
                  <c:v>125.3637638888889</c:v>
                </c:pt>
                <c:pt idx="33">
                  <c:v>117.0398115746972</c:v>
                </c:pt>
                <c:pt idx="34">
                  <c:v>141.79758333333331</c:v>
                </c:pt>
                <c:pt idx="35">
                  <c:v>189.34932795698921</c:v>
                </c:pt>
                <c:pt idx="36">
                  <c:v>117.9946505376344</c:v>
                </c:pt>
                <c:pt idx="37">
                  <c:v>113.120744047619</c:v>
                </c:pt>
                <c:pt idx="38">
                  <c:v>235.8248448043185</c:v>
                </c:pt>
                <c:pt idx="39">
                  <c:v>163.63747222222219</c:v>
                </c:pt>
                <c:pt idx="40">
                  <c:v>171.85803763440859</c:v>
                </c:pt>
                <c:pt idx="41">
                  <c:v>214.43025</c:v>
                </c:pt>
                <c:pt idx="42">
                  <c:v>275.03817204301072</c:v>
                </c:pt>
                <c:pt idx="43">
                  <c:v>456.75034946236559</c:v>
                </c:pt>
                <c:pt idx="44">
                  <c:v>342.81965277777778</c:v>
                </c:pt>
                <c:pt idx="45">
                  <c:v>137.13172274562581</c:v>
                </c:pt>
                <c:pt idx="46">
                  <c:v>139.7042083333333</c:v>
                </c:pt>
                <c:pt idx="47">
                  <c:v>249.66561827956991</c:v>
                </c:pt>
                <c:pt idx="48">
                  <c:v>112.5418413978495</c:v>
                </c:pt>
                <c:pt idx="49">
                  <c:v>118.136130952381</c:v>
                </c:pt>
                <c:pt idx="50">
                  <c:v>99.113913630229419</c:v>
                </c:pt>
                <c:pt idx="51">
                  <c:v>96.270972222222227</c:v>
                </c:pt>
                <c:pt idx="52">
                  <c:v>73.965779569892476</c:v>
                </c:pt>
                <c:pt idx="53">
                  <c:v>92.495430555555558</c:v>
                </c:pt>
                <c:pt idx="54">
                  <c:v>64.811303763440861</c:v>
                </c:pt>
                <c:pt idx="55">
                  <c:v>85.967110215053765</c:v>
                </c:pt>
                <c:pt idx="56">
                  <c:v>84.739444444444445</c:v>
                </c:pt>
                <c:pt idx="57">
                  <c:v>60.105760430686409</c:v>
                </c:pt>
                <c:pt idx="58">
                  <c:v>88.154569444444448</c:v>
                </c:pt>
                <c:pt idx="59">
                  <c:v>69.482513440860217</c:v>
                </c:pt>
                <c:pt idx="60">
                  <c:v>74.714932795698928</c:v>
                </c:pt>
                <c:pt idx="61">
                  <c:v>58.633936781609187</c:v>
                </c:pt>
                <c:pt idx="62">
                  <c:v>61.226288798920379</c:v>
                </c:pt>
                <c:pt idx="63">
                  <c:v>59.164791666666673</c:v>
                </c:pt>
                <c:pt idx="64">
                  <c:v>58.516854838709683</c:v>
                </c:pt>
                <c:pt idx="65">
                  <c:v>63.753041666666668</c:v>
                </c:pt>
                <c:pt idx="66">
                  <c:v>62.030349462365592</c:v>
                </c:pt>
                <c:pt idx="67">
                  <c:v>72.95380376344086</c:v>
                </c:pt>
                <c:pt idx="68">
                  <c:v>71.713583333333332</c:v>
                </c:pt>
                <c:pt idx="69">
                  <c:v>76.7199730820996</c:v>
                </c:pt>
                <c:pt idx="70">
                  <c:v>95.904597222222222</c:v>
                </c:pt>
                <c:pt idx="71">
                  <c:v>91.83743279569893</c:v>
                </c:pt>
                <c:pt idx="72">
                  <c:v>97.965967741935472</c:v>
                </c:pt>
                <c:pt idx="73">
                  <c:v>112.8479613095238</c:v>
                </c:pt>
                <c:pt idx="74">
                  <c:v>84.348845117845116</c:v>
                </c:pt>
                <c:pt idx="75">
                  <c:v>75.160472222222225</c:v>
                </c:pt>
                <c:pt idx="76">
                  <c:v>64.233413978494625</c:v>
                </c:pt>
                <c:pt idx="77">
                  <c:v>58.784624999999998</c:v>
                </c:pt>
                <c:pt idx="78">
                  <c:v>82.801922043010748</c:v>
                </c:pt>
                <c:pt idx="79">
                  <c:v>73.473763440860225</c:v>
                </c:pt>
                <c:pt idx="80">
                  <c:v>72.398680555555558</c:v>
                </c:pt>
                <c:pt idx="81">
                  <c:v>78.421800134589503</c:v>
                </c:pt>
                <c:pt idx="82">
                  <c:v>92.873392361111115</c:v>
                </c:pt>
                <c:pt idx="83">
                  <c:v>82.437466397849462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90B-AD4B-9706-1D37552330AD}"/>
            </c:ext>
          </c:extLst>
        </c:ser>
        <c:ser>
          <c:idx val="1"/>
          <c:order val="1"/>
          <c:tx>
            <c:strRef>
              <c:f>'Electricity Price Data'!$C$1</c:f>
              <c:strCache>
                <c:ptCount val="1"/>
                <c:pt idx="0">
                  <c:v>DK2 Spot Price (EUR/MWh)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'Electricity Price Data'!$C$2:$C$85</c:f>
              <c:numCache>
                <c:formatCode>General</c:formatCode>
                <c:ptCount val="84"/>
                <c:pt idx="0">
                  <c:v>51.655026881720417</c:v>
                </c:pt>
                <c:pt idx="1">
                  <c:v>43.932946428571427</c:v>
                </c:pt>
                <c:pt idx="2">
                  <c:v>35.667354925775967</c:v>
                </c:pt>
                <c:pt idx="3">
                  <c:v>39.892097222222233</c:v>
                </c:pt>
                <c:pt idx="4">
                  <c:v>38.151397849462363</c:v>
                </c:pt>
                <c:pt idx="5">
                  <c:v>33.622236111111107</c:v>
                </c:pt>
                <c:pt idx="6">
                  <c:v>39.000174731182803</c:v>
                </c:pt>
                <c:pt idx="7">
                  <c:v>39.493172043010752</c:v>
                </c:pt>
                <c:pt idx="8">
                  <c:v>37.321347222222222</c:v>
                </c:pt>
                <c:pt idx="9">
                  <c:v>41.599353970390311</c:v>
                </c:pt>
                <c:pt idx="10">
                  <c:v>42.696444444444452</c:v>
                </c:pt>
                <c:pt idx="11">
                  <c:v>35.34711021505376</c:v>
                </c:pt>
                <c:pt idx="12">
                  <c:v>27.385241935483869</c:v>
                </c:pt>
                <c:pt idx="13">
                  <c:v>18.816997126436782</c:v>
                </c:pt>
                <c:pt idx="14">
                  <c:v>20.05249662618084</c:v>
                </c:pt>
                <c:pt idx="15">
                  <c:v>17.354861111111109</c:v>
                </c:pt>
                <c:pt idx="16">
                  <c:v>19.04407258064516</c:v>
                </c:pt>
                <c:pt idx="17">
                  <c:v>29.82329166666667</c:v>
                </c:pt>
                <c:pt idx="18">
                  <c:v>25.886680107526882</c:v>
                </c:pt>
                <c:pt idx="19">
                  <c:v>40.923817204301074</c:v>
                </c:pt>
                <c:pt idx="20">
                  <c:v>39.51423611111111</c:v>
                </c:pt>
                <c:pt idx="21">
                  <c:v>26.933512786002691</c:v>
                </c:pt>
                <c:pt idx="22">
                  <c:v>35.711347222222223</c:v>
                </c:pt>
                <c:pt idx="23">
                  <c:v>39.257150537634409</c:v>
                </c:pt>
                <c:pt idx="24">
                  <c:v>50.858951612903233</c:v>
                </c:pt>
                <c:pt idx="25">
                  <c:v>54.54806547619048</c:v>
                </c:pt>
                <c:pt idx="26">
                  <c:v>46.732213225371119</c:v>
                </c:pt>
                <c:pt idx="27">
                  <c:v>47.862958333333339</c:v>
                </c:pt>
                <c:pt idx="28">
                  <c:v>55.208803763440862</c:v>
                </c:pt>
                <c:pt idx="29">
                  <c:v>73.58690277777778</c:v>
                </c:pt>
                <c:pt idx="30">
                  <c:v>81.44088709677419</c:v>
                </c:pt>
                <c:pt idx="31">
                  <c:v>84.363548387096785</c:v>
                </c:pt>
                <c:pt idx="32">
                  <c:v>123.9021111111111</c:v>
                </c:pt>
                <c:pt idx="33">
                  <c:v>106.9322745625841</c:v>
                </c:pt>
                <c:pt idx="34">
                  <c:v>136.38005555555549</c:v>
                </c:pt>
                <c:pt idx="35">
                  <c:v>191.06861559139779</c:v>
                </c:pt>
                <c:pt idx="36">
                  <c:v>111.62209677419349</c:v>
                </c:pt>
                <c:pt idx="37">
                  <c:v>100.2914136904762</c:v>
                </c:pt>
                <c:pt idx="38">
                  <c:v>227.92036437246961</c:v>
                </c:pt>
                <c:pt idx="39">
                  <c:v>152.83280555555561</c:v>
                </c:pt>
                <c:pt idx="40">
                  <c:v>162.65841397849459</c:v>
                </c:pt>
                <c:pt idx="41">
                  <c:v>213.2331388888889</c:v>
                </c:pt>
                <c:pt idx="42">
                  <c:v>233.47774193548389</c:v>
                </c:pt>
                <c:pt idx="43">
                  <c:v>449.7688306451613</c:v>
                </c:pt>
                <c:pt idx="44">
                  <c:v>328.80015277777778</c:v>
                </c:pt>
                <c:pt idx="45">
                  <c:v>136.89783310901751</c:v>
                </c:pt>
                <c:pt idx="46">
                  <c:v>145.05780555555549</c:v>
                </c:pt>
                <c:pt idx="47">
                  <c:v>248.88206989247311</c:v>
                </c:pt>
                <c:pt idx="48">
                  <c:v>99.762889784946225</c:v>
                </c:pt>
                <c:pt idx="49">
                  <c:v>100.6489285714286</c:v>
                </c:pt>
                <c:pt idx="50">
                  <c:v>89.795614035087723</c:v>
                </c:pt>
                <c:pt idx="51">
                  <c:v>83.651124999999993</c:v>
                </c:pt>
                <c:pt idx="52">
                  <c:v>66.151747311827961</c:v>
                </c:pt>
                <c:pt idx="53">
                  <c:v>91.423152777777773</c:v>
                </c:pt>
                <c:pt idx="54">
                  <c:v>65.24004032258064</c:v>
                </c:pt>
                <c:pt idx="55">
                  <c:v>86.293736559139788</c:v>
                </c:pt>
                <c:pt idx="56">
                  <c:v>85.484125000000006</c:v>
                </c:pt>
                <c:pt idx="57">
                  <c:v>56.925814266487208</c:v>
                </c:pt>
                <c:pt idx="58">
                  <c:v>81.486041666666665</c:v>
                </c:pt>
                <c:pt idx="59">
                  <c:v>70.879731182795695</c:v>
                </c:pt>
                <c:pt idx="60">
                  <c:v>78.214811827956993</c:v>
                </c:pt>
                <c:pt idx="61">
                  <c:v>54.722241379310347</c:v>
                </c:pt>
                <c:pt idx="62">
                  <c:v>61.040863697705802</c:v>
                </c:pt>
                <c:pt idx="63">
                  <c:v>60.476708333333328</c:v>
                </c:pt>
                <c:pt idx="64">
                  <c:v>58.122983870967737</c:v>
                </c:pt>
                <c:pt idx="65">
                  <c:v>66.79098611111111</c:v>
                </c:pt>
                <c:pt idx="66">
                  <c:v>62.841706989247307</c:v>
                </c:pt>
                <c:pt idx="67">
                  <c:v>72.614260752688182</c:v>
                </c:pt>
                <c:pt idx="68">
                  <c:v>70.411833333333334</c:v>
                </c:pt>
                <c:pt idx="69">
                  <c:v>76.326123822341856</c:v>
                </c:pt>
                <c:pt idx="70">
                  <c:v>95.282694444444431</c:v>
                </c:pt>
                <c:pt idx="71">
                  <c:v>92.728158602150543</c:v>
                </c:pt>
                <c:pt idx="72">
                  <c:v>100.1237365591398</c:v>
                </c:pt>
                <c:pt idx="73">
                  <c:v>117.9355505952381</c:v>
                </c:pt>
                <c:pt idx="74">
                  <c:v>82.846865319865316</c:v>
                </c:pt>
                <c:pt idx="75">
                  <c:v>75.806652777777785</c:v>
                </c:pt>
                <c:pt idx="76">
                  <c:v>63.082553763440863</c:v>
                </c:pt>
                <c:pt idx="77">
                  <c:v>56.448249999999987</c:v>
                </c:pt>
                <c:pt idx="78">
                  <c:v>79.959690860215062</c:v>
                </c:pt>
                <c:pt idx="79">
                  <c:v>75.315497311827954</c:v>
                </c:pt>
                <c:pt idx="80">
                  <c:v>83.288930555555552</c:v>
                </c:pt>
                <c:pt idx="81">
                  <c:v>82.368075370121133</c:v>
                </c:pt>
                <c:pt idx="82">
                  <c:v>93.695572916666663</c:v>
                </c:pt>
                <c:pt idx="83">
                  <c:v>82.081528897849466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90B-AD4B-9706-1D37552330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DK1 De-seasonalised Price Series (Primary)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'Electricity Price Data'!$E$1</c:f>
              <c:strCache>
                <c:ptCount val="1"/>
                <c:pt idx="0">
                  <c:v>DK1 De-seasonalised Price (EUR/MWh)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'Electricity Price Data'!$E$2:$E$85</c:f>
              <c:numCache>
                <c:formatCode>General</c:formatCode>
                <c:ptCount val="84"/>
                <c:pt idx="0">
                  <c:v>-25.234738863287252</c:v>
                </c:pt>
                <c:pt idx="1">
                  <c:v>-30.100228272343401</c:v>
                </c:pt>
                <c:pt idx="2">
                  <c:v>-48.899358826358807</c:v>
                </c:pt>
                <c:pt idx="3">
                  <c:v>-31.760585317460279</c:v>
                </c:pt>
                <c:pt idx="4">
                  <c:v>-30.622649769585269</c:v>
                </c:pt>
                <c:pt idx="5">
                  <c:v>-47.454873015873012</c:v>
                </c:pt>
                <c:pt idx="6">
                  <c:v>-50.913813364055301</c:v>
                </c:pt>
                <c:pt idx="7">
                  <c:v>-82.754126344086018</c:v>
                </c:pt>
                <c:pt idx="8">
                  <c:v>-74.756714285714281</c:v>
                </c:pt>
                <c:pt idx="9">
                  <c:v>-37.87848634877907</c:v>
                </c:pt>
                <c:pt idx="10">
                  <c:v>-47.388359623015852</c:v>
                </c:pt>
                <c:pt idx="11">
                  <c:v>-73.290233294930886</c:v>
                </c:pt>
                <c:pt idx="12">
                  <c:v>-50.535841013824893</c:v>
                </c:pt>
                <c:pt idx="13">
                  <c:v>-55.329114766596277</c:v>
                </c:pt>
                <c:pt idx="14">
                  <c:v>-64.205890540258949</c:v>
                </c:pt>
                <c:pt idx="15">
                  <c:v>-56.295224206349168</c:v>
                </c:pt>
                <c:pt idx="16">
                  <c:v>-51.998173963133659</c:v>
                </c:pt>
                <c:pt idx="17">
                  <c:v>-54.057817460317452</c:v>
                </c:pt>
                <c:pt idx="18">
                  <c:v>-65.111555299539162</c:v>
                </c:pt>
                <c:pt idx="19">
                  <c:v>-86.080537634408586</c:v>
                </c:pt>
                <c:pt idx="20">
                  <c:v>-71.60053373015873</c:v>
                </c:pt>
                <c:pt idx="21">
                  <c:v>-50.411137761968838</c:v>
                </c:pt>
                <c:pt idx="22">
                  <c:v>-65.378845734126969</c:v>
                </c:pt>
                <c:pt idx="23">
                  <c:v>-72.821080069124434</c:v>
                </c:pt>
                <c:pt idx="24">
                  <c:v>-25.32527649769585</c:v>
                </c:pt>
                <c:pt idx="25">
                  <c:v>-25.652683629486251</c:v>
                </c:pt>
                <c:pt idx="26">
                  <c:v>-37.378171242013337</c:v>
                </c:pt>
                <c:pt idx="27">
                  <c:v>-22.861890873015842</c:v>
                </c:pt>
                <c:pt idx="28">
                  <c:v>-13.74459869431645</c:v>
                </c:pt>
                <c:pt idx="29">
                  <c:v>-6.6142757936507914</c:v>
                </c:pt>
                <c:pt idx="30">
                  <c:v>-9.731877880184328</c:v>
                </c:pt>
                <c:pt idx="31">
                  <c:v>-37.831061827956987</c:v>
                </c:pt>
                <c:pt idx="32">
                  <c:v>15.228188492063509</c:v>
                </c:pt>
                <c:pt idx="33">
                  <c:v>40.813922803307079</c:v>
                </c:pt>
                <c:pt idx="34">
                  <c:v>52.664154265873037</c:v>
                </c:pt>
                <c:pt idx="35">
                  <c:v>82.017118855606753</c:v>
                </c:pt>
                <c:pt idx="36">
                  <c:v>42.464266513056842</c:v>
                </c:pt>
                <c:pt idx="37">
                  <c:v>40.206557441942309</c:v>
                </c:pt>
                <c:pt idx="38">
                  <c:v>153.31722686864791</c:v>
                </c:pt>
                <c:pt idx="39">
                  <c:v>92.808470238095268</c:v>
                </c:pt>
                <c:pt idx="40">
                  <c:v>103.8058717357911</c:v>
                </c:pt>
                <c:pt idx="41">
                  <c:v>134.09615476190481</c:v>
                </c:pt>
                <c:pt idx="42">
                  <c:v>185.3070468509984</c:v>
                </c:pt>
                <c:pt idx="43">
                  <c:v>336.13052419354841</c:v>
                </c:pt>
                <c:pt idx="44">
                  <c:v>232.6840773809524</c:v>
                </c:pt>
                <c:pt idx="45">
                  <c:v>60.905833974235733</c:v>
                </c:pt>
                <c:pt idx="46">
                  <c:v>50.570779265873028</c:v>
                </c:pt>
                <c:pt idx="47">
                  <c:v>142.3334091781874</c:v>
                </c:pt>
                <c:pt idx="48">
                  <c:v>37.011457373271902</c:v>
                </c:pt>
                <c:pt idx="49">
                  <c:v>45.22194434670422</c:v>
                </c:pt>
                <c:pt idx="50">
                  <c:v>16.60629569455887</c:v>
                </c:pt>
                <c:pt idx="51">
                  <c:v>25.44197023809528</c:v>
                </c:pt>
                <c:pt idx="52">
                  <c:v>5.9136136712749447</c:v>
                </c:pt>
                <c:pt idx="53">
                  <c:v>12.161335317460329</c:v>
                </c:pt>
                <c:pt idx="54">
                  <c:v>-24.919821428571421</c:v>
                </c:pt>
                <c:pt idx="55">
                  <c:v>-34.65271505376343</c:v>
                </c:pt>
                <c:pt idx="56">
                  <c:v>-25.39613095238094</c:v>
                </c:pt>
                <c:pt idx="57">
                  <c:v>-16.12012834070369</c:v>
                </c:pt>
                <c:pt idx="58">
                  <c:v>-0.97885962301585039</c:v>
                </c:pt>
                <c:pt idx="59">
                  <c:v>-37.849695660522272</c:v>
                </c:pt>
                <c:pt idx="60">
                  <c:v>-0.81545122887864352</c:v>
                </c:pt>
                <c:pt idx="61">
                  <c:v>-14.280249824067541</c:v>
                </c:pt>
                <c:pt idx="62">
                  <c:v>-21.28132913675017</c:v>
                </c:pt>
                <c:pt idx="63">
                  <c:v>-11.664210317460279</c:v>
                </c:pt>
                <c:pt idx="64">
                  <c:v>-9.5353110599078548</c:v>
                </c:pt>
                <c:pt idx="65">
                  <c:v>-16.581053571428559</c:v>
                </c:pt>
                <c:pt idx="66">
                  <c:v>-27.70077572964669</c:v>
                </c:pt>
                <c:pt idx="67">
                  <c:v>-47.666021505376342</c:v>
                </c:pt>
                <c:pt idx="68">
                  <c:v>-38.421992063492063</c:v>
                </c:pt>
                <c:pt idx="69">
                  <c:v>0.49408431070949632</c:v>
                </c:pt>
                <c:pt idx="70">
                  <c:v>6.7711681547619236</c:v>
                </c:pt>
                <c:pt idx="71">
                  <c:v>-15.49477630568356</c:v>
                </c:pt>
                <c:pt idx="72">
                  <c:v>22.4355837173579</c:v>
                </c:pt>
                <c:pt idx="73">
                  <c:v>39.933774703847078</c:v>
                </c:pt>
                <c:pt idx="74">
                  <c:v>1.8412271821745629</c:v>
                </c:pt>
                <c:pt idx="75">
                  <c:v>4.3314702380952781</c:v>
                </c:pt>
                <c:pt idx="76">
                  <c:v>-3.818751920122907</c:v>
                </c:pt>
                <c:pt idx="77">
                  <c:v>-21.549470238095228</c:v>
                </c:pt>
                <c:pt idx="78">
                  <c:v>-6.9292031490015384</c:v>
                </c:pt>
                <c:pt idx="79">
                  <c:v>-47.14606182795697</c:v>
                </c:pt>
                <c:pt idx="80">
                  <c:v>-37.73689484126983</c:v>
                </c:pt>
                <c:pt idx="81">
                  <c:v>2.1959113631994001</c:v>
                </c:pt>
                <c:pt idx="82">
                  <c:v>3.7399632936508169</c:v>
                </c:pt>
                <c:pt idx="83">
                  <c:v>-24.89474270353303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73E-0F47-A597-D7808F9263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  <c:txPr>
        <a:bodyPr/>
        <a:lstStyle/>
        <a:p>
          <a:pPr rtl="0">
            <a:defRPr/>
          </a:pPr>
          <a:endParaRPr lang="en-DK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 sz="1200"/>
            </a:pPr>
            <a:r>
              <a:rPr lang="en-GB" sz="1200"/>
              <a:t>Monthly Solar Penetration — DK1 and DK2 (%)</a:t>
            </a:r>
          </a:p>
        </c:rich>
      </c:tx>
      <c:layout>
        <c:manualLayout>
          <c:xMode val="edge"/>
          <c:yMode val="edge"/>
          <c:x val="0.2747863782370164"/>
          <c:y val="3.4883720930232558E-2"/>
        </c:manualLayout>
      </c:layout>
      <c:overlay val="1"/>
    </c:title>
    <c:autoTitleDeleted val="0"/>
    <c:plotArea>
      <c:layout>
        <c:manualLayout>
          <c:layoutTarget val="inner"/>
          <c:xMode val="edge"/>
          <c:yMode val="edge"/>
          <c:x val="9.3341008366733966E-2"/>
          <c:y val="0.14534883720930231"/>
          <c:w val="0.70830059599950734"/>
          <c:h val="0.70348837209302328"/>
        </c:manualLayout>
      </c:layout>
      <c:lineChart>
        <c:grouping val="standard"/>
        <c:varyColors val="1"/>
        <c:ser>
          <c:idx val="0"/>
          <c:order val="0"/>
          <c:tx>
            <c:strRef>
              <c:f>'Capture Price Inputs'!$G$4</c:f>
              <c:strCache>
                <c:ptCount val="1"/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'Capture Price Inputs'!$G$6:$G$89</c:f>
              <c:numCache>
                <c:formatCode>General</c:formatCode>
                <c:ptCount val="84"/>
                <c:pt idx="8">
                  <c:v>1.864323044087839E-3</c:v>
                </c:pt>
                <c:pt idx="9">
                  <c:v>4.9613393448072352E-3</c:v>
                </c:pt>
                <c:pt idx="10">
                  <c:v>1.532033335337761E-2</c:v>
                </c:pt>
                <c:pt idx="11">
                  <c:v>2.6180595134545931E-2</c:v>
                </c:pt>
                <c:pt idx="12">
                  <c:v>3.2240930774166239E-2</c:v>
                </c:pt>
                <c:pt idx="13">
                  <c:v>3.0651812088155841E-2</c:v>
                </c:pt>
                <c:pt idx="14">
                  <c:v>2.998206800974695E-2</c:v>
                </c:pt>
                <c:pt idx="15">
                  <c:v>2.8034713414307081E-2</c:v>
                </c:pt>
                <c:pt idx="16">
                  <c:v>2.1736479101595249E-2</c:v>
                </c:pt>
                <c:pt idx="17">
                  <c:v>1.107911770574695E-2</c:v>
                </c:pt>
                <c:pt idx="18">
                  <c:v>1.1044611578332841E-4</c:v>
                </c:pt>
                <c:pt idx="19">
                  <c:v>5.6352433584062588E-6</c:v>
                </c:pt>
                <c:pt idx="20">
                  <c:v>3.104474131982996E-3</c:v>
                </c:pt>
                <c:pt idx="21">
                  <c:v>9.2483369487723587E-3</c:v>
                </c:pt>
                <c:pt idx="22">
                  <c:v>1.8474517045212829E-2</c:v>
                </c:pt>
                <c:pt idx="23">
                  <c:v>3.2694407483312787E-2</c:v>
                </c:pt>
                <c:pt idx="24">
                  <c:v>3.2945829294540187E-2</c:v>
                </c:pt>
                <c:pt idx="25">
                  <c:v>4.4480133140056069E-2</c:v>
                </c:pt>
                <c:pt idx="26">
                  <c:v>3.7049542537302173E-2</c:v>
                </c:pt>
                <c:pt idx="27">
                  <c:v>3.1857768834261987E-2</c:v>
                </c:pt>
                <c:pt idx="28">
                  <c:v>2.23981137027396E-2</c:v>
                </c:pt>
                <c:pt idx="29">
                  <c:v>1.267326343754744E-2</c:v>
                </c:pt>
                <c:pt idx="30">
                  <c:v>4.0132810857910267E-3</c:v>
                </c:pt>
                <c:pt idx="31">
                  <c:v>1.8226295838260991E-3</c:v>
                </c:pt>
                <c:pt idx="32">
                  <c:v>4.939556742877535E-3</c:v>
                </c:pt>
                <c:pt idx="33">
                  <c:v>1.3248485586698279E-2</c:v>
                </c:pt>
                <c:pt idx="34">
                  <c:v>3.4089330349121053E-2</c:v>
                </c:pt>
                <c:pt idx="35">
                  <c:v>5.5254436099578648E-2</c:v>
                </c:pt>
                <c:pt idx="36">
                  <c:v>6.5811459960859395E-2</c:v>
                </c:pt>
                <c:pt idx="37">
                  <c:v>6.4528229045867816E-2</c:v>
                </c:pt>
                <c:pt idx="38">
                  <c:v>6.7025803801952916E-2</c:v>
                </c:pt>
                <c:pt idx="39">
                  <c:v>6.1299924397195817E-2</c:v>
                </c:pt>
                <c:pt idx="40">
                  <c:v>4.5784276103507021E-2</c:v>
                </c:pt>
                <c:pt idx="41">
                  <c:v>2.9809058027035401E-2</c:v>
                </c:pt>
                <c:pt idx="42">
                  <c:v>7.8652952619005494E-3</c:v>
                </c:pt>
                <c:pt idx="43">
                  <c:v>4.5323555529735481E-3</c:v>
                </c:pt>
                <c:pt idx="44">
                  <c:v>5.8626527231366082E-3</c:v>
                </c:pt>
                <c:pt idx="45">
                  <c:v>1.8877648418373551E-2</c:v>
                </c:pt>
                <c:pt idx="46">
                  <c:v>3.7096229392005707E-2</c:v>
                </c:pt>
                <c:pt idx="47">
                  <c:v>8.0269966033824955E-2</c:v>
                </c:pt>
                <c:pt idx="48">
                  <c:v>0.1080032082802261</c:v>
                </c:pt>
                <c:pt idx="49">
                  <c:v>0.1144244665352921</c:v>
                </c:pt>
                <c:pt idx="50">
                  <c:v>0.10203074507159759</c:v>
                </c:pt>
                <c:pt idx="51">
                  <c:v>7.7931010532967707E-2</c:v>
                </c:pt>
                <c:pt idx="52">
                  <c:v>8.0909954639318743E-2</c:v>
                </c:pt>
                <c:pt idx="53">
                  <c:v>2.9172340215594381E-2</c:v>
                </c:pt>
                <c:pt idx="54">
                  <c:v>1.04098691216888E-2</c:v>
                </c:pt>
                <c:pt idx="55">
                  <c:v>3.809030164374855E-3</c:v>
                </c:pt>
                <c:pt idx="56">
                  <c:v>6.1781830729755079E-3</c:v>
                </c:pt>
                <c:pt idx="57">
                  <c:v>1.667231366864759E-2</c:v>
                </c:pt>
                <c:pt idx="58">
                  <c:v>4.1112806367337662E-2</c:v>
                </c:pt>
                <c:pt idx="59">
                  <c:v>6.5123378744806448E-2</c:v>
                </c:pt>
                <c:pt idx="60">
                  <c:v>0.106315341440858</c:v>
                </c:pt>
                <c:pt idx="61">
                  <c:v>0.1072729076610999</c:v>
                </c:pt>
                <c:pt idx="62">
                  <c:v>0.1057942634887733</c:v>
                </c:pt>
                <c:pt idx="63">
                  <c:v>9.3690832268705199E-2</c:v>
                </c:pt>
                <c:pt idx="64">
                  <c:v>7.2463202820400169E-2</c:v>
                </c:pt>
                <c:pt idx="65">
                  <c:v>3.6145253892379881E-2</c:v>
                </c:pt>
                <c:pt idx="66">
                  <c:v>8.6028414054236078E-3</c:v>
                </c:pt>
                <c:pt idx="67">
                  <c:v>4.1714684657767577E-3</c:v>
                </c:pt>
                <c:pt idx="68">
                  <c:v>7.223240212576967E-3</c:v>
                </c:pt>
                <c:pt idx="69">
                  <c:v>2.010831138567791E-2</c:v>
                </c:pt>
                <c:pt idx="70">
                  <c:v>4.6547866447452589E-2</c:v>
                </c:pt>
                <c:pt idx="71">
                  <c:v>7.1689783649061992E-2</c:v>
                </c:pt>
                <c:pt idx="72">
                  <c:v>9.4714127256233946E-2</c:v>
                </c:pt>
                <c:pt idx="73">
                  <c:v>9.9826250015510765E-2</c:v>
                </c:pt>
                <c:pt idx="74">
                  <c:v>9.3996419418699143E-2</c:v>
                </c:pt>
                <c:pt idx="75">
                  <c:v>0.1057378118957395</c:v>
                </c:pt>
                <c:pt idx="76">
                  <c:v>9.0628879686523764E-2</c:v>
                </c:pt>
                <c:pt idx="77">
                  <c:v>3.9573125678626628E-2</c:v>
                </c:pt>
                <c:pt idx="78">
                  <c:v>1.454364344794783E-2</c:v>
                </c:pt>
                <c:pt idx="79">
                  <c:v>9.0694911608833299E-3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A7B-C14C-82E1-6F1CD55F89D2}"/>
            </c:ext>
          </c:extLst>
        </c:ser>
        <c:ser>
          <c:idx val="1"/>
          <c:order val="1"/>
          <c:tx>
            <c:strRef>
              <c:f>'Capture Price Inputs'!$H$4</c:f>
              <c:strCache>
                <c:ptCount val="1"/>
              </c:strCache>
            </c:strRef>
          </c:tx>
          <c:spPr>
            <a:ln>
              <a:solidFill>
                <a:srgbClr val="FFD700"/>
              </a:solidFill>
              <a:prstDash val="solid"/>
            </a:ln>
          </c:spPr>
          <c:marker>
            <c:symbol val="none"/>
          </c:marker>
          <c:val>
            <c:numRef>
              <c:f>'Capture Price Inputs'!$H$6:$H$89</c:f>
              <c:numCache>
                <c:formatCode>General</c:formatCode>
                <c:ptCount val="84"/>
                <c:pt idx="8">
                  <c:v>25.22320957280251</c:v>
                </c:pt>
                <c:pt idx="9">
                  <c:v>22.83581899109792</c:v>
                </c:pt>
                <c:pt idx="10">
                  <c:v>15.94107348554973</c:v>
                </c:pt>
                <c:pt idx="11">
                  <c:v>10.36487590420421</c:v>
                </c:pt>
                <c:pt idx="12">
                  <c:v>15.478548945086001</c:v>
                </c:pt>
                <c:pt idx="13">
                  <c:v>27.313308227868689</c:v>
                </c:pt>
                <c:pt idx="14">
                  <c:v>24.831745178109159</c:v>
                </c:pt>
                <c:pt idx="15">
                  <c:v>33.876915422047851</c:v>
                </c:pt>
                <c:pt idx="16">
                  <c:v>38.935979003379593</c:v>
                </c:pt>
                <c:pt idx="17">
                  <c:v>31.927741533059191</c:v>
                </c:pt>
                <c:pt idx="18">
                  <c:v>26.005993265993261</c:v>
                </c:pt>
                <c:pt idx="19">
                  <c:v>34.795161290322582</c:v>
                </c:pt>
                <c:pt idx="20">
                  <c:v>55.422967607277918</c:v>
                </c:pt>
                <c:pt idx="21">
                  <c:v>47.542610979142587</c:v>
                </c:pt>
                <c:pt idx="22">
                  <c:v>44.550700915805493</c:v>
                </c:pt>
                <c:pt idx="23">
                  <c:v>43.594739828473003</c:v>
                </c:pt>
                <c:pt idx="24">
                  <c:v>47.655870575001217</c:v>
                </c:pt>
                <c:pt idx="25">
                  <c:v>70.543547911111062</c:v>
                </c:pt>
                <c:pt idx="26">
                  <c:v>78.568319747758608</c:v>
                </c:pt>
                <c:pt idx="27">
                  <c:v>81.983351136401794</c:v>
                </c:pt>
                <c:pt idx="28">
                  <c:v>116.20022495544841</c:v>
                </c:pt>
                <c:pt idx="29">
                  <c:v>126.53039520323949</c:v>
                </c:pt>
                <c:pt idx="30">
                  <c:v>160.77058330102949</c:v>
                </c:pt>
                <c:pt idx="31">
                  <c:v>228.8621705579358</c:v>
                </c:pt>
                <c:pt idx="32">
                  <c:v>123.20125067917191</c:v>
                </c:pt>
                <c:pt idx="33">
                  <c:v>117.67077903546</c:v>
                </c:pt>
                <c:pt idx="34">
                  <c:v>191.50807173506701</c:v>
                </c:pt>
                <c:pt idx="35">
                  <c:v>145.70138715926041</c:v>
                </c:pt>
                <c:pt idx="36">
                  <c:v>149.4185612445558</c:v>
                </c:pt>
                <c:pt idx="37">
                  <c:v>194.71103409481981</c:v>
                </c:pt>
                <c:pt idx="38">
                  <c:v>239.3981525107354</c:v>
                </c:pt>
                <c:pt idx="39">
                  <c:v>419.79263722660602</c:v>
                </c:pt>
                <c:pt idx="40">
                  <c:v>310.70739927266709</c:v>
                </c:pt>
                <c:pt idx="41">
                  <c:v>125.6295598680838</c:v>
                </c:pt>
                <c:pt idx="42">
                  <c:v>131.7111886265582</c:v>
                </c:pt>
                <c:pt idx="43">
                  <c:v>282.82379374207261</c:v>
                </c:pt>
                <c:pt idx="44">
                  <c:v>138.52998868426329</c:v>
                </c:pt>
                <c:pt idx="45">
                  <c:v>109.87697572135031</c:v>
                </c:pt>
                <c:pt idx="46">
                  <c:v>93.774190940695377</c:v>
                </c:pt>
                <c:pt idx="47">
                  <c:v>76.25042822265543</c:v>
                </c:pt>
                <c:pt idx="48">
                  <c:v>50.543487760082613</c:v>
                </c:pt>
                <c:pt idx="49">
                  <c:v>74.888982776218057</c:v>
                </c:pt>
                <c:pt idx="50">
                  <c:v>52.095599438463452</c:v>
                </c:pt>
                <c:pt idx="51">
                  <c:v>74.180426039978187</c:v>
                </c:pt>
                <c:pt idx="52">
                  <c:v>68.116869623396937</c:v>
                </c:pt>
                <c:pt idx="53">
                  <c:v>50.539090519702853</c:v>
                </c:pt>
                <c:pt idx="54">
                  <c:v>90.680805562425178</c:v>
                </c:pt>
                <c:pt idx="55">
                  <c:v>63.455327688788032</c:v>
                </c:pt>
                <c:pt idx="56">
                  <c:v>78.571316441678306</c:v>
                </c:pt>
                <c:pt idx="57">
                  <c:v>59.479486768055089</c:v>
                </c:pt>
                <c:pt idx="58">
                  <c:v>51.269783241554933</c:v>
                </c:pt>
                <c:pt idx="59">
                  <c:v>49.383940562011212</c:v>
                </c:pt>
                <c:pt idx="60">
                  <c:v>35.894148271408874</c:v>
                </c:pt>
                <c:pt idx="61">
                  <c:v>47.037633727397647</c:v>
                </c:pt>
                <c:pt idx="62">
                  <c:v>42.521773223099522</c:v>
                </c:pt>
                <c:pt idx="63">
                  <c:v>52.17121747504909</c:v>
                </c:pt>
                <c:pt idx="64">
                  <c:v>45.647504626217007</c:v>
                </c:pt>
                <c:pt idx="65">
                  <c:v>58.441583787091993</c:v>
                </c:pt>
                <c:pt idx="66">
                  <c:v>97.582352616331917</c:v>
                </c:pt>
                <c:pt idx="67">
                  <c:v>92.073217693833982</c:v>
                </c:pt>
                <c:pt idx="68">
                  <c:v>111.1945655985155</c:v>
                </c:pt>
                <c:pt idx="69">
                  <c:v>105.41315973788279</c:v>
                </c:pt>
                <c:pt idx="70">
                  <c:v>57.84566339627056</c:v>
                </c:pt>
                <c:pt idx="71">
                  <c:v>45.844395770687349</c:v>
                </c:pt>
                <c:pt idx="72">
                  <c:v>40.065667394009381</c:v>
                </c:pt>
                <c:pt idx="73">
                  <c:v>33.493381965196598</c:v>
                </c:pt>
                <c:pt idx="74">
                  <c:v>61.32224821093979</c:v>
                </c:pt>
                <c:pt idx="75">
                  <c:v>47.755824567457559</c:v>
                </c:pt>
                <c:pt idx="76">
                  <c:v>49.429094996057238</c:v>
                </c:pt>
                <c:pt idx="77">
                  <c:v>74.266634537895257</c:v>
                </c:pt>
                <c:pt idx="78">
                  <c:v>95.564531802521344</c:v>
                </c:pt>
                <c:pt idx="79">
                  <c:v>80.958034242780258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A7B-C14C-82E1-6F1CD55F89D2}"/>
            </c:ext>
          </c:extLst>
        </c:ser>
        <c:ser>
          <c:idx val="2"/>
          <c:order val="2"/>
          <c:tx>
            <c:strRef>
              <c:f>'Capture Price Inputs'!$I$4</c:f>
              <c:strCache>
                <c:ptCount val="1"/>
              </c:strCache>
            </c:strRef>
          </c:tx>
          <c:spPr>
            <a:ln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'Capture Price Inputs'!$I$6:$I$89</c:f>
              <c:numCache>
                <c:formatCode>General</c:formatCode>
                <c:ptCount val="84"/>
                <c:pt idx="8">
                  <c:v>29.86213642213642</c:v>
                </c:pt>
                <c:pt idx="9">
                  <c:v>23.555517829721889</c:v>
                </c:pt>
                <c:pt idx="10">
                  <c:v>17.149050692261021</c:v>
                </c:pt>
                <c:pt idx="11">
                  <c:v>13.252523128367081</c:v>
                </c:pt>
                <c:pt idx="12">
                  <c:v>18.594049382716051</c:v>
                </c:pt>
                <c:pt idx="13">
                  <c:v>35.21078005032583</c:v>
                </c:pt>
                <c:pt idx="14">
                  <c:v>26.450778046867001</c:v>
                </c:pt>
                <c:pt idx="15">
                  <c:v>44.113765015404859</c:v>
                </c:pt>
                <c:pt idx="16">
                  <c:v>41.853047880870562</c:v>
                </c:pt>
                <c:pt idx="17">
                  <c:v>33.600878372903331</c:v>
                </c:pt>
                <c:pt idx="18">
                  <c:v>37.749765625000002</c:v>
                </c:pt>
                <c:pt idx="19">
                  <c:v>44.191428571428567</c:v>
                </c:pt>
                <c:pt idx="20">
                  <c:v>57.072134410081453</c:v>
                </c:pt>
                <c:pt idx="21">
                  <c:v>52.285083654524577</c:v>
                </c:pt>
                <c:pt idx="22">
                  <c:v>47.422643011897812</c:v>
                </c:pt>
                <c:pt idx="23">
                  <c:v>45.901363748248833</c:v>
                </c:pt>
                <c:pt idx="24">
                  <c:v>50.258720231460799</c:v>
                </c:pt>
                <c:pt idx="25">
                  <c:v>69.469341653776226</c:v>
                </c:pt>
                <c:pt idx="26">
                  <c:v>77.933111551394319</c:v>
                </c:pt>
                <c:pt idx="27">
                  <c:v>84.512747690257029</c:v>
                </c:pt>
                <c:pt idx="28">
                  <c:v>118.7457227855615</c:v>
                </c:pt>
                <c:pt idx="29">
                  <c:v>122.3841235967906</c:v>
                </c:pt>
                <c:pt idx="30">
                  <c:v>153.62679427815749</c:v>
                </c:pt>
                <c:pt idx="31">
                  <c:v>244.48727859764409</c:v>
                </c:pt>
                <c:pt idx="32">
                  <c:v>129.67749023150819</c:v>
                </c:pt>
                <c:pt idx="33">
                  <c:v>108.80333899256409</c:v>
                </c:pt>
                <c:pt idx="34">
                  <c:v>186.0504424586062</c:v>
                </c:pt>
                <c:pt idx="35">
                  <c:v>143.53758886421849</c:v>
                </c:pt>
                <c:pt idx="36">
                  <c:v>146.25360234460331</c:v>
                </c:pt>
                <c:pt idx="37">
                  <c:v>192.2325905808319</c:v>
                </c:pt>
                <c:pt idx="38">
                  <c:v>212.3625858003895</c:v>
                </c:pt>
                <c:pt idx="39">
                  <c:v>397.17988485976059</c:v>
                </c:pt>
                <c:pt idx="40">
                  <c:v>315.92884279677901</c:v>
                </c:pt>
                <c:pt idx="41">
                  <c:v>120.1190076327392</c:v>
                </c:pt>
                <c:pt idx="42">
                  <c:v>134.0399027878758</c:v>
                </c:pt>
                <c:pt idx="43">
                  <c:v>303.26978481668573</c:v>
                </c:pt>
                <c:pt idx="44">
                  <c:v>120.8992864784306</c:v>
                </c:pt>
                <c:pt idx="45">
                  <c:v>103.112625406295</c:v>
                </c:pt>
                <c:pt idx="46">
                  <c:v>89.098468921641697</c:v>
                </c:pt>
                <c:pt idx="47">
                  <c:v>71.125099705594195</c:v>
                </c:pt>
                <c:pt idx="48">
                  <c:v>48.358083796456327</c:v>
                </c:pt>
                <c:pt idx="49">
                  <c:v>71.862090372222397</c:v>
                </c:pt>
                <c:pt idx="50">
                  <c:v>50.345966617092351</c:v>
                </c:pt>
                <c:pt idx="51">
                  <c:v>72.957992347987414</c:v>
                </c:pt>
                <c:pt idx="52">
                  <c:v>64.394484672464898</c:v>
                </c:pt>
                <c:pt idx="53">
                  <c:v>47.660255094286853</c:v>
                </c:pt>
                <c:pt idx="54">
                  <c:v>84.639978605265995</c:v>
                </c:pt>
                <c:pt idx="55">
                  <c:v>59.061746333079718</c:v>
                </c:pt>
                <c:pt idx="56">
                  <c:v>76.427202535219209</c:v>
                </c:pt>
                <c:pt idx="57">
                  <c:v>51.434379196547752</c:v>
                </c:pt>
                <c:pt idx="58">
                  <c:v>50.751163813053438</c:v>
                </c:pt>
                <c:pt idx="59">
                  <c:v>47.053967904827999</c:v>
                </c:pt>
                <c:pt idx="60">
                  <c:v>34.295794113692892</c:v>
                </c:pt>
                <c:pt idx="61">
                  <c:v>46.379384034583367</c:v>
                </c:pt>
                <c:pt idx="62">
                  <c:v>38.812821969471173</c:v>
                </c:pt>
                <c:pt idx="63">
                  <c:v>47.151863118292532</c:v>
                </c:pt>
                <c:pt idx="64">
                  <c:v>43.355946350842189</c:v>
                </c:pt>
                <c:pt idx="65">
                  <c:v>59.534937630286556</c:v>
                </c:pt>
                <c:pt idx="66">
                  <c:v>89.611277477917284</c:v>
                </c:pt>
                <c:pt idx="67">
                  <c:v>100.7961313991171</c:v>
                </c:pt>
                <c:pt idx="68">
                  <c:v>115.0822593270056</c:v>
                </c:pt>
                <c:pt idx="69">
                  <c:v>106.92318207316821</c:v>
                </c:pt>
                <c:pt idx="70">
                  <c:v>50.018062961268747</c:v>
                </c:pt>
                <c:pt idx="71">
                  <c:v>41.82584156307518</c:v>
                </c:pt>
                <c:pt idx="72">
                  <c:v>34.320660344591218</c:v>
                </c:pt>
                <c:pt idx="73">
                  <c:v>24.31568572006325</c:v>
                </c:pt>
                <c:pt idx="74">
                  <c:v>59.766943882147693</c:v>
                </c:pt>
                <c:pt idx="75">
                  <c:v>43.064604783544858</c:v>
                </c:pt>
                <c:pt idx="76">
                  <c:v>52.949405153808357</c:v>
                </c:pt>
                <c:pt idx="77">
                  <c:v>78.645730322406678</c:v>
                </c:pt>
                <c:pt idx="78">
                  <c:v>92.690454871532665</c:v>
                </c:pt>
                <c:pt idx="79">
                  <c:v>79.631228022083661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A7B-C14C-82E1-6F1CD55F89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layout>
            <c:manualLayout>
              <c:xMode val="edge"/>
              <c:yMode val="edge"/>
              <c:x val="0.40463932080692078"/>
              <c:y val="0.93023255813953487"/>
            </c:manualLayout>
          </c:layout>
          <c:overlay val="1"/>
        </c:title>
        <c:majorTickMark val="out"/>
        <c:minorTickMark val="none"/>
        <c:tickLblPos val="low"/>
        <c:crossAx val="100"/>
        <c:crosses val="autoZero"/>
        <c:auto val="1"/>
        <c:lblAlgn val="ctr"/>
        <c:lblOffset val="100"/>
        <c:tickLblSkip val="12"/>
        <c:tickMarkSkip val="12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Solar Penetration (%)</a:t>
                </a:r>
              </a:p>
            </c:rich>
          </c:tx>
          <c:layout>
            <c:manualLayout>
              <c:xMode val="edge"/>
              <c:yMode val="edge"/>
              <c:x val="2.2095473625363609E-2"/>
              <c:y val="0.36427325581395348"/>
            </c:manualLayout>
          </c:layout>
          <c:overlay val="1"/>
        </c:title>
        <c:numFmt formatCode="General" sourceLinked="1"/>
        <c:majorTickMark val="out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 sz="1100"/>
            </a:pPr>
            <a:r>
              <a:rPr lang="en-GB" sz="1100"/>
              <a:t>Monthly Capture Price — DK1 and DK2 (EUR/MWh)</a:t>
            </a:r>
          </a:p>
        </c:rich>
      </c:tx>
      <c:layout>
        <c:manualLayout>
          <c:xMode val="edge"/>
          <c:yMode val="edge"/>
          <c:x val="0.28049034935615003"/>
          <c:y val="3.8217592592592588E-2"/>
        </c:manualLayout>
      </c:layout>
      <c:overlay val="1"/>
    </c:title>
    <c:autoTitleDeleted val="0"/>
    <c:plotArea>
      <c:layout>
        <c:manualLayout>
          <c:layoutTarget val="inner"/>
          <c:xMode val="edge"/>
          <c:yMode val="edge"/>
          <c:x val="0.1022864019253911"/>
          <c:y val="0.12347222222222221"/>
          <c:w val="0.69314079422382668"/>
          <c:h val="0.70895833333333347"/>
        </c:manualLayout>
      </c:layout>
      <c:lineChart>
        <c:grouping val="standard"/>
        <c:varyColors val="1"/>
        <c:ser>
          <c:idx val="0"/>
          <c:order val="0"/>
          <c:tx>
            <c:strRef>
              <c:f>'Capture Price Inputs'!$J$4</c:f>
              <c:strCache>
                <c:ptCount val="1"/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Inputs'!$J$6:$J$89</c:f>
              <c:numCache>
                <c:formatCode>General</c:formatCode>
                <c:ptCount val="84"/>
                <c:pt idx="8">
                  <c:v>1.0091486594474419</c:v>
                </c:pt>
                <c:pt idx="9">
                  <c:v>1.2985911686950511</c:v>
                </c:pt>
                <c:pt idx="10">
                  <c:v>0.8710146939215303</c:v>
                </c:pt>
                <c:pt idx="11">
                  <c:v>0.71315772558819213</c:v>
                </c:pt>
                <c:pt idx="12">
                  <c:v>0.96415576931205649</c:v>
                </c:pt>
                <c:pt idx="13">
                  <c:v>1.0394664137310941</c:v>
                </c:pt>
                <c:pt idx="14">
                  <c:v>1.0086181556608309</c:v>
                </c:pt>
                <c:pt idx="15">
                  <c:v>0.98082264407500741</c:v>
                </c:pt>
                <c:pt idx="16">
                  <c:v>1.0104044869130051</c:v>
                </c:pt>
                <c:pt idx="17">
                  <c:v>1.236802226812374</c:v>
                </c:pt>
                <c:pt idx="18">
                  <c:v>1.094777917215692</c:v>
                </c:pt>
                <c:pt idx="19">
                  <c:v>1.0082301641826621</c:v>
                </c:pt>
                <c:pt idx="20">
                  <c:v>1.103930861568265</c:v>
                </c:pt>
                <c:pt idx="21">
                  <c:v>1.0059479277054251</c:v>
                </c:pt>
                <c:pt idx="22">
                  <c:v>0.9871758725122356</c:v>
                </c:pt>
                <c:pt idx="23">
                  <c:v>0.90884647456650169</c:v>
                </c:pt>
                <c:pt idx="24">
                  <c:v>0.87751805187154364</c:v>
                </c:pt>
                <c:pt idx="25">
                  <c:v>0.95691427953473174</c:v>
                </c:pt>
                <c:pt idx="26">
                  <c:v>0.98211323715969778</c:v>
                </c:pt>
                <c:pt idx="27">
                  <c:v>0.99027147802450566</c:v>
                </c:pt>
                <c:pt idx="28">
                  <c:v>0.92690440483613579</c:v>
                </c:pt>
                <c:pt idx="29">
                  <c:v>1.0810885074134391</c:v>
                </c:pt>
                <c:pt idx="30">
                  <c:v>1.1338034085044659</c:v>
                </c:pt>
                <c:pt idx="31">
                  <c:v>1.2086769624549281</c:v>
                </c:pt>
                <c:pt idx="32">
                  <c:v>1.0441257304277269</c:v>
                </c:pt>
                <c:pt idx="33">
                  <c:v>1.04022281700981</c:v>
                </c:pt>
                <c:pt idx="34">
                  <c:v>0.81207759044207406</c:v>
                </c:pt>
                <c:pt idx="35">
                  <c:v>0.89039133384678326</c:v>
                </c:pt>
                <c:pt idx="36">
                  <c:v>0.86943016050498578</c:v>
                </c:pt>
                <c:pt idx="37">
                  <c:v>0.90803902012341908</c:v>
                </c:pt>
                <c:pt idx="38">
                  <c:v>0.87041791592949547</c:v>
                </c:pt>
                <c:pt idx="39">
                  <c:v>0.91908553046700026</c:v>
                </c:pt>
                <c:pt idx="40">
                  <c:v>0.90632901805683119</c:v>
                </c:pt>
                <c:pt idx="41">
                  <c:v>0.91612325253961768</c:v>
                </c:pt>
                <c:pt idx="42">
                  <c:v>0.94278612074660006</c:v>
                </c:pt>
                <c:pt idx="43">
                  <c:v>1.132810339248927</c:v>
                </c:pt>
                <c:pt idx="44">
                  <c:v>1.2309198691226539</c:v>
                </c:pt>
                <c:pt idx="45">
                  <c:v>0.93008781340266</c:v>
                </c:pt>
                <c:pt idx="46">
                  <c:v>0.94612539759598957</c:v>
                </c:pt>
                <c:pt idx="47">
                  <c:v>0.79203966120386338</c:v>
                </c:pt>
                <c:pt idx="48">
                  <c:v>0.68333610561519953</c:v>
                </c:pt>
                <c:pt idx="49">
                  <c:v>0.80965062086215667</c:v>
                </c:pt>
                <c:pt idx="50">
                  <c:v>0.80380421953260928</c:v>
                </c:pt>
                <c:pt idx="51">
                  <c:v>0.86289309777204071</c:v>
                </c:pt>
                <c:pt idx="52">
                  <c:v>0.8038389922187259</c:v>
                </c:pt>
                <c:pt idx="53">
                  <c:v>0.84083605560542263</c:v>
                </c:pt>
                <c:pt idx="54">
                  <c:v>1.028656893611996</c:v>
                </c:pt>
                <c:pt idx="55">
                  <c:v>0.91325607762876626</c:v>
                </c:pt>
                <c:pt idx="56">
                  <c:v>1.051614630458469</c:v>
                </c:pt>
                <c:pt idx="57">
                  <c:v>1.0144208291794441</c:v>
                </c:pt>
                <c:pt idx="58">
                  <c:v>0.8373818542217274</c:v>
                </c:pt>
                <c:pt idx="59">
                  <c:v>0.83468460161643787</c:v>
                </c:pt>
                <c:pt idx="60">
                  <c:v>0.61339845366508694</c:v>
                </c:pt>
                <c:pt idx="61">
                  <c:v>0.73781003223868646</c:v>
                </c:pt>
                <c:pt idx="62">
                  <c:v>0.68549949487061801</c:v>
                </c:pt>
                <c:pt idx="63">
                  <c:v>0.71512676219349525</c:v>
                </c:pt>
                <c:pt idx="64">
                  <c:v>0.63652522303957304</c:v>
                </c:pt>
                <c:pt idx="65">
                  <c:v>0.76175188075929667</c:v>
                </c:pt>
                <c:pt idx="66">
                  <c:v>1.0174940038611719</c:v>
                </c:pt>
                <c:pt idx="67">
                  <c:v>1.0025674160411211</c:v>
                </c:pt>
                <c:pt idx="68">
                  <c:v>1.135032584901597</c:v>
                </c:pt>
                <c:pt idx="69">
                  <c:v>0.93411665141872979</c:v>
                </c:pt>
                <c:pt idx="70">
                  <c:v>0.68579081688022481</c:v>
                </c:pt>
                <c:pt idx="71">
                  <c:v>0.60995353561832499</c:v>
                </c:pt>
                <c:pt idx="72">
                  <c:v>0.62375117423189408</c:v>
                </c:pt>
                <c:pt idx="73">
                  <c:v>0.56976432128633303</c:v>
                </c:pt>
                <c:pt idx="74">
                  <c:v>0.74058967108380014</c:v>
                </c:pt>
                <c:pt idx="75">
                  <c:v>0.64997112344594554</c:v>
                </c:pt>
                <c:pt idx="76">
                  <c:v>0.68273474898658593</c:v>
                </c:pt>
                <c:pt idx="77">
                  <c:v>0.94701517193480578</c:v>
                </c:pt>
                <c:pt idx="78">
                  <c:v>1.0289764309560969</c:v>
                </c:pt>
                <c:pt idx="79">
                  <c:v>0.98205388617926037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0A-1140-A17B-A791A8267024}"/>
            </c:ext>
          </c:extLst>
        </c:ser>
        <c:ser>
          <c:idx val="1"/>
          <c:order val="1"/>
          <c:tx>
            <c:strRef>
              <c:f>'Capture Price Inputs'!$K$4</c:f>
              <c:strCache>
                <c:ptCount val="1"/>
              </c:strCache>
            </c:strRef>
          </c:tx>
          <c:spPr>
            <a:ln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'Capture Price Inputs'!$K$6:$K$89</c:f>
              <c:numCache>
                <c:formatCode>General</c:formatCode>
                <c:ptCount val="84"/>
                <c:pt idx="8">
                  <c:v>1.090446324793763</c:v>
                </c:pt>
                <c:pt idx="9">
                  <c:v>1.251821301318464</c:v>
                </c:pt>
                <c:pt idx="10">
                  <c:v>0.85520775851277109</c:v>
                </c:pt>
                <c:pt idx="11">
                  <c:v>0.76362023547871605</c:v>
                </c:pt>
                <c:pt idx="12">
                  <c:v>0.97636938233545278</c:v>
                </c:pt>
                <c:pt idx="13">
                  <c:v>1.180647007173951</c:v>
                </c:pt>
                <c:pt idx="14">
                  <c:v>1.021791049952987</c:v>
                </c:pt>
                <c:pt idx="15">
                  <c:v>1.077948442472481</c:v>
                </c:pt>
                <c:pt idx="16">
                  <c:v>1.0591890923358069</c:v>
                </c:pt>
                <c:pt idx="17">
                  <c:v>1.247549053102559</c:v>
                </c:pt>
                <c:pt idx="18">
                  <c:v>1.057080411727209</c:v>
                </c:pt>
                <c:pt idx="19">
                  <c:v>1.125691191699302</c:v>
                </c:pt>
                <c:pt idx="20">
                  <c:v>1.122164979814525</c:v>
                </c:pt>
                <c:pt idx="21">
                  <c:v>0.9585139857498034</c:v>
                </c:pt>
                <c:pt idx="22">
                  <c:v>1.0147741726503949</c:v>
                </c:pt>
                <c:pt idx="23">
                  <c:v>0.95901643664766134</c:v>
                </c:pt>
                <c:pt idx="24">
                  <c:v>0.91033887361171206</c:v>
                </c:pt>
                <c:pt idx="25">
                  <c:v>0.94404491874816343</c:v>
                </c:pt>
                <c:pt idx="26">
                  <c:v>0.95692856904650769</c:v>
                </c:pt>
                <c:pt idx="27">
                  <c:v>1.001768528067071</c:v>
                </c:pt>
                <c:pt idx="28">
                  <c:v>0.95838336990944806</c:v>
                </c:pt>
                <c:pt idx="29">
                  <c:v>1.1445012658471321</c:v>
                </c:pt>
                <c:pt idx="30">
                  <c:v>1.1264608571418011</c:v>
                </c:pt>
                <c:pt idx="31">
                  <c:v>1.279578427053047</c:v>
                </c:pt>
                <c:pt idx="32">
                  <c:v>1.1617546523412821</c:v>
                </c:pt>
                <c:pt idx="33">
                  <c:v>1.084871924613185</c:v>
                </c:pt>
                <c:pt idx="34">
                  <c:v>0.81629582758371144</c:v>
                </c:pt>
                <c:pt idx="35">
                  <c:v>0.93918048773921026</c:v>
                </c:pt>
                <c:pt idx="36">
                  <c:v>0.89914563143311954</c:v>
                </c:pt>
                <c:pt idx="37">
                  <c:v>0.90151367457475784</c:v>
                </c:pt>
                <c:pt idx="38">
                  <c:v>0.90956244496775596</c:v>
                </c:pt>
                <c:pt idx="39">
                  <c:v>0.8830756108422062</c:v>
                </c:pt>
                <c:pt idx="40">
                  <c:v>0.96085369829588263</c:v>
                </c:pt>
                <c:pt idx="41">
                  <c:v>0.87743541957368609</c:v>
                </c:pt>
                <c:pt idx="42">
                  <c:v>0.92404474391789948</c:v>
                </c:pt>
                <c:pt idx="43">
                  <c:v>1.2185280560697289</c:v>
                </c:pt>
                <c:pt idx="44">
                  <c:v>1.2118663236304299</c:v>
                </c:pt>
                <c:pt idx="45">
                  <c:v>1.0244781228159621</c:v>
                </c:pt>
                <c:pt idx="46">
                  <c:v>0.99223631219701203</c:v>
                </c:pt>
                <c:pt idx="47">
                  <c:v>0.85025873478203906</c:v>
                </c:pt>
                <c:pt idx="48">
                  <c:v>0.73101748270540212</c:v>
                </c:pt>
                <c:pt idx="49">
                  <c:v>0.78603819917365525</c:v>
                </c:pt>
                <c:pt idx="50">
                  <c:v>0.77170348712471282</c:v>
                </c:pt>
                <c:pt idx="51">
                  <c:v>0.84546104105698361</c:v>
                </c:pt>
                <c:pt idx="52">
                  <c:v>0.75329173308453345</c:v>
                </c:pt>
                <c:pt idx="53">
                  <c:v>0.83723449033464103</c:v>
                </c:pt>
                <c:pt idx="54">
                  <c:v>1.038705241708771</c:v>
                </c:pt>
                <c:pt idx="55">
                  <c:v>0.83326707575628478</c:v>
                </c:pt>
                <c:pt idx="56">
                  <c:v>0.97714487510792902</c:v>
                </c:pt>
                <c:pt idx="57">
                  <c:v>0.93991726033346112</c:v>
                </c:pt>
                <c:pt idx="58">
                  <c:v>0.8314293202728863</c:v>
                </c:pt>
                <c:pt idx="59">
                  <c:v>0.77805107456374178</c:v>
                </c:pt>
                <c:pt idx="60">
                  <c:v>0.59005563427075769</c:v>
                </c:pt>
                <c:pt idx="61">
                  <c:v>0.69439585691141426</c:v>
                </c:pt>
                <c:pt idx="62">
                  <c:v>0.61762838453946423</c:v>
                </c:pt>
                <c:pt idx="63">
                  <c:v>0.64934714792296455</c:v>
                </c:pt>
                <c:pt idx="64">
                  <c:v>0.61574801135475132</c:v>
                </c:pt>
                <c:pt idx="65">
                  <c:v>0.78000735067931948</c:v>
                </c:pt>
                <c:pt idx="66">
                  <c:v>0.94047799551015088</c:v>
                </c:pt>
                <c:pt idx="67">
                  <c:v>1.0870067185479459</c:v>
                </c:pt>
                <c:pt idx="68">
                  <c:v>1.1494003648079021</c:v>
                </c:pt>
                <c:pt idx="69">
                  <c:v>0.90662384271333907</c:v>
                </c:pt>
                <c:pt idx="70">
                  <c:v>0.60374116471580297</c:v>
                </c:pt>
                <c:pt idx="71">
                  <c:v>0.55174367988103734</c:v>
                </c:pt>
                <c:pt idx="72">
                  <c:v>0.54405946330729504</c:v>
                </c:pt>
                <c:pt idx="73">
                  <c:v>0.4307606652121766</c:v>
                </c:pt>
                <c:pt idx="74">
                  <c:v>0.74746341861966192</c:v>
                </c:pt>
                <c:pt idx="75">
                  <c:v>0.57178942343359873</c:v>
                </c:pt>
                <c:pt idx="76">
                  <c:v>0.63573160083367797</c:v>
                </c:pt>
                <c:pt idx="77">
                  <c:v>0.95480840081563045</c:v>
                </c:pt>
                <c:pt idx="78">
                  <c:v>0.98927251294969987</c:v>
                </c:pt>
                <c:pt idx="79">
                  <c:v>0.97014796253594149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0A-1140-A17B-A791A82670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layout>
            <c:manualLayout>
              <c:xMode val="edge"/>
              <c:yMode val="edge"/>
              <c:x val="0.40780986762936222"/>
              <c:y val="0.92650462962962976"/>
            </c:manualLayout>
          </c:layout>
          <c:overlay val="1"/>
        </c:title>
        <c:majorTickMark val="out"/>
        <c:minorTickMark val="none"/>
        <c:tickLblPos val="nextTo"/>
        <c:crossAx val="100"/>
        <c:crosses val="autoZero"/>
        <c:auto val="1"/>
        <c:lblAlgn val="ctr"/>
        <c:lblOffset val="100"/>
        <c:tickLblSkip val="12"/>
        <c:tickMarkSkip val="12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layout>
            <c:manualLayout>
              <c:xMode val="edge"/>
              <c:yMode val="edge"/>
              <c:x val="2.261728114310621E-2"/>
              <c:y val="0.43304560185185181"/>
            </c:manualLayout>
          </c:layout>
          <c:overlay val="1"/>
        </c:title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 sz="1200"/>
            </a:pPr>
            <a:r>
              <a:rPr lang="en-GB" sz="1200"/>
              <a:t>Monthly Capture Price Ratio — DK1 and DK2</a:t>
            </a:r>
          </a:p>
        </c:rich>
      </c:tx>
      <c:layout>
        <c:manualLayout>
          <c:xMode val="edge"/>
          <c:yMode val="edge"/>
          <c:x val="0.29282525377098939"/>
          <c:y val="2.9398148148148149E-2"/>
        </c:manualLayout>
      </c:layout>
      <c:overlay val="1"/>
    </c:title>
    <c:autoTitleDeleted val="0"/>
    <c:plotArea>
      <c:layout>
        <c:manualLayout>
          <c:layoutTarget val="inner"/>
          <c:xMode val="edge"/>
          <c:yMode val="edge"/>
          <c:x val="9.8795180722891562E-2"/>
          <c:y val="0.12935185185185191"/>
          <c:w val="0.69036144578313252"/>
          <c:h val="0.69131944444444449"/>
        </c:manualLayout>
      </c:layout>
      <c:lineChart>
        <c:grouping val="standard"/>
        <c:varyColors val="1"/>
        <c:ser>
          <c:idx val="0"/>
          <c:order val="0"/>
          <c:tx>
            <c:strRef>
              <c:f>'Capture Price Inputs'!$L$4</c:f>
              <c:strCache>
                <c:ptCount val="1"/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Inputs'!$L$6:$L$89</c:f>
              <c:numCache>
                <c:formatCode>General</c:formatCode>
                <c:ptCount val="84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AB9-7A44-A915-87B5358B5E5C}"/>
            </c:ext>
          </c:extLst>
        </c:ser>
        <c:ser>
          <c:idx val="1"/>
          <c:order val="1"/>
          <c:tx>
            <c:strRef>
              <c:f>'Capture Price Inputs'!$M$4</c:f>
              <c:strCache>
                <c:ptCount val="1"/>
              </c:strCache>
            </c:strRef>
          </c:tx>
          <c:spPr>
            <a:ln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'Capture Price Inputs'!$M$6:$M$89</c:f>
              <c:numCache>
                <c:formatCode>General</c:formatCode>
                <c:ptCount val="84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AB9-7A44-A915-87B5358B5E5C}"/>
            </c:ext>
          </c:extLst>
        </c:ser>
        <c:ser>
          <c:idx val="2"/>
          <c:order val="2"/>
          <c:tx>
            <c:strRef>
              <c:f>'Capture Price Inputs'!$N$4</c:f>
              <c:strCache>
                <c:ptCount val="1"/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'Capture Price Inputs'!$N$6:$N$89</c:f>
              <c:numCache>
                <c:formatCode>General</c:formatCode>
                <c:ptCount val="84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AB9-7A44-A915-87B5358B5E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layout>
            <c:manualLayout>
              <c:xMode val="edge"/>
              <c:yMode val="edge"/>
              <c:x val="0.40950602409638548"/>
              <c:y val="0.89710648148148153"/>
            </c:manualLayout>
          </c:layout>
          <c:overlay val="1"/>
        </c:title>
        <c:majorTickMark val="out"/>
        <c:minorTickMark val="none"/>
        <c:tickLblPos val="nextTo"/>
        <c:crossAx val="100"/>
        <c:crosses val="autoZero"/>
        <c:auto val="1"/>
        <c:lblAlgn val="ctr"/>
        <c:lblOffset val="100"/>
        <c:tickLblSkip val="12"/>
        <c:tickMarkSkip val="12"/>
        <c:noMultiLvlLbl val="1"/>
      </c:catAx>
      <c:valAx>
        <c:axId val="100"/>
        <c:scaling>
          <c:orientation val="minMax"/>
          <c:max val="1.8"/>
          <c:min val="0.2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CPR (Capture Price / Spot Price)</a:t>
                </a:r>
              </a:p>
            </c:rich>
          </c:tx>
          <c:layout>
            <c:manualLayout>
              <c:xMode val="edge"/>
              <c:yMode val="edge"/>
              <c:x val="2.2644530879423211E-2"/>
              <c:y val="0.29363958333333329"/>
            </c:manualLayout>
          </c:layout>
          <c:overlay val="1"/>
        </c:title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  <c:majorUnit val="0.2"/>
      </c:valAx>
    </c:plotArea>
    <c:legend>
      <c:legendPos val="r"/>
      <c:layout>
        <c:manualLayout>
          <c:xMode val="edge"/>
          <c:yMode val="edge"/>
          <c:x val="0.85349397590361442"/>
          <c:y val="0.42319907407407409"/>
          <c:w val="7.9036144578313247E-2"/>
          <c:h val="0.15948124999999999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Monthly Solar Penetration — DK1 and DK2 (%)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Inputs'!$F$1</c:f>
              <c:strCache>
                <c:ptCount val="1"/>
                <c:pt idx="0">
                  <c:v>DK1 Solar Penetration (%) — Primary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'Capture Price Inputs'!$F$2:$F$85</c:f>
              <c:numCache>
                <c:formatCode>General</c:formatCode>
                <c:ptCount val="84"/>
                <c:pt idx="12">
                  <c:v>2.2644478926294831E-3</c:v>
                </c:pt>
                <c:pt idx="13">
                  <c:v>5.2474520244822449E-3</c:v>
                </c:pt>
                <c:pt idx="14">
                  <c:v>2.020167759412729E-2</c:v>
                </c:pt>
                <c:pt idx="15">
                  <c:v>3.2427989612304697E-2</c:v>
                </c:pt>
                <c:pt idx="16">
                  <c:v>3.6080087237903569E-2</c:v>
                </c:pt>
                <c:pt idx="17">
                  <c:v>3.7413618831640891E-2</c:v>
                </c:pt>
                <c:pt idx="18">
                  <c:v>3.3998433859503921E-2</c:v>
                </c:pt>
                <c:pt idx="19">
                  <c:v>3.4224763142537661E-2</c:v>
                </c:pt>
                <c:pt idx="20">
                  <c:v>2.4330151939157239E-2</c:v>
                </c:pt>
                <c:pt idx="21">
                  <c:v>1.1490387549446779E-2</c:v>
                </c:pt>
                <c:pt idx="22">
                  <c:v>1.521101274151999E-4</c:v>
                </c:pt>
                <c:pt idx="23">
                  <c:v>1.472410662127807E-5</c:v>
                </c:pt>
                <c:pt idx="24">
                  <c:v>3.6313559990350909E-3</c:v>
                </c:pt>
                <c:pt idx="25">
                  <c:v>1.0868941718057299E-2</c:v>
                </c:pt>
                <c:pt idx="26">
                  <c:v>2.2382303907371628E-2</c:v>
                </c:pt>
                <c:pt idx="27">
                  <c:v>4.212837115783985E-2</c:v>
                </c:pt>
                <c:pt idx="28">
                  <c:v>3.3075052211960353E-2</c:v>
                </c:pt>
                <c:pt idx="29">
                  <c:v>4.9841661821819518E-2</c:v>
                </c:pt>
                <c:pt idx="30">
                  <c:v>4.85715434854639E-2</c:v>
                </c:pt>
                <c:pt idx="31">
                  <c:v>3.8876947944708702E-2</c:v>
                </c:pt>
                <c:pt idx="32">
                  <c:v>2.5932850179436289E-2</c:v>
                </c:pt>
                <c:pt idx="33">
                  <c:v>1.7460096431489061E-2</c:v>
                </c:pt>
                <c:pt idx="34">
                  <c:v>7.0293060058135041E-3</c:v>
                </c:pt>
                <c:pt idx="35">
                  <c:v>3.243365391886713E-3</c:v>
                </c:pt>
                <c:pt idx="36">
                  <c:v>6.6753155472480874E-3</c:v>
                </c:pt>
                <c:pt idx="37">
                  <c:v>1.7399571233002901E-2</c:v>
                </c:pt>
                <c:pt idx="38">
                  <c:v>6.1955070586442867E-2</c:v>
                </c:pt>
                <c:pt idx="39">
                  <c:v>8.404056603836467E-2</c:v>
                </c:pt>
                <c:pt idx="40">
                  <c:v>9.6876891420316108E-2</c:v>
                </c:pt>
                <c:pt idx="41">
                  <c:v>9.4962020744311482E-2</c:v>
                </c:pt>
                <c:pt idx="42">
                  <c:v>9.963556652585577E-2</c:v>
                </c:pt>
                <c:pt idx="43">
                  <c:v>8.9626978325266782E-2</c:v>
                </c:pt>
                <c:pt idx="44">
                  <c:v>6.6046498591704736E-2</c:v>
                </c:pt>
                <c:pt idx="45">
                  <c:v>3.7469414477654707E-2</c:v>
                </c:pt>
                <c:pt idx="46">
                  <c:v>1.046932675470221E-2</c:v>
                </c:pt>
                <c:pt idx="47">
                  <c:v>6.2291646451968653E-3</c:v>
                </c:pt>
                <c:pt idx="48">
                  <c:v>1.2460694276862919E-2</c:v>
                </c:pt>
                <c:pt idx="49">
                  <c:v>3.4376404191763639E-2</c:v>
                </c:pt>
                <c:pt idx="50">
                  <c:v>5.6477968577058592E-2</c:v>
                </c:pt>
                <c:pt idx="51">
                  <c:v>0.1509467292684683</c:v>
                </c:pt>
                <c:pt idx="52">
                  <c:v>0.18600333743842001</c:v>
                </c:pt>
                <c:pt idx="53">
                  <c:v>0.21892573712946101</c:v>
                </c:pt>
                <c:pt idx="54">
                  <c:v>0.18929524056345021</c:v>
                </c:pt>
                <c:pt idx="55">
                  <c:v>0.1493297980639493</c:v>
                </c:pt>
                <c:pt idx="56">
                  <c:v>0.13191654386548721</c:v>
                </c:pt>
                <c:pt idx="57">
                  <c:v>4.2864886456730103E-2</c:v>
                </c:pt>
                <c:pt idx="58">
                  <c:v>1.6003493537152379E-2</c:v>
                </c:pt>
                <c:pt idx="59">
                  <c:v>6.3905046726965339E-3</c:v>
                </c:pt>
                <c:pt idx="60">
                  <c:v>1.3417186050607519E-2</c:v>
                </c:pt>
                <c:pt idx="61">
                  <c:v>2.6436223837926501E-2</c:v>
                </c:pt>
                <c:pt idx="62">
                  <c:v>6.6233973400350477E-2</c:v>
                </c:pt>
                <c:pt idx="63">
                  <c:v>0.1084169878649764</c:v>
                </c:pt>
                <c:pt idx="64">
                  <c:v>0.18887031649880051</c:v>
                </c:pt>
                <c:pt idx="65">
                  <c:v>0.1715230569234828</c:v>
                </c:pt>
                <c:pt idx="66">
                  <c:v>0.1809062055635286</c:v>
                </c:pt>
                <c:pt idx="67">
                  <c:v>0.15512153111725799</c:v>
                </c:pt>
                <c:pt idx="68">
                  <c:v>0.1275567235314205</c:v>
                </c:pt>
                <c:pt idx="69">
                  <c:v>6.2873767847415107E-2</c:v>
                </c:pt>
                <c:pt idx="70">
                  <c:v>1.780902737610289E-2</c:v>
                </c:pt>
                <c:pt idx="71">
                  <c:v>6.7857975683456679E-3</c:v>
                </c:pt>
                <c:pt idx="72">
                  <c:v>1.366055484422285E-2</c:v>
                </c:pt>
                <c:pt idx="73">
                  <c:v>4.3419934817177687E-2</c:v>
                </c:pt>
                <c:pt idx="74">
                  <c:v>0.1120694547038418</c:v>
                </c:pt>
                <c:pt idx="75">
                  <c:v>0.14827548756052711</c:v>
                </c:pt>
                <c:pt idx="76">
                  <c:v>0.19244468175967161</c:v>
                </c:pt>
                <c:pt idx="77">
                  <c:v>0.18784829238523279</c:v>
                </c:pt>
                <c:pt idx="78">
                  <c:v>0.21828188848241209</c:v>
                </c:pt>
                <c:pt idx="79">
                  <c:v>0.19011684012808119</c:v>
                </c:pt>
                <c:pt idx="80">
                  <c:v>0.13816152724517919</c:v>
                </c:pt>
                <c:pt idx="81">
                  <c:v>6.9462071202051626E-2</c:v>
                </c:pt>
                <c:pt idx="82">
                  <c:v>2.6604970402147529E-2</c:v>
                </c:pt>
                <c:pt idx="83">
                  <c:v>1.40253486520015E-2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AFE-9D40-83F0-C0CBAF6D4D9C}"/>
            </c:ext>
          </c:extLst>
        </c:ser>
        <c:ser>
          <c:idx val="1"/>
          <c:order val="1"/>
          <c:tx>
            <c:strRef>
              <c:f>'Capture Price Inputs'!$G$1</c:f>
              <c:strCache>
                <c:ptCount val="1"/>
                <c:pt idx="0">
                  <c:v>DK2 Solar Penetration (%) — Robustness</c:v>
                </c:pt>
              </c:strCache>
            </c:strRef>
          </c:tx>
          <c:spPr>
            <a:ln>
              <a:solidFill>
                <a:srgbClr val="FFD700"/>
              </a:solidFill>
              <a:prstDash val="solid"/>
            </a:ln>
          </c:spPr>
          <c:marker>
            <c:symbol val="none"/>
          </c:marker>
          <c:val>
            <c:numRef>
              <c:f>'Capture Price Inputs'!$G$2:$G$85</c:f>
              <c:numCache>
                <c:formatCode>General</c:formatCode>
                <c:ptCount val="84"/>
                <c:pt idx="12">
                  <c:v>1.864323044087839E-3</c:v>
                </c:pt>
                <c:pt idx="13">
                  <c:v>4.9613393448072352E-3</c:v>
                </c:pt>
                <c:pt idx="14">
                  <c:v>1.532033335337761E-2</c:v>
                </c:pt>
                <c:pt idx="15">
                  <c:v>2.6180595134545931E-2</c:v>
                </c:pt>
                <c:pt idx="16">
                  <c:v>3.2240930774166239E-2</c:v>
                </c:pt>
                <c:pt idx="17">
                  <c:v>3.0651812088155841E-2</c:v>
                </c:pt>
                <c:pt idx="18">
                  <c:v>2.998206800974695E-2</c:v>
                </c:pt>
                <c:pt idx="19">
                  <c:v>2.8034713414307081E-2</c:v>
                </c:pt>
                <c:pt idx="20">
                  <c:v>2.1736479101595249E-2</c:v>
                </c:pt>
                <c:pt idx="21">
                  <c:v>1.107911770574695E-2</c:v>
                </c:pt>
                <c:pt idx="22">
                  <c:v>1.1044611578332841E-4</c:v>
                </c:pt>
                <c:pt idx="23">
                  <c:v>5.6352433584062588E-6</c:v>
                </c:pt>
                <c:pt idx="24">
                  <c:v>3.104474131982996E-3</c:v>
                </c:pt>
                <c:pt idx="25">
                  <c:v>9.2483369487723587E-3</c:v>
                </c:pt>
                <c:pt idx="26">
                  <c:v>1.8474517045212829E-2</c:v>
                </c:pt>
                <c:pt idx="27">
                  <c:v>3.2694407483312787E-2</c:v>
                </c:pt>
                <c:pt idx="28">
                  <c:v>3.2945829294540187E-2</c:v>
                </c:pt>
                <c:pt idx="29">
                  <c:v>4.4480133140056069E-2</c:v>
                </c:pt>
                <c:pt idx="30">
                  <c:v>3.7049542537302173E-2</c:v>
                </c:pt>
                <c:pt idx="31">
                  <c:v>3.1857768834261987E-2</c:v>
                </c:pt>
                <c:pt idx="32">
                  <c:v>2.23981137027396E-2</c:v>
                </c:pt>
                <c:pt idx="33">
                  <c:v>1.267326343754744E-2</c:v>
                </c:pt>
                <c:pt idx="34">
                  <c:v>4.0132810857910267E-3</c:v>
                </c:pt>
                <c:pt idx="35">
                  <c:v>1.8226295838260991E-3</c:v>
                </c:pt>
                <c:pt idx="36">
                  <c:v>4.939556742877535E-3</c:v>
                </c:pt>
                <c:pt idx="37">
                  <c:v>1.3248485586698279E-2</c:v>
                </c:pt>
                <c:pt idx="38">
                  <c:v>3.4089330349121053E-2</c:v>
                </c:pt>
                <c:pt idx="39">
                  <c:v>5.5254436099578648E-2</c:v>
                </c:pt>
                <c:pt idx="40">
                  <c:v>6.5811459960859395E-2</c:v>
                </c:pt>
                <c:pt idx="41">
                  <c:v>6.4528229045867816E-2</c:v>
                </c:pt>
                <c:pt idx="42">
                  <c:v>6.7025803801952916E-2</c:v>
                </c:pt>
                <c:pt idx="43">
                  <c:v>6.1299924397195817E-2</c:v>
                </c:pt>
                <c:pt idx="44">
                  <c:v>4.5784276103507021E-2</c:v>
                </c:pt>
                <c:pt idx="45">
                  <c:v>2.9809058027035401E-2</c:v>
                </c:pt>
                <c:pt idx="46">
                  <c:v>7.8652952619005494E-3</c:v>
                </c:pt>
                <c:pt idx="47">
                  <c:v>4.5323555529735481E-3</c:v>
                </c:pt>
                <c:pt idx="48">
                  <c:v>5.8626527231366082E-3</c:v>
                </c:pt>
                <c:pt idx="49">
                  <c:v>1.8877648418373551E-2</c:v>
                </c:pt>
                <c:pt idx="50">
                  <c:v>3.7096229392005707E-2</c:v>
                </c:pt>
                <c:pt idx="51">
                  <c:v>8.0269966033824955E-2</c:v>
                </c:pt>
                <c:pt idx="52">
                  <c:v>0.1080032082802261</c:v>
                </c:pt>
                <c:pt idx="53">
                  <c:v>0.1144244665352921</c:v>
                </c:pt>
                <c:pt idx="54">
                  <c:v>0.10203074507159759</c:v>
                </c:pt>
                <c:pt idx="55">
                  <c:v>7.7931010532967707E-2</c:v>
                </c:pt>
                <c:pt idx="56">
                  <c:v>8.0909954639318743E-2</c:v>
                </c:pt>
                <c:pt idx="57">
                  <c:v>2.9172340215594381E-2</c:v>
                </c:pt>
                <c:pt idx="58">
                  <c:v>1.04098691216888E-2</c:v>
                </c:pt>
                <c:pt idx="59">
                  <c:v>3.809030164374855E-3</c:v>
                </c:pt>
                <c:pt idx="60">
                  <c:v>6.1781830729755079E-3</c:v>
                </c:pt>
                <c:pt idx="61">
                  <c:v>1.667231366864759E-2</c:v>
                </c:pt>
                <c:pt idx="62">
                  <c:v>4.1112806367337662E-2</c:v>
                </c:pt>
                <c:pt idx="63">
                  <c:v>6.5123378744806448E-2</c:v>
                </c:pt>
                <c:pt idx="64">
                  <c:v>0.106315341440858</c:v>
                </c:pt>
                <c:pt idx="65">
                  <c:v>0.1072729076610999</c:v>
                </c:pt>
                <c:pt idx="66">
                  <c:v>0.1057942634887733</c:v>
                </c:pt>
                <c:pt idx="67">
                  <c:v>9.3690832268705199E-2</c:v>
                </c:pt>
                <c:pt idx="68">
                  <c:v>7.2463202820400169E-2</c:v>
                </c:pt>
                <c:pt idx="69">
                  <c:v>3.6145253892379881E-2</c:v>
                </c:pt>
                <c:pt idx="70">
                  <c:v>8.6028414054236078E-3</c:v>
                </c:pt>
                <c:pt idx="71">
                  <c:v>4.1714684657767577E-3</c:v>
                </c:pt>
                <c:pt idx="72">
                  <c:v>7.223240212576967E-3</c:v>
                </c:pt>
                <c:pt idx="73">
                  <c:v>2.010831138567791E-2</c:v>
                </c:pt>
                <c:pt idx="74">
                  <c:v>4.6547866447452589E-2</c:v>
                </c:pt>
                <c:pt idx="75">
                  <c:v>7.1689783649061992E-2</c:v>
                </c:pt>
                <c:pt idx="76">
                  <c:v>9.4714127256233946E-2</c:v>
                </c:pt>
                <c:pt idx="77">
                  <c:v>9.9826250015510765E-2</c:v>
                </c:pt>
                <c:pt idx="78">
                  <c:v>9.3996419418699143E-2</c:v>
                </c:pt>
                <c:pt idx="79">
                  <c:v>0.1057378118957395</c:v>
                </c:pt>
                <c:pt idx="80">
                  <c:v>9.0628879686523764E-2</c:v>
                </c:pt>
                <c:pt idx="81">
                  <c:v>3.9573125678626628E-2</c:v>
                </c:pt>
                <c:pt idx="82">
                  <c:v>1.454364344794783E-2</c:v>
                </c:pt>
                <c:pt idx="83">
                  <c:v>9.0694911608833299E-3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AFE-9D40-83F0-C0CBAF6D4D9C}"/>
            </c:ext>
          </c:extLst>
        </c:ser>
        <c:ser>
          <c:idx val="2"/>
          <c:order val="2"/>
          <c:tx>
            <c:strRef>
              <c:f>'Capture Price Inputs'!$H$1</c:f>
              <c:strCache>
                <c:ptCount val="1"/>
                <c:pt idx="0">
                  <c:v>DK1 Capture Price (EUR/MWh) — Primary</c:v>
                </c:pt>
              </c:strCache>
            </c:strRef>
          </c:tx>
          <c:spPr>
            <a:ln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'Capture Price Inputs'!$H$2:$H$85</c:f>
              <c:numCache>
                <c:formatCode>General</c:formatCode>
                <c:ptCount val="84"/>
                <c:pt idx="12">
                  <c:v>25.22320957280251</c:v>
                </c:pt>
                <c:pt idx="13">
                  <c:v>22.83581899109792</c:v>
                </c:pt>
                <c:pt idx="14">
                  <c:v>15.94107348554973</c:v>
                </c:pt>
                <c:pt idx="15">
                  <c:v>10.36487590420421</c:v>
                </c:pt>
                <c:pt idx="16">
                  <c:v>15.478548945086001</c:v>
                </c:pt>
                <c:pt idx="17">
                  <c:v>27.313308227868689</c:v>
                </c:pt>
                <c:pt idx="18">
                  <c:v>24.831745178109159</c:v>
                </c:pt>
                <c:pt idx="19">
                  <c:v>33.876915422047851</c:v>
                </c:pt>
                <c:pt idx="20">
                  <c:v>38.935979003379593</c:v>
                </c:pt>
                <c:pt idx="21">
                  <c:v>31.927741533059191</c:v>
                </c:pt>
                <c:pt idx="22">
                  <c:v>26.005993265993261</c:v>
                </c:pt>
                <c:pt idx="23">
                  <c:v>34.795161290322582</c:v>
                </c:pt>
                <c:pt idx="24">
                  <c:v>55.422967607277918</c:v>
                </c:pt>
                <c:pt idx="25">
                  <c:v>47.542610979142587</c:v>
                </c:pt>
                <c:pt idx="26">
                  <c:v>44.550700915805493</c:v>
                </c:pt>
                <c:pt idx="27">
                  <c:v>43.594739828473003</c:v>
                </c:pt>
                <c:pt idx="28">
                  <c:v>47.655870575001217</c:v>
                </c:pt>
                <c:pt idx="29">
                  <c:v>70.543547911111062</c:v>
                </c:pt>
                <c:pt idx="30">
                  <c:v>78.568319747758608</c:v>
                </c:pt>
                <c:pt idx="31">
                  <c:v>81.983351136401794</c:v>
                </c:pt>
                <c:pt idx="32">
                  <c:v>116.20022495544841</c:v>
                </c:pt>
                <c:pt idx="33">
                  <c:v>126.53039520323949</c:v>
                </c:pt>
                <c:pt idx="34">
                  <c:v>160.77058330102949</c:v>
                </c:pt>
                <c:pt idx="35">
                  <c:v>228.8621705579358</c:v>
                </c:pt>
                <c:pt idx="36">
                  <c:v>123.20125067917191</c:v>
                </c:pt>
                <c:pt idx="37">
                  <c:v>117.67077903546</c:v>
                </c:pt>
                <c:pt idx="38">
                  <c:v>191.50807173506701</c:v>
                </c:pt>
                <c:pt idx="39">
                  <c:v>145.70138715926041</c:v>
                </c:pt>
                <c:pt idx="40">
                  <c:v>149.4185612445558</c:v>
                </c:pt>
                <c:pt idx="41">
                  <c:v>194.71103409481981</c:v>
                </c:pt>
                <c:pt idx="42">
                  <c:v>239.3981525107354</c:v>
                </c:pt>
                <c:pt idx="43">
                  <c:v>419.79263722660602</c:v>
                </c:pt>
                <c:pt idx="44">
                  <c:v>310.70739927266709</c:v>
                </c:pt>
                <c:pt idx="45">
                  <c:v>125.6295598680838</c:v>
                </c:pt>
                <c:pt idx="46">
                  <c:v>131.7111886265582</c:v>
                </c:pt>
                <c:pt idx="47">
                  <c:v>282.82379374207261</c:v>
                </c:pt>
                <c:pt idx="48">
                  <c:v>138.52998868426329</c:v>
                </c:pt>
                <c:pt idx="49">
                  <c:v>109.87697572135031</c:v>
                </c:pt>
                <c:pt idx="50">
                  <c:v>93.774190940695377</c:v>
                </c:pt>
                <c:pt idx="51">
                  <c:v>76.25042822265543</c:v>
                </c:pt>
                <c:pt idx="52">
                  <c:v>50.543487760082613</c:v>
                </c:pt>
                <c:pt idx="53">
                  <c:v>74.888982776218057</c:v>
                </c:pt>
                <c:pt idx="54">
                  <c:v>52.095599438463452</c:v>
                </c:pt>
                <c:pt idx="55">
                  <c:v>74.180426039978187</c:v>
                </c:pt>
                <c:pt idx="56">
                  <c:v>68.116869623396937</c:v>
                </c:pt>
                <c:pt idx="57">
                  <c:v>50.539090519702853</c:v>
                </c:pt>
                <c:pt idx="58">
                  <c:v>90.680805562425178</c:v>
                </c:pt>
                <c:pt idx="59">
                  <c:v>63.455327688788032</c:v>
                </c:pt>
                <c:pt idx="60">
                  <c:v>78.571316441678306</c:v>
                </c:pt>
                <c:pt idx="61">
                  <c:v>59.479486768055089</c:v>
                </c:pt>
                <c:pt idx="62">
                  <c:v>51.269783241554933</c:v>
                </c:pt>
                <c:pt idx="63">
                  <c:v>49.383940562011212</c:v>
                </c:pt>
                <c:pt idx="64">
                  <c:v>35.894148271408874</c:v>
                </c:pt>
                <c:pt idx="65">
                  <c:v>47.037633727397647</c:v>
                </c:pt>
                <c:pt idx="66">
                  <c:v>42.521773223099522</c:v>
                </c:pt>
                <c:pt idx="67">
                  <c:v>52.17121747504909</c:v>
                </c:pt>
                <c:pt idx="68">
                  <c:v>45.647504626217007</c:v>
                </c:pt>
                <c:pt idx="69">
                  <c:v>58.441583787091993</c:v>
                </c:pt>
                <c:pt idx="70">
                  <c:v>97.582352616331917</c:v>
                </c:pt>
                <c:pt idx="71">
                  <c:v>92.073217693833982</c:v>
                </c:pt>
                <c:pt idx="72">
                  <c:v>111.1945655985155</c:v>
                </c:pt>
                <c:pt idx="73">
                  <c:v>105.41315973788279</c:v>
                </c:pt>
                <c:pt idx="74">
                  <c:v>57.84566339627056</c:v>
                </c:pt>
                <c:pt idx="75">
                  <c:v>45.844395770687349</c:v>
                </c:pt>
                <c:pt idx="76">
                  <c:v>40.065667394009381</c:v>
                </c:pt>
                <c:pt idx="77">
                  <c:v>33.493381965196598</c:v>
                </c:pt>
                <c:pt idx="78">
                  <c:v>61.32224821093979</c:v>
                </c:pt>
                <c:pt idx="79">
                  <c:v>47.755824567457559</c:v>
                </c:pt>
                <c:pt idx="80">
                  <c:v>49.429094996057238</c:v>
                </c:pt>
                <c:pt idx="81">
                  <c:v>74.266634537895257</c:v>
                </c:pt>
                <c:pt idx="82">
                  <c:v>95.564531802521344</c:v>
                </c:pt>
                <c:pt idx="83">
                  <c:v>80.958034242780258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1AFE-9D40-83F0-C0CBAF6D4D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Solar Penetration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Monthly Capture Price — DK1 and DK2 (EUR/MWh)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Inputs'!$I$1</c:f>
              <c:strCache>
                <c:ptCount val="1"/>
                <c:pt idx="0">
                  <c:v>DK2 Capture Price (EUR/MWh) — Robustness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Inputs'!$I$2:$I$85</c:f>
              <c:numCache>
                <c:formatCode>General</c:formatCode>
                <c:ptCount val="84"/>
                <c:pt idx="12">
                  <c:v>29.86213642213642</c:v>
                </c:pt>
                <c:pt idx="13">
                  <c:v>23.555517829721889</c:v>
                </c:pt>
                <c:pt idx="14">
                  <c:v>17.149050692261021</c:v>
                </c:pt>
                <c:pt idx="15">
                  <c:v>13.252523128367081</c:v>
                </c:pt>
                <c:pt idx="16">
                  <c:v>18.594049382716051</c:v>
                </c:pt>
                <c:pt idx="17">
                  <c:v>35.21078005032583</c:v>
                </c:pt>
                <c:pt idx="18">
                  <c:v>26.450778046867001</c:v>
                </c:pt>
                <c:pt idx="19">
                  <c:v>44.113765015404859</c:v>
                </c:pt>
                <c:pt idx="20">
                  <c:v>41.853047880870562</c:v>
                </c:pt>
                <c:pt idx="21">
                  <c:v>33.600878372903331</c:v>
                </c:pt>
                <c:pt idx="22">
                  <c:v>37.749765625000002</c:v>
                </c:pt>
                <c:pt idx="23">
                  <c:v>44.191428571428567</c:v>
                </c:pt>
                <c:pt idx="24">
                  <c:v>57.072134410081453</c:v>
                </c:pt>
                <c:pt idx="25">
                  <c:v>52.285083654524577</c:v>
                </c:pt>
                <c:pt idx="26">
                  <c:v>47.422643011897812</c:v>
                </c:pt>
                <c:pt idx="27">
                  <c:v>45.901363748248833</c:v>
                </c:pt>
                <c:pt idx="28">
                  <c:v>50.258720231460799</c:v>
                </c:pt>
                <c:pt idx="29">
                  <c:v>69.469341653776226</c:v>
                </c:pt>
                <c:pt idx="30">
                  <c:v>77.933111551394319</c:v>
                </c:pt>
                <c:pt idx="31">
                  <c:v>84.512747690257029</c:v>
                </c:pt>
                <c:pt idx="32">
                  <c:v>118.7457227855615</c:v>
                </c:pt>
                <c:pt idx="33">
                  <c:v>122.3841235967906</c:v>
                </c:pt>
                <c:pt idx="34">
                  <c:v>153.62679427815749</c:v>
                </c:pt>
                <c:pt idx="35">
                  <c:v>244.48727859764409</c:v>
                </c:pt>
                <c:pt idx="36">
                  <c:v>129.67749023150819</c:v>
                </c:pt>
                <c:pt idx="37">
                  <c:v>108.80333899256409</c:v>
                </c:pt>
                <c:pt idx="38">
                  <c:v>186.0504424586062</c:v>
                </c:pt>
                <c:pt idx="39">
                  <c:v>143.53758886421849</c:v>
                </c:pt>
                <c:pt idx="40">
                  <c:v>146.25360234460331</c:v>
                </c:pt>
                <c:pt idx="41">
                  <c:v>192.2325905808319</c:v>
                </c:pt>
                <c:pt idx="42">
                  <c:v>212.3625858003895</c:v>
                </c:pt>
                <c:pt idx="43">
                  <c:v>397.17988485976059</c:v>
                </c:pt>
                <c:pt idx="44">
                  <c:v>315.92884279677901</c:v>
                </c:pt>
                <c:pt idx="45">
                  <c:v>120.1190076327392</c:v>
                </c:pt>
                <c:pt idx="46">
                  <c:v>134.0399027878758</c:v>
                </c:pt>
                <c:pt idx="47">
                  <c:v>303.26978481668573</c:v>
                </c:pt>
                <c:pt idx="48">
                  <c:v>120.8992864784306</c:v>
                </c:pt>
                <c:pt idx="49">
                  <c:v>103.112625406295</c:v>
                </c:pt>
                <c:pt idx="50">
                  <c:v>89.098468921641697</c:v>
                </c:pt>
                <c:pt idx="51">
                  <c:v>71.125099705594195</c:v>
                </c:pt>
                <c:pt idx="52">
                  <c:v>48.358083796456327</c:v>
                </c:pt>
                <c:pt idx="53">
                  <c:v>71.862090372222397</c:v>
                </c:pt>
                <c:pt idx="54">
                  <c:v>50.345966617092351</c:v>
                </c:pt>
                <c:pt idx="55">
                  <c:v>72.957992347987414</c:v>
                </c:pt>
                <c:pt idx="56">
                  <c:v>64.394484672464898</c:v>
                </c:pt>
                <c:pt idx="57">
                  <c:v>47.660255094286853</c:v>
                </c:pt>
                <c:pt idx="58">
                  <c:v>84.639978605265995</c:v>
                </c:pt>
                <c:pt idx="59">
                  <c:v>59.061746333079718</c:v>
                </c:pt>
                <c:pt idx="60">
                  <c:v>76.427202535219209</c:v>
                </c:pt>
                <c:pt idx="61">
                  <c:v>51.434379196547752</c:v>
                </c:pt>
                <c:pt idx="62">
                  <c:v>50.751163813053438</c:v>
                </c:pt>
                <c:pt idx="63">
                  <c:v>47.053967904827999</c:v>
                </c:pt>
                <c:pt idx="64">
                  <c:v>34.295794113692892</c:v>
                </c:pt>
                <c:pt idx="65">
                  <c:v>46.379384034583367</c:v>
                </c:pt>
                <c:pt idx="66">
                  <c:v>38.812821969471173</c:v>
                </c:pt>
                <c:pt idx="67">
                  <c:v>47.151863118292532</c:v>
                </c:pt>
                <c:pt idx="68">
                  <c:v>43.355946350842189</c:v>
                </c:pt>
                <c:pt idx="69">
                  <c:v>59.534937630286556</c:v>
                </c:pt>
                <c:pt idx="70">
                  <c:v>89.611277477917284</c:v>
                </c:pt>
                <c:pt idx="71">
                  <c:v>100.7961313991171</c:v>
                </c:pt>
                <c:pt idx="72">
                  <c:v>115.0822593270056</c:v>
                </c:pt>
                <c:pt idx="73">
                  <c:v>106.92318207316821</c:v>
                </c:pt>
                <c:pt idx="74">
                  <c:v>50.018062961268747</c:v>
                </c:pt>
                <c:pt idx="75">
                  <c:v>41.82584156307518</c:v>
                </c:pt>
                <c:pt idx="76">
                  <c:v>34.320660344591218</c:v>
                </c:pt>
                <c:pt idx="77">
                  <c:v>24.31568572006325</c:v>
                </c:pt>
                <c:pt idx="78">
                  <c:v>59.766943882147693</c:v>
                </c:pt>
                <c:pt idx="79">
                  <c:v>43.064604783544858</c:v>
                </c:pt>
                <c:pt idx="80">
                  <c:v>52.949405153808357</c:v>
                </c:pt>
                <c:pt idx="81">
                  <c:v>78.645730322406678</c:v>
                </c:pt>
                <c:pt idx="82">
                  <c:v>92.690454871532665</c:v>
                </c:pt>
                <c:pt idx="83">
                  <c:v>79.631228022083661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39-8041-BAAA-2FFC9441BC9E}"/>
            </c:ext>
          </c:extLst>
        </c:ser>
        <c:ser>
          <c:idx val="1"/>
          <c:order val="1"/>
          <c:tx>
            <c:strRef>
              <c:f>'Capture Price Inputs'!$J$1</c:f>
              <c:strCache>
                <c:ptCount val="1"/>
                <c:pt idx="0">
                  <c:v>DK1 CPR — Primary</c:v>
                </c:pt>
              </c:strCache>
            </c:strRef>
          </c:tx>
          <c:spPr>
            <a:ln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'Capture Price Inputs'!$J$2:$J$85</c:f>
              <c:numCache>
                <c:formatCode>General</c:formatCode>
                <c:ptCount val="84"/>
                <c:pt idx="12">
                  <c:v>1.0091486594474419</c:v>
                </c:pt>
                <c:pt idx="13">
                  <c:v>1.2985911686950511</c:v>
                </c:pt>
                <c:pt idx="14">
                  <c:v>0.8710146939215303</c:v>
                </c:pt>
                <c:pt idx="15">
                  <c:v>0.71315772558819213</c:v>
                </c:pt>
                <c:pt idx="16">
                  <c:v>0.96415576931205649</c:v>
                </c:pt>
                <c:pt idx="17">
                  <c:v>1.0394664137310941</c:v>
                </c:pt>
                <c:pt idx="18">
                  <c:v>1.0086181556608309</c:v>
                </c:pt>
                <c:pt idx="19">
                  <c:v>0.98082264407500741</c:v>
                </c:pt>
                <c:pt idx="20">
                  <c:v>1.0104044869130051</c:v>
                </c:pt>
                <c:pt idx="21">
                  <c:v>1.236802226812374</c:v>
                </c:pt>
                <c:pt idx="22">
                  <c:v>1.094777917215692</c:v>
                </c:pt>
                <c:pt idx="23">
                  <c:v>1.0082301641826621</c:v>
                </c:pt>
                <c:pt idx="24">
                  <c:v>1.103930861568265</c:v>
                </c:pt>
                <c:pt idx="25">
                  <c:v>1.0059479277054251</c:v>
                </c:pt>
                <c:pt idx="26">
                  <c:v>0.9871758725122356</c:v>
                </c:pt>
                <c:pt idx="27">
                  <c:v>0.90884647456650169</c:v>
                </c:pt>
                <c:pt idx="28">
                  <c:v>0.87751805187154364</c:v>
                </c:pt>
                <c:pt idx="29">
                  <c:v>0.95691427953473174</c:v>
                </c:pt>
                <c:pt idx="30">
                  <c:v>0.98211323715969778</c:v>
                </c:pt>
                <c:pt idx="31">
                  <c:v>0.99027147802450566</c:v>
                </c:pt>
                <c:pt idx="32">
                  <c:v>0.92690440483613579</c:v>
                </c:pt>
                <c:pt idx="33">
                  <c:v>1.0810885074134391</c:v>
                </c:pt>
                <c:pt idx="34">
                  <c:v>1.1338034085044659</c:v>
                </c:pt>
                <c:pt idx="35">
                  <c:v>1.2086769624549281</c:v>
                </c:pt>
                <c:pt idx="36">
                  <c:v>1.0441257304277269</c:v>
                </c:pt>
                <c:pt idx="37">
                  <c:v>1.04022281700981</c:v>
                </c:pt>
                <c:pt idx="38">
                  <c:v>0.81207759044207406</c:v>
                </c:pt>
                <c:pt idx="39">
                  <c:v>0.89039133384678326</c:v>
                </c:pt>
                <c:pt idx="40">
                  <c:v>0.86943016050498578</c:v>
                </c:pt>
                <c:pt idx="41">
                  <c:v>0.90803902012341908</c:v>
                </c:pt>
                <c:pt idx="42">
                  <c:v>0.87041791592949547</c:v>
                </c:pt>
                <c:pt idx="43">
                  <c:v>0.91908553046700026</c:v>
                </c:pt>
                <c:pt idx="44">
                  <c:v>0.90632901805683119</c:v>
                </c:pt>
                <c:pt idx="45">
                  <c:v>0.91612325253961768</c:v>
                </c:pt>
                <c:pt idx="46">
                  <c:v>0.94278612074660006</c:v>
                </c:pt>
                <c:pt idx="47">
                  <c:v>1.132810339248927</c:v>
                </c:pt>
                <c:pt idx="48">
                  <c:v>1.2309198691226539</c:v>
                </c:pt>
                <c:pt idx="49">
                  <c:v>0.93008781340266</c:v>
                </c:pt>
                <c:pt idx="50">
                  <c:v>0.94612539759598957</c:v>
                </c:pt>
                <c:pt idx="51">
                  <c:v>0.79203966120386338</c:v>
                </c:pt>
                <c:pt idx="52">
                  <c:v>0.68333610561519953</c:v>
                </c:pt>
                <c:pt idx="53">
                  <c:v>0.80965062086215667</c:v>
                </c:pt>
                <c:pt idx="54">
                  <c:v>0.80380421953260928</c:v>
                </c:pt>
                <c:pt idx="55">
                  <c:v>0.86289309777204071</c:v>
                </c:pt>
                <c:pt idx="56">
                  <c:v>0.8038389922187259</c:v>
                </c:pt>
                <c:pt idx="57">
                  <c:v>0.84083605560542263</c:v>
                </c:pt>
                <c:pt idx="58">
                  <c:v>1.028656893611996</c:v>
                </c:pt>
                <c:pt idx="59">
                  <c:v>0.91325607762876626</c:v>
                </c:pt>
                <c:pt idx="60">
                  <c:v>1.051614630458469</c:v>
                </c:pt>
                <c:pt idx="61">
                  <c:v>1.0144208291794441</c:v>
                </c:pt>
                <c:pt idx="62">
                  <c:v>0.8373818542217274</c:v>
                </c:pt>
                <c:pt idx="63">
                  <c:v>0.83468460161643787</c:v>
                </c:pt>
                <c:pt idx="64">
                  <c:v>0.61339845366508694</c:v>
                </c:pt>
                <c:pt idx="65">
                  <c:v>0.73781003223868646</c:v>
                </c:pt>
                <c:pt idx="66">
                  <c:v>0.68549949487061801</c:v>
                </c:pt>
                <c:pt idx="67">
                  <c:v>0.71512676219349525</c:v>
                </c:pt>
                <c:pt idx="68">
                  <c:v>0.63652522303957304</c:v>
                </c:pt>
                <c:pt idx="69">
                  <c:v>0.76175188075929667</c:v>
                </c:pt>
                <c:pt idx="70">
                  <c:v>1.0174940038611719</c:v>
                </c:pt>
                <c:pt idx="71">
                  <c:v>1.0025674160411211</c:v>
                </c:pt>
                <c:pt idx="72">
                  <c:v>1.135032584901597</c:v>
                </c:pt>
                <c:pt idx="73">
                  <c:v>0.93411665141872979</c:v>
                </c:pt>
                <c:pt idx="74">
                  <c:v>0.68579081688022481</c:v>
                </c:pt>
                <c:pt idx="75">
                  <c:v>0.60995353561832499</c:v>
                </c:pt>
                <c:pt idx="76">
                  <c:v>0.62375117423189408</c:v>
                </c:pt>
                <c:pt idx="77">
                  <c:v>0.56976432128633303</c:v>
                </c:pt>
                <c:pt idx="78">
                  <c:v>0.74058967108380014</c:v>
                </c:pt>
                <c:pt idx="79">
                  <c:v>0.64997112344594554</c:v>
                </c:pt>
                <c:pt idx="80">
                  <c:v>0.68273474898658593</c:v>
                </c:pt>
                <c:pt idx="81">
                  <c:v>0.94701517193480578</c:v>
                </c:pt>
                <c:pt idx="82">
                  <c:v>1.0289764309560969</c:v>
                </c:pt>
                <c:pt idx="83">
                  <c:v>0.98205388617926037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39-8041-BAAA-2FFC9441BC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Monthly Capture Price Ratio — DK1 and DK2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Inputs'!$K$1</c:f>
              <c:strCache>
                <c:ptCount val="1"/>
                <c:pt idx="0">
                  <c:v>DK2 CPR — Robustness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Inputs'!$K$2:$K$85</c:f>
              <c:numCache>
                <c:formatCode>General</c:formatCode>
                <c:ptCount val="84"/>
                <c:pt idx="12">
                  <c:v>1.090446324793763</c:v>
                </c:pt>
                <c:pt idx="13">
                  <c:v>1.251821301318464</c:v>
                </c:pt>
                <c:pt idx="14">
                  <c:v>0.85520775851277109</c:v>
                </c:pt>
                <c:pt idx="15">
                  <c:v>0.76362023547871605</c:v>
                </c:pt>
                <c:pt idx="16">
                  <c:v>0.97636938233545278</c:v>
                </c:pt>
                <c:pt idx="17">
                  <c:v>1.180647007173951</c:v>
                </c:pt>
                <c:pt idx="18">
                  <c:v>1.021791049952987</c:v>
                </c:pt>
                <c:pt idx="19">
                  <c:v>1.077948442472481</c:v>
                </c:pt>
                <c:pt idx="20">
                  <c:v>1.0591890923358069</c:v>
                </c:pt>
                <c:pt idx="21">
                  <c:v>1.247549053102559</c:v>
                </c:pt>
                <c:pt idx="22">
                  <c:v>1.057080411727209</c:v>
                </c:pt>
                <c:pt idx="23">
                  <c:v>1.125691191699302</c:v>
                </c:pt>
                <c:pt idx="24">
                  <c:v>1.122164979814525</c:v>
                </c:pt>
                <c:pt idx="25">
                  <c:v>0.9585139857498034</c:v>
                </c:pt>
                <c:pt idx="26">
                  <c:v>1.0147741726503949</c:v>
                </c:pt>
                <c:pt idx="27">
                  <c:v>0.95901643664766134</c:v>
                </c:pt>
                <c:pt idx="28">
                  <c:v>0.91033887361171206</c:v>
                </c:pt>
                <c:pt idx="29">
                  <c:v>0.94404491874816343</c:v>
                </c:pt>
                <c:pt idx="30">
                  <c:v>0.95692856904650769</c:v>
                </c:pt>
                <c:pt idx="31">
                  <c:v>1.001768528067071</c:v>
                </c:pt>
                <c:pt idx="32">
                  <c:v>0.95838336990944806</c:v>
                </c:pt>
                <c:pt idx="33">
                  <c:v>1.1445012658471321</c:v>
                </c:pt>
                <c:pt idx="34">
                  <c:v>1.1264608571418011</c:v>
                </c:pt>
                <c:pt idx="35">
                  <c:v>1.279578427053047</c:v>
                </c:pt>
                <c:pt idx="36">
                  <c:v>1.1617546523412821</c:v>
                </c:pt>
                <c:pt idx="37">
                  <c:v>1.084871924613185</c:v>
                </c:pt>
                <c:pt idx="38">
                  <c:v>0.81629582758371144</c:v>
                </c:pt>
                <c:pt idx="39">
                  <c:v>0.93918048773921026</c:v>
                </c:pt>
                <c:pt idx="40">
                  <c:v>0.89914563143311954</c:v>
                </c:pt>
                <c:pt idx="41">
                  <c:v>0.90151367457475784</c:v>
                </c:pt>
                <c:pt idx="42">
                  <c:v>0.90956244496775596</c:v>
                </c:pt>
                <c:pt idx="43">
                  <c:v>0.8830756108422062</c:v>
                </c:pt>
                <c:pt idx="44">
                  <c:v>0.96085369829588263</c:v>
                </c:pt>
                <c:pt idx="45">
                  <c:v>0.87743541957368609</c:v>
                </c:pt>
                <c:pt idx="46">
                  <c:v>0.92404474391789948</c:v>
                </c:pt>
                <c:pt idx="47">
                  <c:v>1.2185280560697289</c:v>
                </c:pt>
                <c:pt idx="48">
                  <c:v>1.2118663236304299</c:v>
                </c:pt>
                <c:pt idx="49">
                  <c:v>1.0244781228159621</c:v>
                </c:pt>
                <c:pt idx="50">
                  <c:v>0.99223631219701203</c:v>
                </c:pt>
                <c:pt idx="51">
                  <c:v>0.85025873478203906</c:v>
                </c:pt>
                <c:pt idx="52">
                  <c:v>0.73101748270540212</c:v>
                </c:pt>
                <c:pt idx="53">
                  <c:v>0.78603819917365525</c:v>
                </c:pt>
                <c:pt idx="54">
                  <c:v>0.77170348712471282</c:v>
                </c:pt>
                <c:pt idx="55">
                  <c:v>0.84546104105698361</c:v>
                </c:pt>
                <c:pt idx="56">
                  <c:v>0.75329173308453345</c:v>
                </c:pt>
                <c:pt idx="57">
                  <c:v>0.83723449033464103</c:v>
                </c:pt>
                <c:pt idx="58">
                  <c:v>1.038705241708771</c:v>
                </c:pt>
                <c:pt idx="59">
                  <c:v>0.83326707575628478</c:v>
                </c:pt>
                <c:pt idx="60">
                  <c:v>0.97714487510792902</c:v>
                </c:pt>
                <c:pt idx="61">
                  <c:v>0.93991726033346112</c:v>
                </c:pt>
                <c:pt idx="62">
                  <c:v>0.8314293202728863</c:v>
                </c:pt>
                <c:pt idx="63">
                  <c:v>0.77805107456374178</c:v>
                </c:pt>
                <c:pt idx="64">
                  <c:v>0.59005563427075769</c:v>
                </c:pt>
                <c:pt idx="65">
                  <c:v>0.69439585691141426</c:v>
                </c:pt>
                <c:pt idx="66">
                  <c:v>0.61762838453946423</c:v>
                </c:pt>
                <c:pt idx="67">
                  <c:v>0.64934714792296455</c:v>
                </c:pt>
                <c:pt idx="68">
                  <c:v>0.61574801135475132</c:v>
                </c:pt>
                <c:pt idx="69">
                  <c:v>0.78000735067931948</c:v>
                </c:pt>
                <c:pt idx="70">
                  <c:v>0.94047799551015088</c:v>
                </c:pt>
                <c:pt idx="71">
                  <c:v>1.0870067185479459</c:v>
                </c:pt>
                <c:pt idx="72">
                  <c:v>1.1494003648079021</c:v>
                </c:pt>
                <c:pt idx="73">
                  <c:v>0.90662384271333907</c:v>
                </c:pt>
                <c:pt idx="74">
                  <c:v>0.60374116471580297</c:v>
                </c:pt>
                <c:pt idx="75">
                  <c:v>0.55174367988103734</c:v>
                </c:pt>
                <c:pt idx="76">
                  <c:v>0.54405946330729504</c:v>
                </c:pt>
                <c:pt idx="77">
                  <c:v>0.4307606652121766</c:v>
                </c:pt>
                <c:pt idx="78">
                  <c:v>0.74746341861966192</c:v>
                </c:pt>
                <c:pt idx="79">
                  <c:v>0.57178942343359873</c:v>
                </c:pt>
                <c:pt idx="80">
                  <c:v>0.63573160083367797</c:v>
                </c:pt>
                <c:pt idx="81">
                  <c:v>0.95480840081563045</c:v>
                </c:pt>
                <c:pt idx="82">
                  <c:v>0.98927251294969987</c:v>
                </c:pt>
                <c:pt idx="83">
                  <c:v>0.97014796253594149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721-7B42-B624-E367508EE6B3}"/>
            </c:ext>
          </c:extLst>
        </c:ser>
        <c:ser>
          <c:idx val="1"/>
          <c:order val="1"/>
          <c:tx>
            <c:strRef>
              <c:f>'Capture Price Inputs'!$L$1</c:f>
              <c:strCache>
                <c:ptCount val="1"/>
              </c:strCache>
            </c:strRef>
          </c:tx>
          <c:spPr>
            <a:ln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'Capture Price Inputs'!$L$2:$L$85</c:f>
              <c:numCache>
                <c:formatCode>General</c:formatCode>
                <c:ptCount val="84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721-7B42-B624-E367508EE6B3}"/>
            </c:ext>
          </c:extLst>
        </c:ser>
        <c:ser>
          <c:idx val="2"/>
          <c:order val="2"/>
          <c:tx>
            <c:strRef>
              <c:f>'Capture Price Inputs'!$M$1</c:f>
              <c:strCache>
                <c:ptCount val="1"/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'Capture Price Inputs'!$M$2:$M$85</c:f>
              <c:numCache>
                <c:formatCode>General</c:formatCode>
                <c:ptCount val="84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4721-7B42-B624-E367508EE6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CPR (Capture Price / Spot Price)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Monthly Solar Penetration — DK1 and DK2 (%)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Inputs'!$F$1</c:f>
              <c:strCache>
                <c:ptCount val="1"/>
                <c:pt idx="0">
                  <c:v>DK1 Solar Penetration (%) — Primary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'Capture Price Inputs'!$F$2:$F$85</c:f>
              <c:numCache>
                <c:formatCode>General</c:formatCode>
                <c:ptCount val="84"/>
                <c:pt idx="12">
                  <c:v>2.2644478926294831E-3</c:v>
                </c:pt>
                <c:pt idx="13">
                  <c:v>5.2474520244822449E-3</c:v>
                </c:pt>
                <c:pt idx="14">
                  <c:v>2.020167759412729E-2</c:v>
                </c:pt>
                <c:pt idx="15">
                  <c:v>3.2427989612304697E-2</c:v>
                </c:pt>
                <c:pt idx="16">
                  <c:v>3.6080087237903569E-2</c:v>
                </c:pt>
                <c:pt idx="17">
                  <c:v>3.7413618831640891E-2</c:v>
                </c:pt>
                <c:pt idx="18">
                  <c:v>3.3998433859503921E-2</c:v>
                </c:pt>
                <c:pt idx="19">
                  <c:v>3.4224763142537661E-2</c:v>
                </c:pt>
                <c:pt idx="20">
                  <c:v>2.4330151939157239E-2</c:v>
                </c:pt>
                <c:pt idx="21">
                  <c:v>1.1490387549446779E-2</c:v>
                </c:pt>
                <c:pt idx="22">
                  <c:v>1.521101274151999E-4</c:v>
                </c:pt>
                <c:pt idx="23">
                  <c:v>1.472410662127807E-5</c:v>
                </c:pt>
                <c:pt idx="24">
                  <c:v>3.6313559990350909E-3</c:v>
                </c:pt>
                <c:pt idx="25">
                  <c:v>1.0868941718057299E-2</c:v>
                </c:pt>
                <c:pt idx="26">
                  <c:v>2.2382303907371628E-2</c:v>
                </c:pt>
                <c:pt idx="27">
                  <c:v>4.212837115783985E-2</c:v>
                </c:pt>
                <c:pt idx="28">
                  <c:v>3.3075052211960353E-2</c:v>
                </c:pt>
                <c:pt idx="29">
                  <c:v>4.9841661821819518E-2</c:v>
                </c:pt>
                <c:pt idx="30">
                  <c:v>4.85715434854639E-2</c:v>
                </c:pt>
                <c:pt idx="31">
                  <c:v>3.8876947944708702E-2</c:v>
                </c:pt>
                <c:pt idx="32">
                  <c:v>2.5932850179436289E-2</c:v>
                </c:pt>
                <c:pt idx="33">
                  <c:v>1.7460096431489061E-2</c:v>
                </c:pt>
                <c:pt idx="34">
                  <c:v>7.0293060058135041E-3</c:v>
                </c:pt>
                <c:pt idx="35">
                  <c:v>3.243365391886713E-3</c:v>
                </c:pt>
                <c:pt idx="36">
                  <c:v>6.6753155472480874E-3</c:v>
                </c:pt>
                <c:pt idx="37">
                  <c:v>1.7399571233002901E-2</c:v>
                </c:pt>
                <c:pt idx="38">
                  <c:v>6.1955070586442867E-2</c:v>
                </c:pt>
                <c:pt idx="39">
                  <c:v>8.404056603836467E-2</c:v>
                </c:pt>
                <c:pt idx="40">
                  <c:v>9.6876891420316108E-2</c:v>
                </c:pt>
                <c:pt idx="41">
                  <c:v>9.4962020744311482E-2</c:v>
                </c:pt>
                <c:pt idx="42">
                  <c:v>9.963556652585577E-2</c:v>
                </c:pt>
                <c:pt idx="43">
                  <c:v>8.9626978325266782E-2</c:v>
                </c:pt>
                <c:pt idx="44">
                  <c:v>6.6046498591704736E-2</c:v>
                </c:pt>
                <c:pt idx="45">
                  <c:v>3.7469414477654707E-2</c:v>
                </c:pt>
                <c:pt idx="46">
                  <c:v>1.046932675470221E-2</c:v>
                </c:pt>
                <c:pt idx="47">
                  <c:v>6.2291646451968653E-3</c:v>
                </c:pt>
                <c:pt idx="48">
                  <c:v>1.2460694276862919E-2</c:v>
                </c:pt>
                <c:pt idx="49">
                  <c:v>3.4376404191763639E-2</c:v>
                </c:pt>
                <c:pt idx="50">
                  <c:v>5.6477968577058592E-2</c:v>
                </c:pt>
                <c:pt idx="51">
                  <c:v>0.1509467292684683</c:v>
                </c:pt>
                <c:pt idx="52">
                  <c:v>0.18600333743842001</c:v>
                </c:pt>
                <c:pt idx="53">
                  <c:v>0.21892573712946101</c:v>
                </c:pt>
                <c:pt idx="54">
                  <c:v>0.18929524056345021</c:v>
                </c:pt>
                <c:pt idx="55">
                  <c:v>0.1493297980639493</c:v>
                </c:pt>
                <c:pt idx="56">
                  <c:v>0.13191654386548721</c:v>
                </c:pt>
                <c:pt idx="57">
                  <c:v>4.2864886456730103E-2</c:v>
                </c:pt>
                <c:pt idx="58">
                  <c:v>1.6003493537152379E-2</c:v>
                </c:pt>
                <c:pt idx="59">
                  <c:v>6.3905046726965339E-3</c:v>
                </c:pt>
                <c:pt idx="60">
                  <c:v>1.3417186050607519E-2</c:v>
                </c:pt>
                <c:pt idx="61">
                  <c:v>2.6436223837926501E-2</c:v>
                </c:pt>
                <c:pt idx="62">
                  <c:v>6.6233973400350477E-2</c:v>
                </c:pt>
                <c:pt idx="63">
                  <c:v>0.1084169878649764</c:v>
                </c:pt>
                <c:pt idx="64">
                  <c:v>0.18887031649880051</c:v>
                </c:pt>
                <c:pt idx="65">
                  <c:v>0.1715230569234828</c:v>
                </c:pt>
                <c:pt idx="66">
                  <c:v>0.1809062055635286</c:v>
                </c:pt>
                <c:pt idx="67">
                  <c:v>0.15512153111725799</c:v>
                </c:pt>
                <c:pt idx="68">
                  <c:v>0.1275567235314205</c:v>
                </c:pt>
                <c:pt idx="69">
                  <c:v>6.2873767847415107E-2</c:v>
                </c:pt>
                <c:pt idx="70">
                  <c:v>1.780902737610289E-2</c:v>
                </c:pt>
                <c:pt idx="71">
                  <c:v>6.7857975683456679E-3</c:v>
                </c:pt>
                <c:pt idx="72">
                  <c:v>1.366055484422285E-2</c:v>
                </c:pt>
                <c:pt idx="73">
                  <c:v>4.3419934817177687E-2</c:v>
                </c:pt>
                <c:pt idx="74">
                  <c:v>0.1120694547038418</c:v>
                </c:pt>
                <c:pt idx="75">
                  <c:v>0.14827548756052711</c:v>
                </c:pt>
                <c:pt idx="76">
                  <c:v>0.19244468175967161</c:v>
                </c:pt>
                <c:pt idx="77">
                  <c:v>0.18784829238523279</c:v>
                </c:pt>
                <c:pt idx="78">
                  <c:v>0.21828188848241209</c:v>
                </c:pt>
                <c:pt idx="79">
                  <c:v>0.19011684012808119</c:v>
                </c:pt>
                <c:pt idx="80">
                  <c:v>0.13816152724517919</c:v>
                </c:pt>
                <c:pt idx="81">
                  <c:v>6.9462071202051626E-2</c:v>
                </c:pt>
                <c:pt idx="82">
                  <c:v>2.6604970402147529E-2</c:v>
                </c:pt>
                <c:pt idx="83">
                  <c:v>1.40253486520015E-2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8CB-4E4C-B5B0-69F00D8C5CAF}"/>
            </c:ext>
          </c:extLst>
        </c:ser>
        <c:ser>
          <c:idx val="1"/>
          <c:order val="1"/>
          <c:tx>
            <c:strRef>
              <c:f>'Capture Price Inputs'!$G$1</c:f>
              <c:strCache>
                <c:ptCount val="1"/>
                <c:pt idx="0">
                  <c:v>DK2 Solar Penetration (%) — Robustness</c:v>
                </c:pt>
              </c:strCache>
            </c:strRef>
          </c:tx>
          <c:spPr>
            <a:ln>
              <a:solidFill>
                <a:srgbClr val="FFD700"/>
              </a:solidFill>
              <a:prstDash val="solid"/>
            </a:ln>
          </c:spPr>
          <c:marker>
            <c:symbol val="none"/>
          </c:marker>
          <c:val>
            <c:numRef>
              <c:f>'Capture Price Inputs'!$G$2:$G$85</c:f>
              <c:numCache>
                <c:formatCode>General</c:formatCode>
                <c:ptCount val="84"/>
                <c:pt idx="12">
                  <c:v>1.864323044087839E-3</c:v>
                </c:pt>
                <c:pt idx="13">
                  <c:v>4.9613393448072352E-3</c:v>
                </c:pt>
                <c:pt idx="14">
                  <c:v>1.532033335337761E-2</c:v>
                </c:pt>
                <c:pt idx="15">
                  <c:v>2.6180595134545931E-2</c:v>
                </c:pt>
                <c:pt idx="16">
                  <c:v>3.2240930774166239E-2</c:v>
                </c:pt>
                <c:pt idx="17">
                  <c:v>3.0651812088155841E-2</c:v>
                </c:pt>
                <c:pt idx="18">
                  <c:v>2.998206800974695E-2</c:v>
                </c:pt>
                <c:pt idx="19">
                  <c:v>2.8034713414307081E-2</c:v>
                </c:pt>
                <c:pt idx="20">
                  <c:v>2.1736479101595249E-2</c:v>
                </c:pt>
                <c:pt idx="21">
                  <c:v>1.107911770574695E-2</c:v>
                </c:pt>
                <c:pt idx="22">
                  <c:v>1.1044611578332841E-4</c:v>
                </c:pt>
                <c:pt idx="23">
                  <c:v>5.6352433584062588E-6</c:v>
                </c:pt>
                <c:pt idx="24">
                  <c:v>3.104474131982996E-3</c:v>
                </c:pt>
                <c:pt idx="25">
                  <c:v>9.2483369487723587E-3</c:v>
                </c:pt>
                <c:pt idx="26">
                  <c:v>1.8474517045212829E-2</c:v>
                </c:pt>
                <c:pt idx="27">
                  <c:v>3.2694407483312787E-2</c:v>
                </c:pt>
                <c:pt idx="28">
                  <c:v>3.2945829294540187E-2</c:v>
                </c:pt>
                <c:pt idx="29">
                  <c:v>4.4480133140056069E-2</c:v>
                </c:pt>
                <c:pt idx="30">
                  <c:v>3.7049542537302173E-2</c:v>
                </c:pt>
                <c:pt idx="31">
                  <c:v>3.1857768834261987E-2</c:v>
                </c:pt>
                <c:pt idx="32">
                  <c:v>2.23981137027396E-2</c:v>
                </c:pt>
                <c:pt idx="33">
                  <c:v>1.267326343754744E-2</c:v>
                </c:pt>
                <c:pt idx="34">
                  <c:v>4.0132810857910267E-3</c:v>
                </c:pt>
                <c:pt idx="35">
                  <c:v>1.8226295838260991E-3</c:v>
                </c:pt>
                <c:pt idx="36">
                  <c:v>4.939556742877535E-3</c:v>
                </c:pt>
                <c:pt idx="37">
                  <c:v>1.3248485586698279E-2</c:v>
                </c:pt>
                <c:pt idx="38">
                  <c:v>3.4089330349121053E-2</c:v>
                </c:pt>
                <c:pt idx="39">
                  <c:v>5.5254436099578648E-2</c:v>
                </c:pt>
                <c:pt idx="40">
                  <c:v>6.5811459960859395E-2</c:v>
                </c:pt>
                <c:pt idx="41">
                  <c:v>6.4528229045867816E-2</c:v>
                </c:pt>
                <c:pt idx="42">
                  <c:v>6.7025803801952916E-2</c:v>
                </c:pt>
                <c:pt idx="43">
                  <c:v>6.1299924397195817E-2</c:v>
                </c:pt>
                <c:pt idx="44">
                  <c:v>4.5784276103507021E-2</c:v>
                </c:pt>
                <c:pt idx="45">
                  <c:v>2.9809058027035401E-2</c:v>
                </c:pt>
                <c:pt idx="46">
                  <c:v>7.8652952619005494E-3</c:v>
                </c:pt>
                <c:pt idx="47">
                  <c:v>4.5323555529735481E-3</c:v>
                </c:pt>
                <c:pt idx="48">
                  <c:v>5.8626527231366082E-3</c:v>
                </c:pt>
                <c:pt idx="49">
                  <c:v>1.8877648418373551E-2</c:v>
                </c:pt>
                <c:pt idx="50">
                  <c:v>3.7096229392005707E-2</c:v>
                </c:pt>
                <c:pt idx="51">
                  <c:v>8.0269966033824955E-2</c:v>
                </c:pt>
                <c:pt idx="52">
                  <c:v>0.1080032082802261</c:v>
                </c:pt>
                <c:pt idx="53">
                  <c:v>0.1144244665352921</c:v>
                </c:pt>
                <c:pt idx="54">
                  <c:v>0.10203074507159759</c:v>
                </c:pt>
                <c:pt idx="55">
                  <c:v>7.7931010532967707E-2</c:v>
                </c:pt>
                <c:pt idx="56">
                  <c:v>8.0909954639318743E-2</c:v>
                </c:pt>
                <c:pt idx="57">
                  <c:v>2.9172340215594381E-2</c:v>
                </c:pt>
                <c:pt idx="58">
                  <c:v>1.04098691216888E-2</c:v>
                </c:pt>
                <c:pt idx="59">
                  <c:v>3.809030164374855E-3</c:v>
                </c:pt>
                <c:pt idx="60">
                  <c:v>6.1781830729755079E-3</c:v>
                </c:pt>
                <c:pt idx="61">
                  <c:v>1.667231366864759E-2</c:v>
                </c:pt>
                <c:pt idx="62">
                  <c:v>4.1112806367337662E-2</c:v>
                </c:pt>
                <c:pt idx="63">
                  <c:v>6.5123378744806448E-2</c:v>
                </c:pt>
                <c:pt idx="64">
                  <c:v>0.106315341440858</c:v>
                </c:pt>
                <c:pt idx="65">
                  <c:v>0.1072729076610999</c:v>
                </c:pt>
                <c:pt idx="66">
                  <c:v>0.1057942634887733</c:v>
                </c:pt>
                <c:pt idx="67">
                  <c:v>9.3690832268705199E-2</c:v>
                </c:pt>
                <c:pt idx="68">
                  <c:v>7.2463202820400169E-2</c:v>
                </c:pt>
                <c:pt idx="69">
                  <c:v>3.6145253892379881E-2</c:v>
                </c:pt>
                <c:pt idx="70">
                  <c:v>8.6028414054236078E-3</c:v>
                </c:pt>
                <c:pt idx="71">
                  <c:v>4.1714684657767577E-3</c:v>
                </c:pt>
                <c:pt idx="72">
                  <c:v>7.223240212576967E-3</c:v>
                </c:pt>
                <c:pt idx="73">
                  <c:v>2.010831138567791E-2</c:v>
                </c:pt>
                <c:pt idx="74">
                  <c:v>4.6547866447452589E-2</c:v>
                </c:pt>
                <c:pt idx="75">
                  <c:v>7.1689783649061992E-2</c:v>
                </c:pt>
                <c:pt idx="76">
                  <c:v>9.4714127256233946E-2</c:v>
                </c:pt>
                <c:pt idx="77">
                  <c:v>9.9826250015510765E-2</c:v>
                </c:pt>
                <c:pt idx="78">
                  <c:v>9.3996419418699143E-2</c:v>
                </c:pt>
                <c:pt idx="79">
                  <c:v>0.1057378118957395</c:v>
                </c:pt>
                <c:pt idx="80">
                  <c:v>9.0628879686523764E-2</c:v>
                </c:pt>
                <c:pt idx="81">
                  <c:v>3.9573125678626628E-2</c:v>
                </c:pt>
                <c:pt idx="82">
                  <c:v>1.454364344794783E-2</c:v>
                </c:pt>
                <c:pt idx="83">
                  <c:v>9.0694911608833299E-3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8CB-4E4C-B5B0-69F00D8C5CAF}"/>
            </c:ext>
          </c:extLst>
        </c:ser>
        <c:ser>
          <c:idx val="2"/>
          <c:order val="2"/>
          <c:tx>
            <c:strRef>
              <c:f>'Capture Price Inputs'!$H$1</c:f>
              <c:strCache>
                <c:ptCount val="1"/>
                <c:pt idx="0">
                  <c:v>DK1 Capture Price (EUR/MWh) — Primary</c:v>
                </c:pt>
              </c:strCache>
            </c:strRef>
          </c:tx>
          <c:spPr>
            <a:ln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'Capture Price Inputs'!$H$2:$H$85</c:f>
              <c:numCache>
                <c:formatCode>General</c:formatCode>
                <c:ptCount val="84"/>
                <c:pt idx="12">
                  <c:v>25.22320957280251</c:v>
                </c:pt>
                <c:pt idx="13">
                  <c:v>22.83581899109792</c:v>
                </c:pt>
                <c:pt idx="14">
                  <c:v>15.94107348554973</c:v>
                </c:pt>
                <c:pt idx="15">
                  <c:v>10.36487590420421</c:v>
                </c:pt>
                <c:pt idx="16">
                  <c:v>15.478548945086001</c:v>
                </c:pt>
                <c:pt idx="17">
                  <c:v>27.313308227868689</c:v>
                </c:pt>
                <c:pt idx="18">
                  <c:v>24.831745178109159</c:v>
                </c:pt>
                <c:pt idx="19">
                  <c:v>33.876915422047851</c:v>
                </c:pt>
                <c:pt idx="20">
                  <c:v>38.935979003379593</c:v>
                </c:pt>
                <c:pt idx="21">
                  <c:v>31.927741533059191</c:v>
                </c:pt>
                <c:pt idx="22">
                  <c:v>26.005993265993261</c:v>
                </c:pt>
                <c:pt idx="23">
                  <c:v>34.795161290322582</c:v>
                </c:pt>
                <c:pt idx="24">
                  <c:v>55.422967607277918</c:v>
                </c:pt>
                <c:pt idx="25">
                  <c:v>47.542610979142587</c:v>
                </c:pt>
                <c:pt idx="26">
                  <c:v>44.550700915805493</c:v>
                </c:pt>
                <c:pt idx="27">
                  <c:v>43.594739828473003</c:v>
                </c:pt>
                <c:pt idx="28">
                  <c:v>47.655870575001217</c:v>
                </c:pt>
                <c:pt idx="29">
                  <c:v>70.543547911111062</c:v>
                </c:pt>
                <c:pt idx="30">
                  <c:v>78.568319747758608</c:v>
                </c:pt>
                <c:pt idx="31">
                  <c:v>81.983351136401794</c:v>
                </c:pt>
                <c:pt idx="32">
                  <c:v>116.20022495544841</c:v>
                </c:pt>
                <c:pt idx="33">
                  <c:v>126.53039520323949</c:v>
                </c:pt>
                <c:pt idx="34">
                  <c:v>160.77058330102949</c:v>
                </c:pt>
                <c:pt idx="35">
                  <c:v>228.8621705579358</c:v>
                </c:pt>
                <c:pt idx="36">
                  <c:v>123.20125067917191</c:v>
                </c:pt>
                <c:pt idx="37">
                  <c:v>117.67077903546</c:v>
                </c:pt>
                <c:pt idx="38">
                  <c:v>191.50807173506701</c:v>
                </c:pt>
                <c:pt idx="39">
                  <c:v>145.70138715926041</c:v>
                </c:pt>
                <c:pt idx="40">
                  <c:v>149.4185612445558</c:v>
                </c:pt>
                <c:pt idx="41">
                  <c:v>194.71103409481981</c:v>
                </c:pt>
                <c:pt idx="42">
                  <c:v>239.3981525107354</c:v>
                </c:pt>
                <c:pt idx="43">
                  <c:v>419.79263722660602</c:v>
                </c:pt>
                <c:pt idx="44">
                  <c:v>310.70739927266709</c:v>
                </c:pt>
                <c:pt idx="45">
                  <c:v>125.6295598680838</c:v>
                </c:pt>
                <c:pt idx="46">
                  <c:v>131.7111886265582</c:v>
                </c:pt>
                <c:pt idx="47">
                  <c:v>282.82379374207261</c:v>
                </c:pt>
                <c:pt idx="48">
                  <c:v>138.52998868426329</c:v>
                </c:pt>
                <c:pt idx="49">
                  <c:v>109.87697572135031</c:v>
                </c:pt>
                <c:pt idx="50">
                  <c:v>93.774190940695377</c:v>
                </c:pt>
                <c:pt idx="51">
                  <c:v>76.25042822265543</c:v>
                </c:pt>
                <c:pt idx="52">
                  <c:v>50.543487760082613</c:v>
                </c:pt>
                <c:pt idx="53">
                  <c:v>74.888982776218057</c:v>
                </c:pt>
                <c:pt idx="54">
                  <c:v>52.095599438463452</c:v>
                </c:pt>
                <c:pt idx="55">
                  <c:v>74.180426039978187</c:v>
                </c:pt>
                <c:pt idx="56">
                  <c:v>68.116869623396937</c:v>
                </c:pt>
                <c:pt idx="57">
                  <c:v>50.539090519702853</c:v>
                </c:pt>
                <c:pt idx="58">
                  <c:v>90.680805562425178</c:v>
                </c:pt>
                <c:pt idx="59">
                  <c:v>63.455327688788032</c:v>
                </c:pt>
                <c:pt idx="60">
                  <c:v>78.571316441678306</c:v>
                </c:pt>
                <c:pt idx="61">
                  <c:v>59.479486768055089</c:v>
                </c:pt>
                <c:pt idx="62">
                  <c:v>51.269783241554933</c:v>
                </c:pt>
                <c:pt idx="63">
                  <c:v>49.383940562011212</c:v>
                </c:pt>
                <c:pt idx="64">
                  <c:v>35.894148271408874</c:v>
                </c:pt>
                <c:pt idx="65">
                  <c:v>47.037633727397647</c:v>
                </c:pt>
                <c:pt idx="66">
                  <c:v>42.521773223099522</c:v>
                </c:pt>
                <c:pt idx="67">
                  <c:v>52.17121747504909</c:v>
                </c:pt>
                <c:pt idx="68">
                  <c:v>45.647504626217007</c:v>
                </c:pt>
                <c:pt idx="69">
                  <c:v>58.441583787091993</c:v>
                </c:pt>
                <c:pt idx="70">
                  <c:v>97.582352616331917</c:v>
                </c:pt>
                <c:pt idx="71">
                  <c:v>92.073217693833982</c:v>
                </c:pt>
                <c:pt idx="72">
                  <c:v>111.1945655985155</c:v>
                </c:pt>
                <c:pt idx="73">
                  <c:v>105.41315973788279</c:v>
                </c:pt>
                <c:pt idx="74">
                  <c:v>57.84566339627056</c:v>
                </c:pt>
                <c:pt idx="75">
                  <c:v>45.844395770687349</c:v>
                </c:pt>
                <c:pt idx="76">
                  <c:v>40.065667394009381</c:v>
                </c:pt>
                <c:pt idx="77">
                  <c:v>33.493381965196598</c:v>
                </c:pt>
                <c:pt idx="78">
                  <c:v>61.32224821093979</c:v>
                </c:pt>
                <c:pt idx="79">
                  <c:v>47.755824567457559</c:v>
                </c:pt>
                <c:pt idx="80">
                  <c:v>49.429094996057238</c:v>
                </c:pt>
                <c:pt idx="81">
                  <c:v>74.266634537895257</c:v>
                </c:pt>
                <c:pt idx="82">
                  <c:v>95.564531802521344</c:v>
                </c:pt>
                <c:pt idx="83">
                  <c:v>80.958034242780258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18CB-4E4C-B5B0-69F00D8C5C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Solar Penetration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Monthly Capture Price — DK1 and DK2 (EUR/MWh)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Inputs'!$I$1</c:f>
              <c:strCache>
                <c:ptCount val="1"/>
                <c:pt idx="0">
                  <c:v>DK2 Capture Price (EUR/MWh) — Robustness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Inputs'!$I$2:$I$85</c:f>
              <c:numCache>
                <c:formatCode>General</c:formatCode>
                <c:ptCount val="84"/>
                <c:pt idx="12">
                  <c:v>29.86213642213642</c:v>
                </c:pt>
                <c:pt idx="13">
                  <c:v>23.555517829721889</c:v>
                </c:pt>
                <c:pt idx="14">
                  <c:v>17.149050692261021</c:v>
                </c:pt>
                <c:pt idx="15">
                  <c:v>13.252523128367081</c:v>
                </c:pt>
                <c:pt idx="16">
                  <c:v>18.594049382716051</c:v>
                </c:pt>
                <c:pt idx="17">
                  <c:v>35.21078005032583</c:v>
                </c:pt>
                <c:pt idx="18">
                  <c:v>26.450778046867001</c:v>
                </c:pt>
                <c:pt idx="19">
                  <c:v>44.113765015404859</c:v>
                </c:pt>
                <c:pt idx="20">
                  <c:v>41.853047880870562</c:v>
                </c:pt>
                <c:pt idx="21">
                  <c:v>33.600878372903331</c:v>
                </c:pt>
                <c:pt idx="22">
                  <c:v>37.749765625000002</c:v>
                </c:pt>
                <c:pt idx="23">
                  <c:v>44.191428571428567</c:v>
                </c:pt>
                <c:pt idx="24">
                  <c:v>57.072134410081453</c:v>
                </c:pt>
                <c:pt idx="25">
                  <c:v>52.285083654524577</c:v>
                </c:pt>
                <c:pt idx="26">
                  <c:v>47.422643011897812</c:v>
                </c:pt>
                <c:pt idx="27">
                  <c:v>45.901363748248833</c:v>
                </c:pt>
                <c:pt idx="28">
                  <c:v>50.258720231460799</c:v>
                </c:pt>
                <c:pt idx="29">
                  <c:v>69.469341653776226</c:v>
                </c:pt>
                <c:pt idx="30">
                  <c:v>77.933111551394319</c:v>
                </c:pt>
                <c:pt idx="31">
                  <c:v>84.512747690257029</c:v>
                </c:pt>
                <c:pt idx="32">
                  <c:v>118.7457227855615</c:v>
                </c:pt>
                <c:pt idx="33">
                  <c:v>122.3841235967906</c:v>
                </c:pt>
                <c:pt idx="34">
                  <c:v>153.62679427815749</c:v>
                </c:pt>
                <c:pt idx="35">
                  <c:v>244.48727859764409</c:v>
                </c:pt>
                <c:pt idx="36">
                  <c:v>129.67749023150819</c:v>
                </c:pt>
                <c:pt idx="37">
                  <c:v>108.80333899256409</c:v>
                </c:pt>
                <c:pt idx="38">
                  <c:v>186.0504424586062</c:v>
                </c:pt>
                <c:pt idx="39">
                  <c:v>143.53758886421849</c:v>
                </c:pt>
                <c:pt idx="40">
                  <c:v>146.25360234460331</c:v>
                </c:pt>
                <c:pt idx="41">
                  <c:v>192.2325905808319</c:v>
                </c:pt>
                <c:pt idx="42">
                  <c:v>212.3625858003895</c:v>
                </c:pt>
                <c:pt idx="43">
                  <c:v>397.17988485976059</c:v>
                </c:pt>
                <c:pt idx="44">
                  <c:v>315.92884279677901</c:v>
                </c:pt>
                <c:pt idx="45">
                  <c:v>120.1190076327392</c:v>
                </c:pt>
                <c:pt idx="46">
                  <c:v>134.0399027878758</c:v>
                </c:pt>
                <c:pt idx="47">
                  <c:v>303.26978481668573</c:v>
                </c:pt>
                <c:pt idx="48">
                  <c:v>120.8992864784306</c:v>
                </c:pt>
                <c:pt idx="49">
                  <c:v>103.112625406295</c:v>
                </c:pt>
                <c:pt idx="50">
                  <c:v>89.098468921641697</c:v>
                </c:pt>
                <c:pt idx="51">
                  <c:v>71.125099705594195</c:v>
                </c:pt>
                <c:pt idx="52">
                  <c:v>48.358083796456327</c:v>
                </c:pt>
                <c:pt idx="53">
                  <c:v>71.862090372222397</c:v>
                </c:pt>
                <c:pt idx="54">
                  <c:v>50.345966617092351</c:v>
                </c:pt>
                <c:pt idx="55">
                  <c:v>72.957992347987414</c:v>
                </c:pt>
                <c:pt idx="56">
                  <c:v>64.394484672464898</c:v>
                </c:pt>
                <c:pt idx="57">
                  <c:v>47.660255094286853</c:v>
                </c:pt>
                <c:pt idx="58">
                  <c:v>84.639978605265995</c:v>
                </c:pt>
                <c:pt idx="59">
                  <c:v>59.061746333079718</c:v>
                </c:pt>
                <c:pt idx="60">
                  <c:v>76.427202535219209</c:v>
                </c:pt>
                <c:pt idx="61">
                  <c:v>51.434379196547752</c:v>
                </c:pt>
                <c:pt idx="62">
                  <c:v>50.751163813053438</c:v>
                </c:pt>
                <c:pt idx="63">
                  <c:v>47.053967904827999</c:v>
                </c:pt>
                <c:pt idx="64">
                  <c:v>34.295794113692892</c:v>
                </c:pt>
                <c:pt idx="65">
                  <c:v>46.379384034583367</c:v>
                </c:pt>
                <c:pt idx="66">
                  <c:v>38.812821969471173</c:v>
                </c:pt>
                <c:pt idx="67">
                  <c:v>47.151863118292532</c:v>
                </c:pt>
                <c:pt idx="68">
                  <c:v>43.355946350842189</c:v>
                </c:pt>
                <c:pt idx="69">
                  <c:v>59.534937630286556</c:v>
                </c:pt>
                <c:pt idx="70">
                  <c:v>89.611277477917284</c:v>
                </c:pt>
                <c:pt idx="71">
                  <c:v>100.7961313991171</c:v>
                </c:pt>
                <c:pt idx="72">
                  <c:v>115.0822593270056</c:v>
                </c:pt>
                <c:pt idx="73">
                  <c:v>106.92318207316821</c:v>
                </c:pt>
                <c:pt idx="74">
                  <c:v>50.018062961268747</c:v>
                </c:pt>
                <c:pt idx="75">
                  <c:v>41.82584156307518</c:v>
                </c:pt>
                <c:pt idx="76">
                  <c:v>34.320660344591218</c:v>
                </c:pt>
                <c:pt idx="77">
                  <c:v>24.31568572006325</c:v>
                </c:pt>
                <c:pt idx="78">
                  <c:v>59.766943882147693</c:v>
                </c:pt>
                <c:pt idx="79">
                  <c:v>43.064604783544858</c:v>
                </c:pt>
                <c:pt idx="80">
                  <c:v>52.949405153808357</c:v>
                </c:pt>
                <c:pt idx="81">
                  <c:v>78.645730322406678</c:v>
                </c:pt>
                <c:pt idx="82">
                  <c:v>92.690454871532665</c:v>
                </c:pt>
                <c:pt idx="83">
                  <c:v>79.631228022083661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6AF-184A-9778-67D79062B9ED}"/>
            </c:ext>
          </c:extLst>
        </c:ser>
        <c:ser>
          <c:idx val="1"/>
          <c:order val="1"/>
          <c:tx>
            <c:strRef>
              <c:f>'Capture Price Inputs'!$J$1</c:f>
              <c:strCache>
                <c:ptCount val="1"/>
                <c:pt idx="0">
                  <c:v>DK1 CPR — Primary</c:v>
                </c:pt>
              </c:strCache>
            </c:strRef>
          </c:tx>
          <c:spPr>
            <a:ln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'Capture Price Inputs'!$J$2:$J$85</c:f>
              <c:numCache>
                <c:formatCode>General</c:formatCode>
                <c:ptCount val="84"/>
                <c:pt idx="12">
                  <c:v>1.0091486594474419</c:v>
                </c:pt>
                <c:pt idx="13">
                  <c:v>1.2985911686950511</c:v>
                </c:pt>
                <c:pt idx="14">
                  <c:v>0.8710146939215303</c:v>
                </c:pt>
                <c:pt idx="15">
                  <c:v>0.71315772558819213</c:v>
                </c:pt>
                <c:pt idx="16">
                  <c:v>0.96415576931205649</c:v>
                </c:pt>
                <c:pt idx="17">
                  <c:v>1.0394664137310941</c:v>
                </c:pt>
                <c:pt idx="18">
                  <c:v>1.0086181556608309</c:v>
                </c:pt>
                <c:pt idx="19">
                  <c:v>0.98082264407500741</c:v>
                </c:pt>
                <c:pt idx="20">
                  <c:v>1.0104044869130051</c:v>
                </c:pt>
                <c:pt idx="21">
                  <c:v>1.236802226812374</c:v>
                </c:pt>
                <c:pt idx="22">
                  <c:v>1.094777917215692</c:v>
                </c:pt>
                <c:pt idx="23">
                  <c:v>1.0082301641826621</c:v>
                </c:pt>
                <c:pt idx="24">
                  <c:v>1.103930861568265</c:v>
                </c:pt>
                <c:pt idx="25">
                  <c:v>1.0059479277054251</c:v>
                </c:pt>
                <c:pt idx="26">
                  <c:v>0.9871758725122356</c:v>
                </c:pt>
                <c:pt idx="27">
                  <c:v>0.90884647456650169</c:v>
                </c:pt>
                <c:pt idx="28">
                  <c:v>0.87751805187154364</c:v>
                </c:pt>
                <c:pt idx="29">
                  <c:v>0.95691427953473174</c:v>
                </c:pt>
                <c:pt idx="30">
                  <c:v>0.98211323715969778</c:v>
                </c:pt>
                <c:pt idx="31">
                  <c:v>0.99027147802450566</c:v>
                </c:pt>
                <c:pt idx="32">
                  <c:v>0.92690440483613579</c:v>
                </c:pt>
                <c:pt idx="33">
                  <c:v>1.0810885074134391</c:v>
                </c:pt>
                <c:pt idx="34">
                  <c:v>1.1338034085044659</c:v>
                </c:pt>
                <c:pt idx="35">
                  <c:v>1.2086769624549281</c:v>
                </c:pt>
                <c:pt idx="36">
                  <c:v>1.0441257304277269</c:v>
                </c:pt>
                <c:pt idx="37">
                  <c:v>1.04022281700981</c:v>
                </c:pt>
                <c:pt idx="38">
                  <c:v>0.81207759044207406</c:v>
                </c:pt>
                <c:pt idx="39">
                  <c:v>0.89039133384678326</c:v>
                </c:pt>
                <c:pt idx="40">
                  <c:v>0.86943016050498578</c:v>
                </c:pt>
                <c:pt idx="41">
                  <c:v>0.90803902012341908</c:v>
                </c:pt>
                <c:pt idx="42">
                  <c:v>0.87041791592949547</c:v>
                </c:pt>
                <c:pt idx="43">
                  <c:v>0.91908553046700026</c:v>
                </c:pt>
                <c:pt idx="44">
                  <c:v>0.90632901805683119</c:v>
                </c:pt>
                <c:pt idx="45">
                  <c:v>0.91612325253961768</c:v>
                </c:pt>
                <c:pt idx="46">
                  <c:v>0.94278612074660006</c:v>
                </c:pt>
                <c:pt idx="47">
                  <c:v>1.132810339248927</c:v>
                </c:pt>
                <c:pt idx="48">
                  <c:v>1.2309198691226539</c:v>
                </c:pt>
                <c:pt idx="49">
                  <c:v>0.93008781340266</c:v>
                </c:pt>
                <c:pt idx="50">
                  <c:v>0.94612539759598957</c:v>
                </c:pt>
                <c:pt idx="51">
                  <c:v>0.79203966120386338</c:v>
                </c:pt>
                <c:pt idx="52">
                  <c:v>0.68333610561519953</c:v>
                </c:pt>
                <c:pt idx="53">
                  <c:v>0.80965062086215667</c:v>
                </c:pt>
                <c:pt idx="54">
                  <c:v>0.80380421953260928</c:v>
                </c:pt>
                <c:pt idx="55">
                  <c:v>0.86289309777204071</c:v>
                </c:pt>
                <c:pt idx="56">
                  <c:v>0.8038389922187259</c:v>
                </c:pt>
                <c:pt idx="57">
                  <c:v>0.84083605560542263</c:v>
                </c:pt>
                <c:pt idx="58">
                  <c:v>1.028656893611996</c:v>
                </c:pt>
                <c:pt idx="59">
                  <c:v>0.91325607762876626</c:v>
                </c:pt>
                <c:pt idx="60">
                  <c:v>1.051614630458469</c:v>
                </c:pt>
                <c:pt idx="61">
                  <c:v>1.0144208291794441</c:v>
                </c:pt>
                <c:pt idx="62">
                  <c:v>0.8373818542217274</c:v>
                </c:pt>
                <c:pt idx="63">
                  <c:v>0.83468460161643787</c:v>
                </c:pt>
                <c:pt idx="64">
                  <c:v>0.61339845366508694</c:v>
                </c:pt>
                <c:pt idx="65">
                  <c:v>0.73781003223868646</c:v>
                </c:pt>
                <c:pt idx="66">
                  <c:v>0.68549949487061801</c:v>
                </c:pt>
                <c:pt idx="67">
                  <c:v>0.71512676219349525</c:v>
                </c:pt>
                <c:pt idx="68">
                  <c:v>0.63652522303957304</c:v>
                </c:pt>
                <c:pt idx="69">
                  <c:v>0.76175188075929667</c:v>
                </c:pt>
                <c:pt idx="70">
                  <c:v>1.0174940038611719</c:v>
                </c:pt>
                <c:pt idx="71">
                  <c:v>1.0025674160411211</c:v>
                </c:pt>
                <c:pt idx="72">
                  <c:v>1.135032584901597</c:v>
                </c:pt>
                <c:pt idx="73">
                  <c:v>0.93411665141872979</c:v>
                </c:pt>
                <c:pt idx="74">
                  <c:v>0.68579081688022481</c:v>
                </c:pt>
                <c:pt idx="75">
                  <c:v>0.60995353561832499</c:v>
                </c:pt>
                <c:pt idx="76">
                  <c:v>0.62375117423189408</c:v>
                </c:pt>
                <c:pt idx="77">
                  <c:v>0.56976432128633303</c:v>
                </c:pt>
                <c:pt idx="78">
                  <c:v>0.74058967108380014</c:v>
                </c:pt>
                <c:pt idx="79">
                  <c:v>0.64997112344594554</c:v>
                </c:pt>
                <c:pt idx="80">
                  <c:v>0.68273474898658593</c:v>
                </c:pt>
                <c:pt idx="81">
                  <c:v>0.94701517193480578</c:v>
                </c:pt>
                <c:pt idx="82">
                  <c:v>1.0289764309560969</c:v>
                </c:pt>
                <c:pt idx="83">
                  <c:v>0.98205388617926037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6AF-184A-9778-67D79062B9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Monthly Capture Price Ratio — DK1 and DK2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Inputs'!$K$1</c:f>
              <c:strCache>
                <c:ptCount val="1"/>
                <c:pt idx="0">
                  <c:v>DK2 CPR — Robustness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Inputs'!$K$2:$K$85</c:f>
              <c:numCache>
                <c:formatCode>General</c:formatCode>
                <c:ptCount val="84"/>
                <c:pt idx="12">
                  <c:v>1.090446324793763</c:v>
                </c:pt>
                <c:pt idx="13">
                  <c:v>1.251821301318464</c:v>
                </c:pt>
                <c:pt idx="14">
                  <c:v>0.85520775851277109</c:v>
                </c:pt>
                <c:pt idx="15">
                  <c:v>0.76362023547871605</c:v>
                </c:pt>
                <c:pt idx="16">
                  <c:v>0.97636938233545278</c:v>
                </c:pt>
                <c:pt idx="17">
                  <c:v>1.180647007173951</c:v>
                </c:pt>
                <c:pt idx="18">
                  <c:v>1.021791049952987</c:v>
                </c:pt>
                <c:pt idx="19">
                  <c:v>1.077948442472481</c:v>
                </c:pt>
                <c:pt idx="20">
                  <c:v>1.0591890923358069</c:v>
                </c:pt>
                <c:pt idx="21">
                  <c:v>1.247549053102559</c:v>
                </c:pt>
                <c:pt idx="22">
                  <c:v>1.057080411727209</c:v>
                </c:pt>
                <c:pt idx="23">
                  <c:v>1.125691191699302</c:v>
                </c:pt>
                <c:pt idx="24">
                  <c:v>1.122164979814525</c:v>
                </c:pt>
                <c:pt idx="25">
                  <c:v>0.9585139857498034</c:v>
                </c:pt>
                <c:pt idx="26">
                  <c:v>1.0147741726503949</c:v>
                </c:pt>
                <c:pt idx="27">
                  <c:v>0.95901643664766134</c:v>
                </c:pt>
                <c:pt idx="28">
                  <c:v>0.91033887361171206</c:v>
                </c:pt>
                <c:pt idx="29">
                  <c:v>0.94404491874816343</c:v>
                </c:pt>
                <c:pt idx="30">
                  <c:v>0.95692856904650769</c:v>
                </c:pt>
                <c:pt idx="31">
                  <c:v>1.001768528067071</c:v>
                </c:pt>
                <c:pt idx="32">
                  <c:v>0.95838336990944806</c:v>
                </c:pt>
                <c:pt idx="33">
                  <c:v>1.1445012658471321</c:v>
                </c:pt>
                <c:pt idx="34">
                  <c:v>1.1264608571418011</c:v>
                </c:pt>
                <c:pt idx="35">
                  <c:v>1.279578427053047</c:v>
                </c:pt>
                <c:pt idx="36">
                  <c:v>1.1617546523412821</c:v>
                </c:pt>
                <c:pt idx="37">
                  <c:v>1.084871924613185</c:v>
                </c:pt>
                <c:pt idx="38">
                  <c:v>0.81629582758371144</c:v>
                </c:pt>
                <c:pt idx="39">
                  <c:v>0.93918048773921026</c:v>
                </c:pt>
                <c:pt idx="40">
                  <c:v>0.89914563143311954</c:v>
                </c:pt>
                <c:pt idx="41">
                  <c:v>0.90151367457475784</c:v>
                </c:pt>
                <c:pt idx="42">
                  <c:v>0.90956244496775596</c:v>
                </c:pt>
                <c:pt idx="43">
                  <c:v>0.8830756108422062</c:v>
                </c:pt>
                <c:pt idx="44">
                  <c:v>0.96085369829588263</c:v>
                </c:pt>
                <c:pt idx="45">
                  <c:v>0.87743541957368609</c:v>
                </c:pt>
                <c:pt idx="46">
                  <c:v>0.92404474391789948</c:v>
                </c:pt>
                <c:pt idx="47">
                  <c:v>1.2185280560697289</c:v>
                </c:pt>
                <c:pt idx="48">
                  <c:v>1.2118663236304299</c:v>
                </c:pt>
                <c:pt idx="49">
                  <c:v>1.0244781228159621</c:v>
                </c:pt>
                <c:pt idx="50">
                  <c:v>0.99223631219701203</c:v>
                </c:pt>
                <c:pt idx="51">
                  <c:v>0.85025873478203906</c:v>
                </c:pt>
                <c:pt idx="52">
                  <c:v>0.73101748270540212</c:v>
                </c:pt>
                <c:pt idx="53">
                  <c:v>0.78603819917365525</c:v>
                </c:pt>
                <c:pt idx="54">
                  <c:v>0.77170348712471282</c:v>
                </c:pt>
                <c:pt idx="55">
                  <c:v>0.84546104105698361</c:v>
                </c:pt>
                <c:pt idx="56">
                  <c:v>0.75329173308453345</c:v>
                </c:pt>
                <c:pt idx="57">
                  <c:v>0.83723449033464103</c:v>
                </c:pt>
                <c:pt idx="58">
                  <c:v>1.038705241708771</c:v>
                </c:pt>
                <c:pt idx="59">
                  <c:v>0.83326707575628478</c:v>
                </c:pt>
                <c:pt idx="60">
                  <c:v>0.97714487510792902</c:v>
                </c:pt>
                <c:pt idx="61">
                  <c:v>0.93991726033346112</c:v>
                </c:pt>
                <c:pt idx="62">
                  <c:v>0.8314293202728863</c:v>
                </c:pt>
                <c:pt idx="63">
                  <c:v>0.77805107456374178</c:v>
                </c:pt>
                <c:pt idx="64">
                  <c:v>0.59005563427075769</c:v>
                </c:pt>
                <c:pt idx="65">
                  <c:v>0.69439585691141426</c:v>
                </c:pt>
                <c:pt idx="66">
                  <c:v>0.61762838453946423</c:v>
                </c:pt>
                <c:pt idx="67">
                  <c:v>0.64934714792296455</c:v>
                </c:pt>
                <c:pt idx="68">
                  <c:v>0.61574801135475132</c:v>
                </c:pt>
                <c:pt idx="69">
                  <c:v>0.78000735067931948</c:v>
                </c:pt>
                <c:pt idx="70">
                  <c:v>0.94047799551015088</c:v>
                </c:pt>
                <c:pt idx="71">
                  <c:v>1.0870067185479459</c:v>
                </c:pt>
                <c:pt idx="72">
                  <c:v>1.1494003648079021</c:v>
                </c:pt>
                <c:pt idx="73">
                  <c:v>0.90662384271333907</c:v>
                </c:pt>
                <c:pt idx="74">
                  <c:v>0.60374116471580297</c:v>
                </c:pt>
                <c:pt idx="75">
                  <c:v>0.55174367988103734</c:v>
                </c:pt>
                <c:pt idx="76">
                  <c:v>0.54405946330729504</c:v>
                </c:pt>
                <c:pt idx="77">
                  <c:v>0.4307606652121766</c:v>
                </c:pt>
                <c:pt idx="78">
                  <c:v>0.74746341861966192</c:v>
                </c:pt>
                <c:pt idx="79">
                  <c:v>0.57178942343359873</c:v>
                </c:pt>
                <c:pt idx="80">
                  <c:v>0.63573160083367797</c:v>
                </c:pt>
                <c:pt idx="81">
                  <c:v>0.95480840081563045</c:v>
                </c:pt>
                <c:pt idx="82">
                  <c:v>0.98927251294969987</c:v>
                </c:pt>
                <c:pt idx="83">
                  <c:v>0.97014796253594149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909-C044-BA85-D89730D6003E}"/>
            </c:ext>
          </c:extLst>
        </c:ser>
        <c:ser>
          <c:idx val="1"/>
          <c:order val="1"/>
          <c:tx>
            <c:strRef>
              <c:f>'Capture Price Inputs'!$L$1</c:f>
              <c:strCache>
                <c:ptCount val="1"/>
              </c:strCache>
            </c:strRef>
          </c:tx>
          <c:spPr>
            <a:ln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'Capture Price Inputs'!$L$2:$L$85</c:f>
              <c:numCache>
                <c:formatCode>General</c:formatCode>
                <c:ptCount val="84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909-C044-BA85-D89730D6003E}"/>
            </c:ext>
          </c:extLst>
        </c:ser>
        <c:ser>
          <c:idx val="2"/>
          <c:order val="2"/>
          <c:tx>
            <c:strRef>
              <c:f>'Capture Price Inputs'!$M$1</c:f>
              <c:strCache>
                <c:ptCount val="1"/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'Capture Price Inputs'!$M$2:$M$85</c:f>
              <c:numCache>
                <c:formatCode>General</c:formatCode>
                <c:ptCount val="84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D909-C044-BA85-D89730D60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CPR (Capture Price / Spot Price)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Solar Penetration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Inputs'!$F$1</c:f>
              <c:strCache>
                <c:ptCount val="1"/>
                <c:pt idx="0">
                  <c:v>DK1 Solar Penetration (%) — Primary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'Capture Price Inputs'!$F$2:$F$85</c:f>
              <c:numCache>
                <c:formatCode>General</c:formatCode>
                <c:ptCount val="84"/>
                <c:pt idx="12">
                  <c:v>2.2644478926294831E-3</c:v>
                </c:pt>
                <c:pt idx="13">
                  <c:v>5.2474520244822449E-3</c:v>
                </c:pt>
                <c:pt idx="14">
                  <c:v>2.020167759412729E-2</c:v>
                </c:pt>
                <c:pt idx="15">
                  <c:v>3.2427989612304697E-2</c:v>
                </c:pt>
                <c:pt idx="16">
                  <c:v>3.6080087237903569E-2</c:v>
                </c:pt>
                <c:pt idx="17">
                  <c:v>3.7413618831640891E-2</c:v>
                </c:pt>
                <c:pt idx="18">
                  <c:v>3.3998433859503921E-2</c:v>
                </c:pt>
                <c:pt idx="19">
                  <c:v>3.4224763142537661E-2</c:v>
                </c:pt>
                <c:pt idx="20">
                  <c:v>2.4330151939157239E-2</c:v>
                </c:pt>
                <c:pt idx="21">
                  <c:v>1.1490387549446779E-2</c:v>
                </c:pt>
                <c:pt idx="22">
                  <c:v>1.521101274151999E-4</c:v>
                </c:pt>
                <c:pt idx="23">
                  <c:v>1.472410662127807E-5</c:v>
                </c:pt>
                <c:pt idx="24">
                  <c:v>3.6313559990350909E-3</c:v>
                </c:pt>
                <c:pt idx="25">
                  <c:v>1.0868941718057299E-2</c:v>
                </c:pt>
                <c:pt idx="26">
                  <c:v>2.2382303907371628E-2</c:v>
                </c:pt>
                <c:pt idx="27">
                  <c:v>4.212837115783985E-2</c:v>
                </c:pt>
                <c:pt idx="28">
                  <c:v>3.3075052211960353E-2</c:v>
                </c:pt>
                <c:pt idx="29">
                  <c:v>4.9841661821819518E-2</c:v>
                </c:pt>
                <c:pt idx="30">
                  <c:v>4.85715434854639E-2</c:v>
                </c:pt>
                <c:pt idx="31">
                  <c:v>3.8876947944708702E-2</c:v>
                </c:pt>
                <c:pt idx="32">
                  <c:v>2.5932850179436289E-2</c:v>
                </c:pt>
                <c:pt idx="33">
                  <c:v>1.7460096431489061E-2</c:v>
                </c:pt>
                <c:pt idx="34">
                  <c:v>7.0293060058135041E-3</c:v>
                </c:pt>
                <c:pt idx="35">
                  <c:v>3.243365391886713E-3</c:v>
                </c:pt>
                <c:pt idx="36">
                  <c:v>6.6753155472480874E-3</c:v>
                </c:pt>
                <c:pt idx="37">
                  <c:v>1.7399571233002901E-2</c:v>
                </c:pt>
                <c:pt idx="38">
                  <c:v>6.1955070586442867E-2</c:v>
                </c:pt>
                <c:pt idx="39">
                  <c:v>8.404056603836467E-2</c:v>
                </c:pt>
                <c:pt idx="40">
                  <c:v>9.6876891420316108E-2</c:v>
                </c:pt>
                <c:pt idx="41">
                  <c:v>9.4962020744311482E-2</c:v>
                </c:pt>
                <c:pt idx="42">
                  <c:v>9.963556652585577E-2</c:v>
                </c:pt>
                <c:pt idx="43">
                  <c:v>8.9626978325266782E-2</c:v>
                </c:pt>
                <c:pt idx="44">
                  <c:v>6.6046498591704736E-2</c:v>
                </c:pt>
                <c:pt idx="45">
                  <c:v>3.7469414477654707E-2</c:v>
                </c:pt>
                <c:pt idx="46">
                  <c:v>1.046932675470221E-2</c:v>
                </c:pt>
                <c:pt idx="47">
                  <c:v>6.2291646451968653E-3</c:v>
                </c:pt>
                <c:pt idx="48">
                  <c:v>1.2460694276862919E-2</c:v>
                </c:pt>
                <c:pt idx="49">
                  <c:v>3.4376404191763639E-2</c:v>
                </c:pt>
                <c:pt idx="50">
                  <c:v>5.6477968577058592E-2</c:v>
                </c:pt>
                <c:pt idx="51">
                  <c:v>0.1509467292684683</c:v>
                </c:pt>
                <c:pt idx="52">
                  <c:v>0.18600333743842001</c:v>
                </c:pt>
                <c:pt idx="53">
                  <c:v>0.21892573712946101</c:v>
                </c:pt>
                <c:pt idx="54">
                  <c:v>0.18929524056345021</c:v>
                </c:pt>
                <c:pt idx="55">
                  <c:v>0.1493297980639493</c:v>
                </c:pt>
                <c:pt idx="56">
                  <c:v>0.13191654386548721</c:v>
                </c:pt>
                <c:pt idx="57">
                  <c:v>4.2864886456730103E-2</c:v>
                </c:pt>
                <c:pt idx="58">
                  <c:v>1.6003493537152379E-2</c:v>
                </c:pt>
                <c:pt idx="59">
                  <c:v>6.3905046726965339E-3</c:v>
                </c:pt>
                <c:pt idx="60">
                  <c:v>1.3417186050607519E-2</c:v>
                </c:pt>
                <c:pt idx="61">
                  <c:v>2.6436223837926501E-2</c:v>
                </c:pt>
                <c:pt idx="62">
                  <c:v>6.6233973400350477E-2</c:v>
                </c:pt>
                <c:pt idx="63">
                  <c:v>0.1084169878649764</c:v>
                </c:pt>
                <c:pt idx="64">
                  <c:v>0.18887031649880051</c:v>
                </c:pt>
                <c:pt idx="65">
                  <c:v>0.1715230569234828</c:v>
                </c:pt>
                <c:pt idx="66">
                  <c:v>0.1809062055635286</c:v>
                </c:pt>
                <c:pt idx="67">
                  <c:v>0.15512153111725799</c:v>
                </c:pt>
                <c:pt idx="68">
                  <c:v>0.1275567235314205</c:v>
                </c:pt>
                <c:pt idx="69">
                  <c:v>6.2873767847415107E-2</c:v>
                </c:pt>
                <c:pt idx="70">
                  <c:v>1.780902737610289E-2</c:v>
                </c:pt>
                <c:pt idx="71">
                  <c:v>6.7857975683456679E-3</c:v>
                </c:pt>
                <c:pt idx="72">
                  <c:v>1.366055484422285E-2</c:v>
                </c:pt>
                <c:pt idx="73">
                  <c:v>4.3419934817177687E-2</c:v>
                </c:pt>
                <c:pt idx="74">
                  <c:v>0.1120694547038418</c:v>
                </c:pt>
                <c:pt idx="75">
                  <c:v>0.14827548756052711</c:v>
                </c:pt>
                <c:pt idx="76">
                  <c:v>0.19244468175967161</c:v>
                </c:pt>
                <c:pt idx="77">
                  <c:v>0.18784829238523279</c:v>
                </c:pt>
                <c:pt idx="78">
                  <c:v>0.21828188848241209</c:v>
                </c:pt>
                <c:pt idx="79">
                  <c:v>0.19011684012808119</c:v>
                </c:pt>
                <c:pt idx="80">
                  <c:v>0.13816152724517919</c:v>
                </c:pt>
                <c:pt idx="81">
                  <c:v>6.9462071202051626E-2</c:v>
                </c:pt>
                <c:pt idx="82">
                  <c:v>2.6604970402147529E-2</c:v>
                </c:pt>
                <c:pt idx="83">
                  <c:v>1.40253486520015E-2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0D4-9443-B524-933E5DB013EE}"/>
            </c:ext>
          </c:extLst>
        </c:ser>
        <c:ser>
          <c:idx val="1"/>
          <c:order val="1"/>
          <c:tx>
            <c:strRef>
              <c:f>'Capture Price Inputs'!$G$1</c:f>
              <c:strCache>
                <c:ptCount val="1"/>
                <c:pt idx="0">
                  <c:v>DK2 Solar Penetration (%) — Robustness</c:v>
                </c:pt>
              </c:strCache>
            </c:strRef>
          </c:tx>
          <c:spPr>
            <a:ln>
              <a:solidFill>
                <a:srgbClr val="FFD700"/>
              </a:solidFill>
              <a:prstDash val="solid"/>
            </a:ln>
          </c:spPr>
          <c:marker>
            <c:symbol val="none"/>
          </c:marker>
          <c:val>
            <c:numRef>
              <c:f>'Capture Price Inputs'!$G$2:$G$85</c:f>
              <c:numCache>
                <c:formatCode>General</c:formatCode>
                <c:ptCount val="84"/>
                <c:pt idx="12">
                  <c:v>1.864323044087839E-3</c:v>
                </c:pt>
                <c:pt idx="13">
                  <c:v>4.9613393448072352E-3</c:v>
                </c:pt>
                <c:pt idx="14">
                  <c:v>1.532033335337761E-2</c:v>
                </c:pt>
                <c:pt idx="15">
                  <c:v>2.6180595134545931E-2</c:v>
                </c:pt>
                <c:pt idx="16">
                  <c:v>3.2240930774166239E-2</c:v>
                </c:pt>
                <c:pt idx="17">
                  <c:v>3.0651812088155841E-2</c:v>
                </c:pt>
                <c:pt idx="18">
                  <c:v>2.998206800974695E-2</c:v>
                </c:pt>
                <c:pt idx="19">
                  <c:v>2.8034713414307081E-2</c:v>
                </c:pt>
                <c:pt idx="20">
                  <c:v>2.1736479101595249E-2</c:v>
                </c:pt>
                <c:pt idx="21">
                  <c:v>1.107911770574695E-2</c:v>
                </c:pt>
                <c:pt idx="22">
                  <c:v>1.1044611578332841E-4</c:v>
                </c:pt>
                <c:pt idx="23">
                  <c:v>5.6352433584062588E-6</c:v>
                </c:pt>
                <c:pt idx="24">
                  <c:v>3.104474131982996E-3</c:v>
                </c:pt>
                <c:pt idx="25">
                  <c:v>9.2483369487723587E-3</c:v>
                </c:pt>
                <c:pt idx="26">
                  <c:v>1.8474517045212829E-2</c:v>
                </c:pt>
                <c:pt idx="27">
                  <c:v>3.2694407483312787E-2</c:v>
                </c:pt>
                <c:pt idx="28">
                  <c:v>3.2945829294540187E-2</c:v>
                </c:pt>
                <c:pt idx="29">
                  <c:v>4.4480133140056069E-2</c:v>
                </c:pt>
                <c:pt idx="30">
                  <c:v>3.7049542537302173E-2</c:v>
                </c:pt>
                <c:pt idx="31">
                  <c:v>3.1857768834261987E-2</c:v>
                </c:pt>
                <c:pt idx="32">
                  <c:v>2.23981137027396E-2</c:v>
                </c:pt>
                <c:pt idx="33">
                  <c:v>1.267326343754744E-2</c:v>
                </c:pt>
                <c:pt idx="34">
                  <c:v>4.0132810857910267E-3</c:v>
                </c:pt>
                <c:pt idx="35">
                  <c:v>1.8226295838260991E-3</c:v>
                </c:pt>
                <c:pt idx="36">
                  <c:v>4.939556742877535E-3</c:v>
                </c:pt>
                <c:pt idx="37">
                  <c:v>1.3248485586698279E-2</c:v>
                </c:pt>
                <c:pt idx="38">
                  <c:v>3.4089330349121053E-2</c:v>
                </c:pt>
                <c:pt idx="39">
                  <c:v>5.5254436099578648E-2</c:v>
                </c:pt>
                <c:pt idx="40">
                  <c:v>6.5811459960859395E-2</c:v>
                </c:pt>
                <c:pt idx="41">
                  <c:v>6.4528229045867816E-2</c:v>
                </c:pt>
                <c:pt idx="42">
                  <c:v>6.7025803801952916E-2</c:v>
                </c:pt>
                <c:pt idx="43">
                  <c:v>6.1299924397195817E-2</c:v>
                </c:pt>
                <c:pt idx="44">
                  <c:v>4.5784276103507021E-2</c:v>
                </c:pt>
                <c:pt idx="45">
                  <c:v>2.9809058027035401E-2</c:v>
                </c:pt>
                <c:pt idx="46">
                  <c:v>7.8652952619005494E-3</c:v>
                </c:pt>
                <c:pt idx="47">
                  <c:v>4.5323555529735481E-3</c:v>
                </c:pt>
                <c:pt idx="48">
                  <c:v>5.8626527231366082E-3</c:v>
                </c:pt>
                <c:pt idx="49">
                  <c:v>1.8877648418373551E-2</c:v>
                </c:pt>
                <c:pt idx="50">
                  <c:v>3.7096229392005707E-2</c:v>
                </c:pt>
                <c:pt idx="51">
                  <c:v>8.0269966033824955E-2</c:v>
                </c:pt>
                <c:pt idx="52">
                  <c:v>0.1080032082802261</c:v>
                </c:pt>
                <c:pt idx="53">
                  <c:v>0.1144244665352921</c:v>
                </c:pt>
                <c:pt idx="54">
                  <c:v>0.10203074507159759</c:v>
                </c:pt>
                <c:pt idx="55">
                  <c:v>7.7931010532967707E-2</c:v>
                </c:pt>
                <c:pt idx="56">
                  <c:v>8.0909954639318743E-2</c:v>
                </c:pt>
                <c:pt idx="57">
                  <c:v>2.9172340215594381E-2</c:v>
                </c:pt>
                <c:pt idx="58">
                  <c:v>1.04098691216888E-2</c:v>
                </c:pt>
                <c:pt idx="59">
                  <c:v>3.809030164374855E-3</c:v>
                </c:pt>
                <c:pt idx="60">
                  <c:v>6.1781830729755079E-3</c:v>
                </c:pt>
                <c:pt idx="61">
                  <c:v>1.667231366864759E-2</c:v>
                </c:pt>
                <c:pt idx="62">
                  <c:v>4.1112806367337662E-2</c:v>
                </c:pt>
                <c:pt idx="63">
                  <c:v>6.5123378744806448E-2</c:v>
                </c:pt>
                <c:pt idx="64">
                  <c:v>0.106315341440858</c:v>
                </c:pt>
                <c:pt idx="65">
                  <c:v>0.1072729076610999</c:v>
                </c:pt>
                <c:pt idx="66">
                  <c:v>0.1057942634887733</c:v>
                </c:pt>
                <c:pt idx="67">
                  <c:v>9.3690832268705199E-2</c:v>
                </c:pt>
                <c:pt idx="68">
                  <c:v>7.2463202820400169E-2</c:v>
                </c:pt>
                <c:pt idx="69">
                  <c:v>3.6145253892379881E-2</c:v>
                </c:pt>
                <c:pt idx="70">
                  <c:v>8.6028414054236078E-3</c:v>
                </c:pt>
                <c:pt idx="71">
                  <c:v>4.1714684657767577E-3</c:v>
                </c:pt>
                <c:pt idx="72">
                  <c:v>7.223240212576967E-3</c:v>
                </c:pt>
                <c:pt idx="73">
                  <c:v>2.010831138567791E-2</c:v>
                </c:pt>
                <c:pt idx="74">
                  <c:v>4.6547866447452589E-2</c:v>
                </c:pt>
                <c:pt idx="75">
                  <c:v>7.1689783649061992E-2</c:v>
                </c:pt>
                <c:pt idx="76">
                  <c:v>9.4714127256233946E-2</c:v>
                </c:pt>
                <c:pt idx="77">
                  <c:v>9.9826250015510765E-2</c:v>
                </c:pt>
                <c:pt idx="78">
                  <c:v>9.3996419418699143E-2</c:v>
                </c:pt>
                <c:pt idx="79">
                  <c:v>0.1057378118957395</c:v>
                </c:pt>
                <c:pt idx="80">
                  <c:v>9.0628879686523764E-2</c:v>
                </c:pt>
                <c:pt idx="81">
                  <c:v>3.9573125678626628E-2</c:v>
                </c:pt>
                <c:pt idx="82">
                  <c:v>1.454364344794783E-2</c:v>
                </c:pt>
                <c:pt idx="83">
                  <c:v>9.0694911608833299E-3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0D4-9443-B524-933E5DB013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Solar Penetration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Capture Price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Inputs'!$H$1</c:f>
              <c:strCache>
                <c:ptCount val="1"/>
                <c:pt idx="0">
                  <c:v>DK1 Capture Price (EUR/MWh)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Inputs'!$H$2:$H$85</c:f>
              <c:numCache>
                <c:formatCode>General</c:formatCode>
                <c:ptCount val="84"/>
                <c:pt idx="12">
                  <c:v>25.22320957280251</c:v>
                </c:pt>
                <c:pt idx="13">
                  <c:v>22.83581899109792</c:v>
                </c:pt>
                <c:pt idx="14">
                  <c:v>15.94107348554973</c:v>
                </c:pt>
                <c:pt idx="15">
                  <c:v>10.36487590420421</c:v>
                </c:pt>
                <c:pt idx="16">
                  <c:v>15.478548945086001</c:v>
                </c:pt>
                <c:pt idx="17">
                  <c:v>27.313308227868689</c:v>
                </c:pt>
                <c:pt idx="18">
                  <c:v>24.831745178109159</c:v>
                </c:pt>
                <c:pt idx="19">
                  <c:v>33.876915422047851</c:v>
                </c:pt>
                <c:pt idx="20">
                  <c:v>38.935979003379593</c:v>
                </c:pt>
                <c:pt idx="21">
                  <c:v>31.927741533059191</c:v>
                </c:pt>
                <c:pt idx="22">
                  <c:v>26.005993265993261</c:v>
                </c:pt>
                <c:pt idx="23">
                  <c:v>34.795161290322582</c:v>
                </c:pt>
                <c:pt idx="24">
                  <c:v>55.422967607277918</c:v>
                </c:pt>
                <c:pt idx="25">
                  <c:v>47.542610979142587</c:v>
                </c:pt>
                <c:pt idx="26">
                  <c:v>44.550700915805493</c:v>
                </c:pt>
                <c:pt idx="27">
                  <c:v>43.594739828473003</c:v>
                </c:pt>
                <c:pt idx="28">
                  <c:v>47.655870575001217</c:v>
                </c:pt>
                <c:pt idx="29">
                  <c:v>70.543547911111062</c:v>
                </c:pt>
                <c:pt idx="30">
                  <c:v>78.568319747758608</c:v>
                </c:pt>
                <c:pt idx="31">
                  <c:v>81.983351136401794</c:v>
                </c:pt>
                <c:pt idx="32">
                  <c:v>116.20022495544841</c:v>
                </c:pt>
                <c:pt idx="33">
                  <c:v>126.53039520323949</c:v>
                </c:pt>
                <c:pt idx="34">
                  <c:v>160.77058330102949</c:v>
                </c:pt>
                <c:pt idx="35">
                  <c:v>228.8621705579358</c:v>
                </c:pt>
                <c:pt idx="36">
                  <c:v>123.20125067917191</c:v>
                </c:pt>
                <c:pt idx="37">
                  <c:v>117.67077903546</c:v>
                </c:pt>
                <c:pt idx="38">
                  <c:v>191.50807173506701</c:v>
                </c:pt>
                <c:pt idx="39">
                  <c:v>145.70138715926041</c:v>
                </c:pt>
                <c:pt idx="40">
                  <c:v>149.4185612445558</c:v>
                </c:pt>
                <c:pt idx="41">
                  <c:v>194.71103409481981</c:v>
                </c:pt>
                <c:pt idx="42">
                  <c:v>239.3981525107354</c:v>
                </c:pt>
                <c:pt idx="43">
                  <c:v>419.79263722660602</c:v>
                </c:pt>
                <c:pt idx="44">
                  <c:v>310.70739927266709</c:v>
                </c:pt>
                <c:pt idx="45">
                  <c:v>125.6295598680838</c:v>
                </c:pt>
                <c:pt idx="46">
                  <c:v>131.7111886265582</c:v>
                </c:pt>
                <c:pt idx="47">
                  <c:v>282.82379374207261</c:v>
                </c:pt>
                <c:pt idx="48">
                  <c:v>138.52998868426329</c:v>
                </c:pt>
                <c:pt idx="49">
                  <c:v>109.87697572135031</c:v>
                </c:pt>
                <c:pt idx="50">
                  <c:v>93.774190940695377</c:v>
                </c:pt>
                <c:pt idx="51">
                  <c:v>76.25042822265543</c:v>
                </c:pt>
                <c:pt idx="52">
                  <c:v>50.543487760082613</c:v>
                </c:pt>
                <c:pt idx="53">
                  <c:v>74.888982776218057</c:v>
                </c:pt>
                <c:pt idx="54">
                  <c:v>52.095599438463452</c:v>
                </c:pt>
                <c:pt idx="55">
                  <c:v>74.180426039978187</c:v>
                </c:pt>
                <c:pt idx="56">
                  <c:v>68.116869623396937</c:v>
                </c:pt>
                <c:pt idx="57">
                  <c:v>50.539090519702853</c:v>
                </c:pt>
                <c:pt idx="58">
                  <c:v>90.680805562425178</c:v>
                </c:pt>
                <c:pt idx="59">
                  <c:v>63.455327688788032</c:v>
                </c:pt>
                <c:pt idx="60">
                  <c:v>78.571316441678306</c:v>
                </c:pt>
                <c:pt idx="61">
                  <c:v>59.479486768055089</c:v>
                </c:pt>
                <c:pt idx="62">
                  <c:v>51.269783241554933</c:v>
                </c:pt>
                <c:pt idx="63">
                  <c:v>49.383940562011212</c:v>
                </c:pt>
                <c:pt idx="64">
                  <c:v>35.894148271408874</c:v>
                </c:pt>
                <c:pt idx="65">
                  <c:v>47.037633727397647</c:v>
                </c:pt>
                <c:pt idx="66">
                  <c:v>42.521773223099522</c:v>
                </c:pt>
                <c:pt idx="67">
                  <c:v>52.17121747504909</c:v>
                </c:pt>
                <c:pt idx="68">
                  <c:v>45.647504626217007</c:v>
                </c:pt>
                <c:pt idx="69">
                  <c:v>58.441583787091993</c:v>
                </c:pt>
                <c:pt idx="70">
                  <c:v>97.582352616331917</c:v>
                </c:pt>
                <c:pt idx="71">
                  <c:v>92.073217693833982</c:v>
                </c:pt>
                <c:pt idx="72">
                  <c:v>111.1945655985155</c:v>
                </c:pt>
                <c:pt idx="73">
                  <c:v>105.41315973788279</c:v>
                </c:pt>
                <c:pt idx="74">
                  <c:v>57.84566339627056</c:v>
                </c:pt>
                <c:pt idx="75">
                  <c:v>45.844395770687349</c:v>
                </c:pt>
                <c:pt idx="76">
                  <c:v>40.065667394009381</c:v>
                </c:pt>
                <c:pt idx="77">
                  <c:v>33.493381965196598</c:v>
                </c:pt>
                <c:pt idx="78">
                  <c:v>61.32224821093979</c:v>
                </c:pt>
                <c:pt idx="79">
                  <c:v>47.755824567457559</c:v>
                </c:pt>
                <c:pt idx="80">
                  <c:v>49.429094996057238</c:v>
                </c:pt>
                <c:pt idx="81">
                  <c:v>74.266634537895257</c:v>
                </c:pt>
                <c:pt idx="82">
                  <c:v>95.564531802521344</c:v>
                </c:pt>
                <c:pt idx="83">
                  <c:v>80.958034242780258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8B4-324E-92C0-0BDD88E0B73D}"/>
            </c:ext>
          </c:extLst>
        </c:ser>
        <c:ser>
          <c:idx val="1"/>
          <c:order val="1"/>
          <c:tx>
            <c:strRef>
              <c:f>'Capture Price Inputs'!$I$1</c:f>
              <c:strCache>
                <c:ptCount val="1"/>
                <c:pt idx="0">
                  <c:v>DK2 Capture Price (EUR/MWh)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'Capture Price Inputs'!$I$2:$I$85</c:f>
              <c:numCache>
                <c:formatCode>General</c:formatCode>
                <c:ptCount val="84"/>
                <c:pt idx="12">
                  <c:v>29.86213642213642</c:v>
                </c:pt>
                <c:pt idx="13">
                  <c:v>23.555517829721889</c:v>
                </c:pt>
                <c:pt idx="14">
                  <c:v>17.149050692261021</c:v>
                </c:pt>
                <c:pt idx="15">
                  <c:v>13.252523128367081</c:v>
                </c:pt>
                <c:pt idx="16">
                  <c:v>18.594049382716051</c:v>
                </c:pt>
                <c:pt idx="17">
                  <c:v>35.21078005032583</c:v>
                </c:pt>
                <c:pt idx="18">
                  <c:v>26.450778046867001</c:v>
                </c:pt>
                <c:pt idx="19">
                  <c:v>44.113765015404859</c:v>
                </c:pt>
                <c:pt idx="20">
                  <c:v>41.853047880870562</c:v>
                </c:pt>
                <c:pt idx="21">
                  <c:v>33.600878372903331</c:v>
                </c:pt>
                <c:pt idx="22">
                  <c:v>37.749765625000002</c:v>
                </c:pt>
                <c:pt idx="23">
                  <c:v>44.191428571428567</c:v>
                </c:pt>
                <c:pt idx="24">
                  <c:v>57.072134410081453</c:v>
                </c:pt>
                <c:pt idx="25">
                  <c:v>52.285083654524577</c:v>
                </c:pt>
                <c:pt idx="26">
                  <c:v>47.422643011897812</c:v>
                </c:pt>
                <c:pt idx="27">
                  <c:v>45.901363748248833</c:v>
                </c:pt>
                <c:pt idx="28">
                  <c:v>50.258720231460799</c:v>
                </c:pt>
                <c:pt idx="29">
                  <c:v>69.469341653776226</c:v>
                </c:pt>
                <c:pt idx="30">
                  <c:v>77.933111551394319</c:v>
                </c:pt>
                <c:pt idx="31">
                  <c:v>84.512747690257029</c:v>
                </c:pt>
                <c:pt idx="32">
                  <c:v>118.7457227855615</c:v>
                </c:pt>
                <c:pt idx="33">
                  <c:v>122.3841235967906</c:v>
                </c:pt>
                <c:pt idx="34">
                  <c:v>153.62679427815749</c:v>
                </c:pt>
                <c:pt idx="35">
                  <c:v>244.48727859764409</c:v>
                </c:pt>
                <c:pt idx="36">
                  <c:v>129.67749023150819</c:v>
                </c:pt>
                <c:pt idx="37">
                  <c:v>108.80333899256409</c:v>
                </c:pt>
                <c:pt idx="38">
                  <c:v>186.0504424586062</c:v>
                </c:pt>
                <c:pt idx="39">
                  <c:v>143.53758886421849</c:v>
                </c:pt>
                <c:pt idx="40">
                  <c:v>146.25360234460331</c:v>
                </c:pt>
                <c:pt idx="41">
                  <c:v>192.2325905808319</c:v>
                </c:pt>
                <c:pt idx="42">
                  <c:v>212.3625858003895</c:v>
                </c:pt>
                <c:pt idx="43">
                  <c:v>397.17988485976059</c:v>
                </c:pt>
                <c:pt idx="44">
                  <c:v>315.92884279677901</c:v>
                </c:pt>
                <c:pt idx="45">
                  <c:v>120.1190076327392</c:v>
                </c:pt>
                <c:pt idx="46">
                  <c:v>134.0399027878758</c:v>
                </c:pt>
                <c:pt idx="47">
                  <c:v>303.26978481668573</c:v>
                </c:pt>
                <c:pt idx="48">
                  <c:v>120.8992864784306</c:v>
                </c:pt>
                <c:pt idx="49">
                  <c:v>103.112625406295</c:v>
                </c:pt>
                <c:pt idx="50">
                  <c:v>89.098468921641697</c:v>
                </c:pt>
                <c:pt idx="51">
                  <c:v>71.125099705594195</c:v>
                </c:pt>
                <c:pt idx="52">
                  <c:v>48.358083796456327</c:v>
                </c:pt>
                <c:pt idx="53">
                  <c:v>71.862090372222397</c:v>
                </c:pt>
                <c:pt idx="54">
                  <c:v>50.345966617092351</c:v>
                </c:pt>
                <c:pt idx="55">
                  <c:v>72.957992347987414</c:v>
                </c:pt>
                <c:pt idx="56">
                  <c:v>64.394484672464898</c:v>
                </c:pt>
                <c:pt idx="57">
                  <c:v>47.660255094286853</c:v>
                </c:pt>
                <c:pt idx="58">
                  <c:v>84.639978605265995</c:v>
                </c:pt>
                <c:pt idx="59">
                  <c:v>59.061746333079718</c:v>
                </c:pt>
                <c:pt idx="60">
                  <c:v>76.427202535219209</c:v>
                </c:pt>
                <c:pt idx="61">
                  <c:v>51.434379196547752</c:v>
                </c:pt>
                <c:pt idx="62">
                  <c:v>50.751163813053438</c:v>
                </c:pt>
                <c:pt idx="63">
                  <c:v>47.053967904827999</c:v>
                </c:pt>
                <c:pt idx="64">
                  <c:v>34.295794113692892</c:v>
                </c:pt>
                <c:pt idx="65">
                  <c:v>46.379384034583367</c:v>
                </c:pt>
                <c:pt idx="66">
                  <c:v>38.812821969471173</c:v>
                </c:pt>
                <c:pt idx="67">
                  <c:v>47.151863118292532</c:v>
                </c:pt>
                <c:pt idx="68">
                  <c:v>43.355946350842189</c:v>
                </c:pt>
                <c:pt idx="69">
                  <c:v>59.534937630286556</c:v>
                </c:pt>
                <c:pt idx="70">
                  <c:v>89.611277477917284</c:v>
                </c:pt>
                <c:pt idx="71">
                  <c:v>100.7961313991171</c:v>
                </c:pt>
                <c:pt idx="72">
                  <c:v>115.0822593270056</c:v>
                </c:pt>
                <c:pt idx="73">
                  <c:v>106.92318207316821</c:v>
                </c:pt>
                <c:pt idx="74">
                  <c:v>50.018062961268747</c:v>
                </c:pt>
                <c:pt idx="75">
                  <c:v>41.82584156307518</c:v>
                </c:pt>
                <c:pt idx="76">
                  <c:v>34.320660344591218</c:v>
                </c:pt>
                <c:pt idx="77">
                  <c:v>24.31568572006325</c:v>
                </c:pt>
                <c:pt idx="78">
                  <c:v>59.766943882147693</c:v>
                </c:pt>
                <c:pt idx="79">
                  <c:v>43.064604783544858</c:v>
                </c:pt>
                <c:pt idx="80">
                  <c:v>52.949405153808357</c:v>
                </c:pt>
                <c:pt idx="81">
                  <c:v>78.645730322406678</c:v>
                </c:pt>
                <c:pt idx="82">
                  <c:v>92.690454871532665</c:v>
                </c:pt>
                <c:pt idx="83">
                  <c:v>79.631228022083661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8B4-324E-92C0-0BDD88E0B7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Capture Price Ratio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Inputs'!$J$1</c:f>
              <c:strCache>
                <c:ptCount val="1"/>
                <c:pt idx="0">
                  <c:v>DK1 CPR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Inputs'!$J$2:$J$85</c:f>
              <c:numCache>
                <c:formatCode>General</c:formatCode>
                <c:ptCount val="84"/>
                <c:pt idx="12">
                  <c:v>1.0091486594474419</c:v>
                </c:pt>
                <c:pt idx="13">
                  <c:v>1.2985911686950511</c:v>
                </c:pt>
                <c:pt idx="14">
                  <c:v>0.8710146939215303</c:v>
                </c:pt>
                <c:pt idx="15">
                  <c:v>0.71315772558819213</c:v>
                </c:pt>
                <c:pt idx="16">
                  <c:v>0.96415576931205649</c:v>
                </c:pt>
                <c:pt idx="17">
                  <c:v>1.0394664137310941</c:v>
                </c:pt>
                <c:pt idx="18">
                  <c:v>1.0086181556608309</c:v>
                </c:pt>
                <c:pt idx="19">
                  <c:v>0.98082264407500741</c:v>
                </c:pt>
                <c:pt idx="20">
                  <c:v>1.0104044869130051</c:v>
                </c:pt>
                <c:pt idx="21">
                  <c:v>1.236802226812374</c:v>
                </c:pt>
                <c:pt idx="22">
                  <c:v>1.094777917215692</c:v>
                </c:pt>
                <c:pt idx="23">
                  <c:v>1.0082301641826621</c:v>
                </c:pt>
                <c:pt idx="24">
                  <c:v>1.103930861568265</c:v>
                </c:pt>
                <c:pt idx="25">
                  <c:v>1.0059479277054251</c:v>
                </c:pt>
                <c:pt idx="26">
                  <c:v>0.9871758725122356</c:v>
                </c:pt>
                <c:pt idx="27">
                  <c:v>0.90884647456650169</c:v>
                </c:pt>
                <c:pt idx="28">
                  <c:v>0.87751805187154364</c:v>
                </c:pt>
                <c:pt idx="29">
                  <c:v>0.95691427953473174</c:v>
                </c:pt>
                <c:pt idx="30">
                  <c:v>0.98211323715969778</c:v>
                </c:pt>
                <c:pt idx="31">
                  <c:v>0.99027147802450566</c:v>
                </c:pt>
                <c:pt idx="32">
                  <c:v>0.92690440483613579</c:v>
                </c:pt>
                <c:pt idx="33">
                  <c:v>1.0810885074134391</c:v>
                </c:pt>
                <c:pt idx="34">
                  <c:v>1.1338034085044659</c:v>
                </c:pt>
                <c:pt idx="35">
                  <c:v>1.2086769624549281</c:v>
                </c:pt>
                <c:pt idx="36">
                  <c:v>1.0441257304277269</c:v>
                </c:pt>
                <c:pt idx="37">
                  <c:v>1.04022281700981</c:v>
                </c:pt>
                <c:pt idx="38">
                  <c:v>0.81207759044207406</c:v>
                </c:pt>
                <c:pt idx="39">
                  <c:v>0.89039133384678326</c:v>
                </c:pt>
                <c:pt idx="40">
                  <c:v>0.86943016050498578</c:v>
                </c:pt>
                <c:pt idx="41">
                  <c:v>0.90803902012341908</c:v>
                </c:pt>
                <c:pt idx="42">
                  <c:v>0.87041791592949547</c:v>
                </c:pt>
                <c:pt idx="43">
                  <c:v>0.91908553046700026</c:v>
                </c:pt>
                <c:pt idx="44">
                  <c:v>0.90632901805683119</c:v>
                </c:pt>
                <c:pt idx="45">
                  <c:v>0.91612325253961768</c:v>
                </c:pt>
                <c:pt idx="46">
                  <c:v>0.94278612074660006</c:v>
                </c:pt>
                <c:pt idx="47">
                  <c:v>1.132810339248927</c:v>
                </c:pt>
                <c:pt idx="48">
                  <c:v>1.2309198691226539</c:v>
                </c:pt>
                <c:pt idx="49">
                  <c:v>0.93008781340266</c:v>
                </c:pt>
                <c:pt idx="50">
                  <c:v>0.94612539759598957</c:v>
                </c:pt>
                <c:pt idx="51">
                  <c:v>0.79203966120386338</c:v>
                </c:pt>
                <c:pt idx="52">
                  <c:v>0.68333610561519953</c:v>
                </c:pt>
                <c:pt idx="53">
                  <c:v>0.80965062086215667</c:v>
                </c:pt>
                <c:pt idx="54">
                  <c:v>0.80380421953260928</c:v>
                </c:pt>
                <c:pt idx="55">
                  <c:v>0.86289309777204071</c:v>
                </c:pt>
                <c:pt idx="56">
                  <c:v>0.8038389922187259</c:v>
                </c:pt>
                <c:pt idx="57">
                  <c:v>0.84083605560542263</c:v>
                </c:pt>
                <c:pt idx="58">
                  <c:v>1.028656893611996</c:v>
                </c:pt>
                <c:pt idx="59">
                  <c:v>0.91325607762876626</c:v>
                </c:pt>
                <c:pt idx="60">
                  <c:v>1.051614630458469</c:v>
                </c:pt>
                <c:pt idx="61">
                  <c:v>1.0144208291794441</c:v>
                </c:pt>
                <c:pt idx="62">
                  <c:v>0.8373818542217274</c:v>
                </c:pt>
                <c:pt idx="63">
                  <c:v>0.83468460161643787</c:v>
                </c:pt>
                <c:pt idx="64">
                  <c:v>0.61339845366508694</c:v>
                </c:pt>
                <c:pt idx="65">
                  <c:v>0.73781003223868646</c:v>
                </c:pt>
                <c:pt idx="66">
                  <c:v>0.68549949487061801</c:v>
                </c:pt>
                <c:pt idx="67">
                  <c:v>0.71512676219349525</c:v>
                </c:pt>
                <c:pt idx="68">
                  <c:v>0.63652522303957304</c:v>
                </c:pt>
                <c:pt idx="69">
                  <c:v>0.76175188075929667</c:v>
                </c:pt>
                <c:pt idx="70">
                  <c:v>1.0174940038611719</c:v>
                </c:pt>
                <c:pt idx="71">
                  <c:v>1.0025674160411211</c:v>
                </c:pt>
                <c:pt idx="72">
                  <c:v>1.135032584901597</c:v>
                </c:pt>
                <c:pt idx="73">
                  <c:v>0.93411665141872979</c:v>
                </c:pt>
                <c:pt idx="74">
                  <c:v>0.68579081688022481</c:v>
                </c:pt>
                <c:pt idx="75">
                  <c:v>0.60995353561832499</c:v>
                </c:pt>
                <c:pt idx="76">
                  <c:v>0.62375117423189408</c:v>
                </c:pt>
                <c:pt idx="77">
                  <c:v>0.56976432128633303</c:v>
                </c:pt>
                <c:pt idx="78">
                  <c:v>0.74058967108380014</c:v>
                </c:pt>
                <c:pt idx="79">
                  <c:v>0.64997112344594554</c:v>
                </c:pt>
                <c:pt idx="80">
                  <c:v>0.68273474898658593</c:v>
                </c:pt>
                <c:pt idx="81">
                  <c:v>0.94701517193480578</c:v>
                </c:pt>
                <c:pt idx="82">
                  <c:v>1.0289764309560969</c:v>
                </c:pt>
                <c:pt idx="83">
                  <c:v>0.98205388617926037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91-714D-9B21-4E6A06688696}"/>
            </c:ext>
          </c:extLst>
        </c:ser>
        <c:ser>
          <c:idx val="1"/>
          <c:order val="1"/>
          <c:tx>
            <c:strRef>
              <c:f>'Capture Price Inputs'!$K$1</c:f>
              <c:strCache>
                <c:ptCount val="1"/>
                <c:pt idx="0">
                  <c:v>DK2 CPR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'Capture Price Inputs'!$K$2:$K$85</c:f>
              <c:numCache>
                <c:formatCode>General</c:formatCode>
                <c:ptCount val="84"/>
                <c:pt idx="12">
                  <c:v>1.090446324793763</c:v>
                </c:pt>
                <c:pt idx="13">
                  <c:v>1.251821301318464</c:v>
                </c:pt>
                <c:pt idx="14">
                  <c:v>0.85520775851277109</c:v>
                </c:pt>
                <c:pt idx="15">
                  <c:v>0.76362023547871605</c:v>
                </c:pt>
                <c:pt idx="16">
                  <c:v>0.97636938233545278</c:v>
                </c:pt>
                <c:pt idx="17">
                  <c:v>1.180647007173951</c:v>
                </c:pt>
                <c:pt idx="18">
                  <c:v>1.021791049952987</c:v>
                </c:pt>
                <c:pt idx="19">
                  <c:v>1.077948442472481</c:v>
                </c:pt>
                <c:pt idx="20">
                  <c:v>1.0591890923358069</c:v>
                </c:pt>
                <c:pt idx="21">
                  <c:v>1.247549053102559</c:v>
                </c:pt>
                <c:pt idx="22">
                  <c:v>1.057080411727209</c:v>
                </c:pt>
                <c:pt idx="23">
                  <c:v>1.125691191699302</c:v>
                </c:pt>
                <c:pt idx="24">
                  <c:v>1.122164979814525</c:v>
                </c:pt>
                <c:pt idx="25">
                  <c:v>0.9585139857498034</c:v>
                </c:pt>
                <c:pt idx="26">
                  <c:v>1.0147741726503949</c:v>
                </c:pt>
                <c:pt idx="27">
                  <c:v>0.95901643664766134</c:v>
                </c:pt>
                <c:pt idx="28">
                  <c:v>0.91033887361171206</c:v>
                </c:pt>
                <c:pt idx="29">
                  <c:v>0.94404491874816343</c:v>
                </c:pt>
                <c:pt idx="30">
                  <c:v>0.95692856904650769</c:v>
                </c:pt>
                <c:pt idx="31">
                  <c:v>1.001768528067071</c:v>
                </c:pt>
                <c:pt idx="32">
                  <c:v>0.95838336990944806</c:v>
                </c:pt>
                <c:pt idx="33">
                  <c:v>1.1445012658471321</c:v>
                </c:pt>
                <c:pt idx="34">
                  <c:v>1.1264608571418011</c:v>
                </c:pt>
                <c:pt idx="35">
                  <c:v>1.279578427053047</c:v>
                </c:pt>
                <c:pt idx="36">
                  <c:v>1.1617546523412821</c:v>
                </c:pt>
                <c:pt idx="37">
                  <c:v>1.084871924613185</c:v>
                </c:pt>
                <c:pt idx="38">
                  <c:v>0.81629582758371144</c:v>
                </c:pt>
                <c:pt idx="39">
                  <c:v>0.93918048773921026</c:v>
                </c:pt>
                <c:pt idx="40">
                  <c:v>0.89914563143311954</c:v>
                </c:pt>
                <c:pt idx="41">
                  <c:v>0.90151367457475784</c:v>
                </c:pt>
                <c:pt idx="42">
                  <c:v>0.90956244496775596</c:v>
                </c:pt>
                <c:pt idx="43">
                  <c:v>0.8830756108422062</c:v>
                </c:pt>
                <c:pt idx="44">
                  <c:v>0.96085369829588263</c:v>
                </c:pt>
                <c:pt idx="45">
                  <c:v>0.87743541957368609</c:v>
                </c:pt>
                <c:pt idx="46">
                  <c:v>0.92404474391789948</c:v>
                </c:pt>
                <c:pt idx="47">
                  <c:v>1.2185280560697289</c:v>
                </c:pt>
                <c:pt idx="48">
                  <c:v>1.2118663236304299</c:v>
                </c:pt>
                <c:pt idx="49">
                  <c:v>1.0244781228159621</c:v>
                </c:pt>
                <c:pt idx="50">
                  <c:v>0.99223631219701203</c:v>
                </c:pt>
                <c:pt idx="51">
                  <c:v>0.85025873478203906</c:v>
                </c:pt>
                <c:pt idx="52">
                  <c:v>0.73101748270540212</c:v>
                </c:pt>
                <c:pt idx="53">
                  <c:v>0.78603819917365525</c:v>
                </c:pt>
                <c:pt idx="54">
                  <c:v>0.77170348712471282</c:v>
                </c:pt>
                <c:pt idx="55">
                  <c:v>0.84546104105698361</c:v>
                </c:pt>
                <c:pt idx="56">
                  <c:v>0.75329173308453345</c:v>
                </c:pt>
                <c:pt idx="57">
                  <c:v>0.83723449033464103</c:v>
                </c:pt>
                <c:pt idx="58">
                  <c:v>1.038705241708771</c:v>
                </c:pt>
                <c:pt idx="59">
                  <c:v>0.83326707575628478</c:v>
                </c:pt>
                <c:pt idx="60">
                  <c:v>0.97714487510792902</c:v>
                </c:pt>
                <c:pt idx="61">
                  <c:v>0.93991726033346112</c:v>
                </c:pt>
                <c:pt idx="62">
                  <c:v>0.8314293202728863</c:v>
                </c:pt>
                <c:pt idx="63">
                  <c:v>0.77805107456374178</c:v>
                </c:pt>
                <c:pt idx="64">
                  <c:v>0.59005563427075769</c:v>
                </c:pt>
                <c:pt idx="65">
                  <c:v>0.69439585691141426</c:v>
                </c:pt>
                <c:pt idx="66">
                  <c:v>0.61762838453946423</c:v>
                </c:pt>
                <c:pt idx="67">
                  <c:v>0.64934714792296455</c:v>
                </c:pt>
                <c:pt idx="68">
                  <c:v>0.61574801135475132</c:v>
                </c:pt>
                <c:pt idx="69">
                  <c:v>0.78000735067931948</c:v>
                </c:pt>
                <c:pt idx="70">
                  <c:v>0.94047799551015088</c:v>
                </c:pt>
                <c:pt idx="71">
                  <c:v>1.0870067185479459</c:v>
                </c:pt>
                <c:pt idx="72">
                  <c:v>1.1494003648079021</c:v>
                </c:pt>
                <c:pt idx="73">
                  <c:v>0.90662384271333907</c:v>
                </c:pt>
                <c:pt idx="74">
                  <c:v>0.60374116471580297</c:v>
                </c:pt>
                <c:pt idx="75">
                  <c:v>0.55174367988103734</c:v>
                </c:pt>
                <c:pt idx="76">
                  <c:v>0.54405946330729504</c:v>
                </c:pt>
                <c:pt idx="77">
                  <c:v>0.4307606652121766</c:v>
                </c:pt>
                <c:pt idx="78">
                  <c:v>0.74746341861966192</c:v>
                </c:pt>
                <c:pt idx="79">
                  <c:v>0.57178942343359873</c:v>
                </c:pt>
                <c:pt idx="80">
                  <c:v>0.63573160083367797</c:v>
                </c:pt>
                <c:pt idx="81">
                  <c:v>0.95480840081563045</c:v>
                </c:pt>
                <c:pt idx="82">
                  <c:v>0.98927251294969987</c:v>
                </c:pt>
                <c:pt idx="83">
                  <c:v>0.97014796253594149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91-714D-9B21-4E6A066886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CPR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Solar Penetration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Inputs'!$F$1</c:f>
              <c:strCache>
                <c:ptCount val="1"/>
                <c:pt idx="0">
                  <c:v>DK1 Solar Penetration (%) — Primary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'Capture Price Inputs'!$F$2:$F$85</c:f>
              <c:numCache>
                <c:formatCode>General</c:formatCode>
                <c:ptCount val="84"/>
                <c:pt idx="12">
                  <c:v>2.2644478926294831E-3</c:v>
                </c:pt>
                <c:pt idx="13">
                  <c:v>5.2474520244822449E-3</c:v>
                </c:pt>
                <c:pt idx="14">
                  <c:v>2.020167759412729E-2</c:v>
                </c:pt>
                <c:pt idx="15">
                  <c:v>3.2427989612304697E-2</c:v>
                </c:pt>
                <c:pt idx="16">
                  <c:v>3.6080087237903569E-2</c:v>
                </c:pt>
                <c:pt idx="17">
                  <c:v>3.7413618831640891E-2</c:v>
                </c:pt>
                <c:pt idx="18">
                  <c:v>3.3998433859503921E-2</c:v>
                </c:pt>
                <c:pt idx="19">
                  <c:v>3.4224763142537661E-2</c:v>
                </c:pt>
                <c:pt idx="20">
                  <c:v>2.4330151939157239E-2</c:v>
                </c:pt>
                <c:pt idx="21">
                  <c:v>1.1490387549446779E-2</c:v>
                </c:pt>
                <c:pt idx="22">
                  <c:v>1.521101274151999E-4</c:v>
                </c:pt>
                <c:pt idx="23">
                  <c:v>1.472410662127807E-5</c:v>
                </c:pt>
                <c:pt idx="24">
                  <c:v>3.6313559990350909E-3</c:v>
                </c:pt>
                <c:pt idx="25">
                  <c:v>1.0868941718057299E-2</c:v>
                </c:pt>
                <c:pt idx="26">
                  <c:v>2.2382303907371628E-2</c:v>
                </c:pt>
                <c:pt idx="27">
                  <c:v>4.212837115783985E-2</c:v>
                </c:pt>
                <c:pt idx="28">
                  <c:v>3.3075052211960353E-2</c:v>
                </c:pt>
                <c:pt idx="29">
                  <c:v>4.9841661821819518E-2</c:v>
                </c:pt>
                <c:pt idx="30">
                  <c:v>4.85715434854639E-2</c:v>
                </c:pt>
                <c:pt idx="31">
                  <c:v>3.8876947944708702E-2</c:v>
                </c:pt>
                <c:pt idx="32">
                  <c:v>2.5932850179436289E-2</c:v>
                </c:pt>
                <c:pt idx="33">
                  <c:v>1.7460096431489061E-2</c:v>
                </c:pt>
                <c:pt idx="34">
                  <c:v>7.0293060058135041E-3</c:v>
                </c:pt>
                <c:pt idx="35">
                  <c:v>3.243365391886713E-3</c:v>
                </c:pt>
                <c:pt idx="36">
                  <c:v>6.6753155472480874E-3</c:v>
                </c:pt>
                <c:pt idx="37">
                  <c:v>1.7399571233002901E-2</c:v>
                </c:pt>
                <c:pt idx="38">
                  <c:v>6.1955070586442867E-2</c:v>
                </c:pt>
                <c:pt idx="39">
                  <c:v>8.404056603836467E-2</c:v>
                </c:pt>
                <c:pt idx="40">
                  <c:v>9.6876891420316108E-2</c:v>
                </c:pt>
                <c:pt idx="41">
                  <c:v>9.4962020744311482E-2</c:v>
                </c:pt>
                <c:pt idx="42">
                  <c:v>9.963556652585577E-2</c:v>
                </c:pt>
                <c:pt idx="43">
                  <c:v>8.9626978325266782E-2</c:v>
                </c:pt>
                <c:pt idx="44">
                  <c:v>6.6046498591704736E-2</c:v>
                </c:pt>
                <c:pt idx="45">
                  <c:v>3.7469414477654707E-2</c:v>
                </c:pt>
                <c:pt idx="46">
                  <c:v>1.046932675470221E-2</c:v>
                </c:pt>
                <c:pt idx="47">
                  <c:v>6.2291646451968653E-3</c:v>
                </c:pt>
                <c:pt idx="48">
                  <c:v>1.2460694276862919E-2</c:v>
                </c:pt>
                <c:pt idx="49">
                  <c:v>3.4376404191763639E-2</c:v>
                </c:pt>
                <c:pt idx="50">
                  <c:v>5.6477968577058592E-2</c:v>
                </c:pt>
                <c:pt idx="51">
                  <c:v>0.1509467292684683</c:v>
                </c:pt>
                <c:pt idx="52">
                  <c:v>0.18600333743842001</c:v>
                </c:pt>
                <c:pt idx="53">
                  <c:v>0.21892573712946101</c:v>
                </c:pt>
                <c:pt idx="54">
                  <c:v>0.18929524056345021</c:v>
                </c:pt>
                <c:pt idx="55">
                  <c:v>0.1493297980639493</c:v>
                </c:pt>
                <c:pt idx="56">
                  <c:v>0.13191654386548721</c:v>
                </c:pt>
                <c:pt idx="57">
                  <c:v>4.2864886456730103E-2</c:v>
                </c:pt>
                <c:pt idx="58">
                  <c:v>1.6003493537152379E-2</c:v>
                </c:pt>
                <c:pt idx="59">
                  <c:v>6.3905046726965339E-3</c:v>
                </c:pt>
                <c:pt idx="60">
                  <c:v>1.3417186050607519E-2</c:v>
                </c:pt>
                <c:pt idx="61">
                  <c:v>2.6436223837926501E-2</c:v>
                </c:pt>
                <c:pt idx="62">
                  <c:v>6.6233973400350477E-2</c:v>
                </c:pt>
                <c:pt idx="63">
                  <c:v>0.1084169878649764</c:v>
                </c:pt>
                <c:pt idx="64">
                  <c:v>0.18887031649880051</c:v>
                </c:pt>
                <c:pt idx="65">
                  <c:v>0.1715230569234828</c:v>
                </c:pt>
                <c:pt idx="66">
                  <c:v>0.1809062055635286</c:v>
                </c:pt>
                <c:pt idx="67">
                  <c:v>0.15512153111725799</c:v>
                </c:pt>
                <c:pt idx="68">
                  <c:v>0.1275567235314205</c:v>
                </c:pt>
                <c:pt idx="69">
                  <c:v>6.2873767847415107E-2</c:v>
                </c:pt>
                <c:pt idx="70">
                  <c:v>1.780902737610289E-2</c:v>
                </c:pt>
                <c:pt idx="71">
                  <c:v>6.7857975683456679E-3</c:v>
                </c:pt>
                <c:pt idx="72">
                  <c:v>1.366055484422285E-2</c:v>
                </c:pt>
                <c:pt idx="73">
                  <c:v>4.3419934817177687E-2</c:v>
                </c:pt>
                <c:pt idx="74">
                  <c:v>0.1120694547038418</c:v>
                </c:pt>
                <c:pt idx="75">
                  <c:v>0.14827548756052711</c:v>
                </c:pt>
                <c:pt idx="76">
                  <c:v>0.19244468175967161</c:v>
                </c:pt>
                <c:pt idx="77">
                  <c:v>0.18784829238523279</c:v>
                </c:pt>
                <c:pt idx="78">
                  <c:v>0.21828188848241209</c:v>
                </c:pt>
                <c:pt idx="79">
                  <c:v>0.19011684012808119</c:v>
                </c:pt>
                <c:pt idx="80">
                  <c:v>0.13816152724517919</c:v>
                </c:pt>
                <c:pt idx="81">
                  <c:v>6.9462071202051626E-2</c:v>
                </c:pt>
                <c:pt idx="82">
                  <c:v>2.6604970402147529E-2</c:v>
                </c:pt>
                <c:pt idx="83">
                  <c:v>1.40253486520015E-2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256-7E4B-9F09-ECABDC235A99}"/>
            </c:ext>
          </c:extLst>
        </c:ser>
        <c:ser>
          <c:idx val="1"/>
          <c:order val="1"/>
          <c:tx>
            <c:strRef>
              <c:f>'Capture Price Inputs'!$G$1</c:f>
              <c:strCache>
                <c:ptCount val="1"/>
                <c:pt idx="0">
                  <c:v>DK2 Solar Penetration (%) — Robustness</c:v>
                </c:pt>
              </c:strCache>
            </c:strRef>
          </c:tx>
          <c:spPr>
            <a:ln>
              <a:solidFill>
                <a:srgbClr val="FFD700"/>
              </a:solidFill>
              <a:prstDash val="solid"/>
            </a:ln>
          </c:spPr>
          <c:marker>
            <c:symbol val="none"/>
          </c:marker>
          <c:val>
            <c:numRef>
              <c:f>'Capture Price Inputs'!$G$2:$G$85</c:f>
              <c:numCache>
                <c:formatCode>General</c:formatCode>
                <c:ptCount val="84"/>
                <c:pt idx="12">
                  <c:v>1.864323044087839E-3</c:v>
                </c:pt>
                <c:pt idx="13">
                  <c:v>4.9613393448072352E-3</c:v>
                </c:pt>
                <c:pt idx="14">
                  <c:v>1.532033335337761E-2</c:v>
                </c:pt>
                <c:pt idx="15">
                  <c:v>2.6180595134545931E-2</c:v>
                </c:pt>
                <c:pt idx="16">
                  <c:v>3.2240930774166239E-2</c:v>
                </c:pt>
                <c:pt idx="17">
                  <c:v>3.0651812088155841E-2</c:v>
                </c:pt>
                <c:pt idx="18">
                  <c:v>2.998206800974695E-2</c:v>
                </c:pt>
                <c:pt idx="19">
                  <c:v>2.8034713414307081E-2</c:v>
                </c:pt>
                <c:pt idx="20">
                  <c:v>2.1736479101595249E-2</c:v>
                </c:pt>
                <c:pt idx="21">
                  <c:v>1.107911770574695E-2</c:v>
                </c:pt>
                <c:pt idx="22">
                  <c:v>1.1044611578332841E-4</c:v>
                </c:pt>
                <c:pt idx="23">
                  <c:v>5.6352433584062588E-6</c:v>
                </c:pt>
                <c:pt idx="24">
                  <c:v>3.104474131982996E-3</c:v>
                </c:pt>
                <c:pt idx="25">
                  <c:v>9.2483369487723587E-3</c:v>
                </c:pt>
                <c:pt idx="26">
                  <c:v>1.8474517045212829E-2</c:v>
                </c:pt>
                <c:pt idx="27">
                  <c:v>3.2694407483312787E-2</c:v>
                </c:pt>
                <c:pt idx="28">
                  <c:v>3.2945829294540187E-2</c:v>
                </c:pt>
                <c:pt idx="29">
                  <c:v>4.4480133140056069E-2</c:v>
                </c:pt>
                <c:pt idx="30">
                  <c:v>3.7049542537302173E-2</c:v>
                </c:pt>
                <c:pt idx="31">
                  <c:v>3.1857768834261987E-2</c:v>
                </c:pt>
                <c:pt idx="32">
                  <c:v>2.23981137027396E-2</c:v>
                </c:pt>
                <c:pt idx="33">
                  <c:v>1.267326343754744E-2</c:v>
                </c:pt>
                <c:pt idx="34">
                  <c:v>4.0132810857910267E-3</c:v>
                </c:pt>
                <c:pt idx="35">
                  <c:v>1.8226295838260991E-3</c:v>
                </c:pt>
                <c:pt idx="36">
                  <c:v>4.939556742877535E-3</c:v>
                </c:pt>
                <c:pt idx="37">
                  <c:v>1.3248485586698279E-2</c:v>
                </c:pt>
                <c:pt idx="38">
                  <c:v>3.4089330349121053E-2</c:v>
                </c:pt>
                <c:pt idx="39">
                  <c:v>5.5254436099578648E-2</c:v>
                </c:pt>
                <c:pt idx="40">
                  <c:v>6.5811459960859395E-2</c:v>
                </c:pt>
                <c:pt idx="41">
                  <c:v>6.4528229045867816E-2</c:v>
                </c:pt>
                <c:pt idx="42">
                  <c:v>6.7025803801952916E-2</c:v>
                </c:pt>
                <c:pt idx="43">
                  <c:v>6.1299924397195817E-2</c:v>
                </c:pt>
                <c:pt idx="44">
                  <c:v>4.5784276103507021E-2</c:v>
                </c:pt>
                <c:pt idx="45">
                  <c:v>2.9809058027035401E-2</c:v>
                </c:pt>
                <c:pt idx="46">
                  <c:v>7.8652952619005494E-3</c:v>
                </c:pt>
                <c:pt idx="47">
                  <c:v>4.5323555529735481E-3</c:v>
                </c:pt>
                <c:pt idx="48">
                  <c:v>5.8626527231366082E-3</c:v>
                </c:pt>
                <c:pt idx="49">
                  <c:v>1.8877648418373551E-2</c:v>
                </c:pt>
                <c:pt idx="50">
                  <c:v>3.7096229392005707E-2</c:v>
                </c:pt>
                <c:pt idx="51">
                  <c:v>8.0269966033824955E-2</c:v>
                </c:pt>
                <c:pt idx="52">
                  <c:v>0.1080032082802261</c:v>
                </c:pt>
                <c:pt idx="53">
                  <c:v>0.1144244665352921</c:v>
                </c:pt>
                <c:pt idx="54">
                  <c:v>0.10203074507159759</c:v>
                </c:pt>
                <c:pt idx="55">
                  <c:v>7.7931010532967707E-2</c:v>
                </c:pt>
                <c:pt idx="56">
                  <c:v>8.0909954639318743E-2</c:v>
                </c:pt>
                <c:pt idx="57">
                  <c:v>2.9172340215594381E-2</c:v>
                </c:pt>
                <c:pt idx="58">
                  <c:v>1.04098691216888E-2</c:v>
                </c:pt>
                <c:pt idx="59">
                  <c:v>3.809030164374855E-3</c:v>
                </c:pt>
                <c:pt idx="60">
                  <c:v>6.1781830729755079E-3</c:v>
                </c:pt>
                <c:pt idx="61">
                  <c:v>1.667231366864759E-2</c:v>
                </c:pt>
                <c:pt idx="62">
                  <c:v>4.1112806367337662E-2</c:v>
                </c:pt>
                <c:pt idx="63">
                  <c:v>6.5123378744806448E-2</c:v>
                </c:pt>
                <c:pt idx="64">
                  <c:v>0.106315341440858</c:v>
                </c:pt>
                <c:pt idx="65">
                  <c:v>0.1072729076610999</c:v>
                </c:pt>
                <c:pt idx="66">
                  <c:v>0.1057942634887733</c:v>
                </c:pt>
                <c:pt idx="67">
                  <c:v>9.3690832268705199E-2</c:v>
                </c:pt>
                <c:pt idx="68">
                  <c:v>7.2463202820400169E-2</c:v>
                </c:pt>
                <c:pt idx="69">
                  <c:v>3.6145253892379881E-2</c:v>
                </c:pt>
                <c:pt idx="70">
                  <c:v>8.6028414054236078E-3</c:v>
                </c:pt>
                <c:pt idx="71">
                  <c:v>4.1714684657767577E-3</c:v>
                </c:pt>
                <c:pt idx="72">
                  <c:v>7.223240212576967E-3</c:v>
                </c:pt>
                <c:pt idx="73">
                  <c:v>2.010831138567791E-2</c:v>
                </c:pt>
                <c:pt idx="74">
                  <c:v>4.6547866447452589E-2</c:v>
                </c:pt>
                <c:pt idx="75">
                  <c:v>7.1689783649061992E-2</c:v>
                </c:pt>
                <c:pt idx="76">
                  <c:v>9.4714127256233946E-2</c:v>
                </c:pt>
                <c:pt idx="77">
                  <c:v>9.9826250015510765E-2</c:v>
                </c:pt>
                <c:pt idx="78">
                  <c:v>9.3996419418699143E-2</c:v>
                </c:pt>
                <c:pt idx="79">
                  <c:v>0.1057378118957395</c:v>
                </c:pt>
                <c:pt idx="80">
                  <c:v>9.0628879686523764E-2</c:v>
                </c:pt>
                <c:pt idx="81">
                  <c:v>3.9573125678626628E-2</c:v>
                </c:pt>
                <c:pt idx="82">
                  <c:v>1.454364344794783E-2</c:v>
                </c:pt>
                <c:pt idx="83">
                  <c:v>9.0694911608833299E-3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256-7E4B-9F09-ECABDC235A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Solar Penetration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Capture Price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Inputs'!$H$1</c:f>
              <c:strCache>
                <c:ptCount val="1"/>
                <c:pt idx="0">
                  <c:v>DK1 Capture Price (EUR/MWh)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Inputs'!$H$2:$H$85</c:f>
              <c:numCache>
                <c:formatCode>General</c:formatCode>
                <c:ptCount val="84"/>
                <c:pt idx="12">
                  <c:v>25.22320957280251</c:v>
                </c:pt>
                <c:pt idx="13">
                  <c:v>22.83581899109792</c:v>
                </c:pt>
                <c:pt idx="14">
                  <c:v>15.94107348554973</c:v>
                </c:pt>
                <c:pt idx="15">
                  <c:v>10.36487590420421</c:v>
                </c:pt>
                <c:pt idx="16">
                  <c:v>15.478548945086001</c:v>
                </c:pt>
                <c:pt idx="17">
                  <c:v>27.313308227868689</c:v>
                </c:pt>
                <c:pt idx="18">
                  <c:v>24.831745178109159</c:v>
                </c:pt>
                <c:pt idx="19">
                  <c:v>33.876915422047851</c:v>
                </c:pt>
                <c:pt idx="20">
                  <c:v>38.935979003379593</c:v>
                </c:pt>
                <c:pt idx="21">
                  <c:v>31.927741533059191</c:v>
                </c:pt>
                <c:pt idx="22">
                  <c:v>26.005993265993261</c:v>
                </c:pt>
                <c:pt idx="23">
                  <c:v>34.795161290322582</c:v>
                </c:pt>
                <c:pt idx="24">
                  <c:v>55.422967607277918</c:v>
                </c:pt>
                <c:pt idx="25">
                  <c:v>47.542610979142587</c:v>
                </c:pt>
                <c:pt idx="26">
                  <c:v>44.550700915805493</c:v>
                </c:pt>
                <c:pt idx="27">
                  <c:v>43.594739828473003</c:v>
                </c:pt>
                <c:pt idx="28">
                  <c:v>47.655870575001217</c:v>
                </c:pt>
                <c:pt idx="29">
                  <c:v>70.543547911111062</c:v>
                </c:pt>
                <c:pt idx="30">
                  <c:v>78.568319747758608</c:v>
                </c:pt>
                <c:pt idx="31">
                  <c:v>81.983351136401794</c:v>
                </c:pt>
                <c:pt idx="32">
                  <c:v>116.20022495544841</c:v>
                </c:pt>
                <c:pt idx="33">
                  <c:v>126.53039520323949</c:v>
                </c:pt>
                <c:pt idx="34">
                  <c:v>160.77058330102949</c:v>
                </c:pt>
                <c:pt idx="35">
                  <c:v>228.8621705579358</c:v>
                </c:pt>
                <c:pt idx="36">
                  <c:v>123.20125067917191</c:v>
                </c:pt>
                <c:pt idx="37">
                  <c:v>117.67077903546</c:v>
                </c:pt>
                <c:pt idx="38">
                  <c:v>191.50807173506701</c:v>
                </c:pt>
                <c:pt idx="39">
                  <c:v>145.70138715926041</c:v>
                </c:pt>
                <c:pt idx="40">
                  <c:v>149.4185612445558</c:v>
                </c:pt>
                <c:pt idx="41">
                  <c:v>194.71103409481981</c:v>
                </c:pt>
                <c:pt idx="42">
                  <c:v>239.3981525107354</c:v>
                </c:pt>
                <c:pt idx="43">
                  <c:v>419.79263722660602</c:v>
                </c:pt>
                <c:pt idx="44">
                  <c:v>310.70739927266709</c:v>
                </c:pt>
                <c:pt idx="45">
                  <c:v>125.6295598680838</c:v>
                </c:pt>
                <c:pt idx="46">
                  <c:v>131.7111886265582</c:v>
                </c:pt>
                <c:pt idx="47">
                  <c:v>282.82379374207261</c:v>
                </c:pt>
                <c:pt idx="48">
                  <c:v>138.52998868426329</c:v>
                </c:pt>
                <c:pt idx="49">
                  <c:v>109.87697572135031</c:v>
                </c:pt>
                <c:pt idx="50">
                  <c:v>93.774190940695377</c:v>
                </c:pt>
                <c:pt idx="51">
                  <c:v>76.25042822265543</c:v>
                </c:pt>
                <c:pt idx="52">
                  <c:v>50.543487760082613</c:v>
                </c:pt>
                <c:pt idx="53">
                  <c:v>74.888982776218057</c:v>
                </c:pt>
                <c:pt idx="54">
                  <c:v>52.095599438463452</c:v>
                </c:pt>
                <c:pt idx="55">
                  <c:v>74.180426039978187</c:v>
                </c:pt>
                <c:pt idx="56">
                  <c:v>68.116869623396937</c:v>
                </c:pt>
                <c:pt idx="57">
                  <c:v>50.539090519702853</c:v>
                </c:pt>
                <c:pt idx="58">
                  <c:v>90.680805562425178</c:v>
                </c:pt>
                <c:pt idx="59">
                  <c:v>63.455327688788032</c:v>
                </c:pt>
                <c:pt idx="60">
                  <c:v>78.571316441678306</c:v>
                </c:pt>
                <c:pt idx="61">
                  <c:v>59.479486768055089</c:v>
                </c:pt>
                <c:pt idx="62">
                  <c:v>51.269783241554933</c:v>
                </c:pt>
                <c:pt idx="63">
                  <c:v>49.383940562011212</c:v>
                </c:pt>
                <c:pt idx="64">
                  <c:v>35.894148271408874</c:v>
                </c:pt>
                <c:pt idx="65">
                  <c:v>47.037633727397647</c:v>
                </c:pt>
                <c:pt idx="66">
                  <c:v>42.521773223099522</c:v>
                </c:pt>
                <c:pt idx="67">
                  <c:v>52.17121747504909</c:v>
                </c:pt>
                <c:pt idx="68">
                  <c:v>45.647504626217007</c:v>
                </c:pt>
                <c:pt idx="69">
                  <c:v>58.441583787091993</c:v>
                </c:pt>
                <c:pt idx="70">
                  <c:v>97.582352616331917</c:v>
                </c:pt>
                <c:pt idx="71">
                  <c:v>92.073217693833982</c:v>
                </c:pt>
                <c:pt idx="72">
                  <c:v>111.1945655985155</c:v>
                </c:pt>
                <c:pt idx="73">
                  <c:v>105.41315973788279</c:v>
                </c:pt>
                <c:pt idx="74">
                  <c:v>57.84566339627056</c:v>
                </c:pt>
                <c:pt idx="75">
                  <c:v>45.844395770687349</c:v>
                </c:pt>
                <c:pt idx="76">
                  <c:v>40.065667394009381</c:v>
                </c:pt>
                <c:pt idx="77">
                  <c:v>33.493381965196598</c:v>
                </c:pt>
                <c:pt idx="78">
                  <c:v>61.32224821093979</c:v>
                </c:pt>
                <c:pt idx="79">
                  <c:v>47.755824567457559</c:v>
                </c:pt>
                <c:pt idx="80">
                  <c:v>49.429094996057238</c:v>
                </c:pt>
                <c:pt idx="81">
                  <c:v>74.266634537895257</c:v>
                </c:pt>
                <c:pt idx="82">
                  <c:v>95.564531802521344</c:v>
                </c:pt>
                <c:pt idx="83">
                  <c:v>80.958034242780258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259-EF44-BD50-BBB593FE8E72}"/>
            </c:ext>
          </c:extLst>
        </c:ser>
        <c:ser>
          <c:idx val="1"/>
          <c:order val="1"/>
          <c:tx>
            <c:strRef>
              <c:f>'Capture Price Inputs'!$I$1</c:f>
              <c:strCache>
                <c:ptCount val="1"/>
                <c:pt idx="0">
                  <c:v>DK2 Capture Price (EUR/MWh)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'Capture Price Inputs'!$I$2:$I$85</c:f>
              <c:numCache>
                <c:formatCode>General</c:formatCode>
                <c:ptCount val="84"/>
                <c:pt idx="12">
                  <c:v>29.86213642213642</c:v>
                </c:pt>
                <c:pt idx="13">
                  <c:v>23.555517829721889</c:v>
                </c:pt>
                <c:pt idx="14">
                  <c:v>17.149050692261021</c:v>
                </c:pt>
                <c:pt idx="15">
                  <c:v>13.252523128367081</c:v>
                </c:pt>
                <c:pt idx="16">
                  <c:v>18.594049382716051</c:v>
                </c:pt>
                <c:pt idx="17">
                  <c:v>35.21078005032583</c:v>
                </c:pt>
                <c:pt idx="18">
                  <c:v>26.450778046867001</c:v>
                </c:pt>
                <c:pt idx="19">
                  <c:v>44.113765015404859</c:v>
                </c:pt>
                <c:pt idx="20">
                  <c:v>41.853047880870562</c:v>
                </c:pt>
                <c:pt idx="21">
                  <c:v>33.600878372903331</c:v>
                </c:pt>
                <c:pt idx="22">
                  <c:v>37.749765625000002</c:v>
                </c:pt>
                <c:pt idx="23">
                  <c:v>44.191428571428567</c:v>
                </c:pt>
                <c:pt idx="24">
                  <c:v>57.072134410081453</c:v>
                </c:pt>
                <c:pt idx="25">
                  <c:v>52.285083654524577</c:v>
                </c:pt>
                <c:pt idx="26">
                  <c:v>47.422643011897812</c:v>
                </c:pt>
                <c:pt idx="27">
                  <c:v>45.901363748248833</c:v>
                </c:pt>
                <c:pt idx="28">
                  <c:v>50.258720231460799</c:v>
                </c:pt>
                <c:pt idx="29">
                  <c:v>69.469341653776226</c:v>
                </c:pt>
                <c:pt idx="30">
                  <c:v>77.933111551394319</c:v>
                </c:pt>
                <c:pt idx="31">
                  <c:v>84.512747690257029</c:v>
                </c:pt>
                <c:pt idx="32">
                  <c:v>118.7457227855615</c:v>
                </c:pt>
                <c:pt idx="33">
                  <c:v>122.3841235967906</c:v>
                </c:pt>
                <c:pt idx="34">
                  <c:v>153.62679427815749</c:v>
                </c:pt>
                <c:pt idx="35">
                  <c:v>244.48727859764409</c:v>
                </c:pt>
                <c:pt idx="36">
                  <c:v>129.67749023150819</c:v>
                </c:pt>
                <c:pt idx="37">
                  <c:v>108.80333899256409</c:v>
                </c:pt>
                <c:pt idx="38">
                  <c:v>186.0504424586062</c:v>
                </c:pt>
                <c:pt idx="39">
                  <c:v>143.53758886421849</c:v>
                </c:pt>
                <c:pt idx="40">
                  <c:v>146.25360234460331</c:v>
                </c:pt>
                <c:pt idx="41">
                  <c:v>192.2325905808319</c:v>
                </c:pt>
                <c:pt idx="42">
                  <c:v>212.3625858003895</c:v>
                </c:pt>
                <c:pt idx="43">
                  <c:v>397.17988485976059</c:v>
                </c:pt>
                <c:pt idx="44">
                  <c:v>315.92884279677901</c:v>
                </c:pt>
                <c:pt idx="45">
                  <c:v>120.1190076327392</c:v>
                </c:pt>
                <c:pt idx="46">
                  <c:v>134.0399027878758</c:v>
                </c:pt>
                <c:pt idx="47">
                  <c:v>303.26978481668573</c:v>
                </c:pt>
                <c:pt idx="48">
                  <c:v>120.8992864784306</c:v>
                </c:pt>
                <c:pt idx="49">
                  <c:v>103.112625406295</c:v>
                </c:pt>
                <c:pt idx="50">
                  <c:v>89.098468921641697</c:v>
                </c:pt>
                <c:pt idx="51">
                  <c:v>71.125099705594195</c:v>
                </c:pt>
                <c:pt idx="52">
                  <c:v>48.358083796456327</c:v>
                </c:pt>
                <c:pt idx="53">
                  <c:v>71.862090372222397</c:v>
                </c:pt>
                <c:pt idx="54">
                  <c:v>50.345966617092351</c:v>
                </c:pt>
                <c:pt idx="55">
                  <c:v>72.957992347987414</c:v>
                </c:pt>
                <c:pt idx="56">
                  <c:v>64.394484672464898</c:v>
                </c:pt>
                <c:pt idx="57">
                  <c:v>47.660255094286853</c:v>
                </c:pt>
                <c:pt idx="58">
                  <c:v>84.639978605265995</c:v>
                </c:pt>
                <c:pt idx="59">
                  <c:v>59.061746333079718</c:v>
                </c:pt>
                <c:pt idx="60">
                  <c:v>76.427202535219209</c:v>
                </c:pt>
                <c:pt idx="61">
                  <c:v>51.434379196547752</c:v>
                </c:pt>
                <c:pt idx="62">
                  <c:v>50.751163813053438</c:v>
                </c:pt>
                <c:pt idx="63">
                  <c:v>47.053967904827999</c:v>
                </c:pt>
                <c:pt idx="64">
                  <c:v>34.295794113692892</c:v>
                </c:pt>
                <c:pt idx="65">
                  <c:v>46.379384034583367</c:v>
                </c:pt>
                <c:pt idx="66">
                  <c:v>38.812821969471173</c:v>
                </c:pt>
                <c:pt idx="67">
                  <c:v>47.151863118292532</c:v>
                </c:pt>
                <c:pt idx="68">
                  <c:v>43.355946350842189</c:v>
                </c:pt>
                <c:pt idx="69">
                  <c:v>59.534937630286556</c:v>
                </c:pt>
                <c:pt idx="70">
                  <c:v>89.611277477917284</c:v>
                </c:pt>
                <c:pt idx="71">
                  <c:v>100.7961313991171</c:v>
                </c:pt>
                <c:pt idx="72">
                  <c:v>115.0822593270056</c:v>
                </c:pt>
                <c:pt idx="73">
                  <c:v>106.92318207316821</c:v>
                </c:pt>
                <c:pt idx="74">
                  <c:v>50.018062961268747</c:v>
                </c:pt>
                <c:pt idx="75">
                  <c:v>41.82584156307518</c:v>
                </c:pt>
                <c:pt idx="76">
                  <c:v>34.320660344591218</c:v>
                </c:pt>
                <c:pt idx="77">
                  <c:v>24.31568572006325</c:v>
                </c:pt>
                <c:pt idx="78">
                  <c:v>59.766943882147693</c:v>
                </c:pt>
                <c:pt idx="79">
                  <c:v>43.064604783544858</c:v>
                </c:pt>
                <c:pt idx="80">
                  <c:v>52.949405153808357</c:v>
                </c:pt>
                <c:pt idx="81">
                  <c:v>78.645730322406678</c:v>
                </c:pt>
                <c:pt idx="82">
                  <c:v>92.690454871532665</c:v>
                </c:pt>
                <c:pt idx="83">
                  <c:v>79.631228022083661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259-EF44-BD50-BBB593FE8E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Capture Price Ratio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Inputs'!$J$1</c:f>
              <c:strCache>
                <c:ptCount val="1"/>
                <c:pt idx="0">
                  <c:v>DK1 CPR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Inputs'!$J$2:$J$85</c:f>
              <c:numCache>
                <c:formatCode>General</c:formatCode>
                <c:ptCount val="84"/>
                <c:pt idx="12">
                  <c:v>1.0091486594474419</c:v>
                </c:pt>
                <c:pt idx="13">
                  <c:v>1.2985911686950511</c:v>
                </c:pt>
                <c:pt idx="14">
                  <c:v>0.8710146939215303</c:v>
                </c:pt>
                <c:pt idx="15">
                  <c:v>0.71315772558819213</c:v>
                </c:pt>
                <c:pt idx="16">
                  <c:v>0.96415576931205649</c:v>
                </c:pt>
                <c:pt idx="17">
                  <c:v>1.0394664137310941</c:v>
                </c:pt>
                <c:pt idx="18">
                  <c:v>1.0086181556608309</c:v>
                </c:pt>
                <c:pt idx="19">
                  <c:v>0.98082264407500741</c:v>
                </c:pt>
                <c:pt idx="20">
                  <c:v>1.0104044869130051</c:v>
                </c:pt>
                <c:pt idx="21">
                  <c:v>1.236802226812374</c:v>
                </c:pt>
                <c:pt idx="22">
                  <c:v>1.094777917215692</c:v>
                </c:pt>
                <c:pt idx="23">
                  <c:v>1.0082301641826621</c:v>
                </c:pt>
                <c:pt idx="24">
                  <c:v>1.103930861568265</c:v>
                </c:pt>
                <c:pt idx="25">
                  <c:v>1.0059479277054251</c:v>
                </c:pt>
                <c:pt idx="26">
                  <c:v>0.9871758725122356</c:v>
                </c:pt>
                <c:pt idx="27">
                  <c:v>0.90884647456650169</c:v>
                </c:pt>
                <c:pt idx="28">
                  <c:v>0.87751805187154364</c:v>
                </c:pt>
                <c:pt idx="29">
                  <c:v>0.95691427953473174</c:v>
                </c:pt>
                <c:pt idx="30">
                  <c:v>0.98211323715969778</c:v>
                </c:pt>
                <c:pt idx="31">
                  <c:v>0.99027147802450566</c:v>
                </c:pt>
                <c:pt idx="32">
                  <c:v>0.92690440483613579</c:v>
                </c:pt>
                <c:pt idx="33">
                  <c:v>1.0810885074134391</c:v>
                </c:pt>
                <c:pt idx="34">
                  <c:v>1.1338034085044659</c:v>
                </c:pt>
                <c:pt idx="35">
                  <c:v>1.2086769624549281</c:v>
                </c:pt>
                <c:pt idx="36">
                  <c:v>1.0441257304277269</c:v>
                </c:pt>
                <c:pt idx="37">
                  <c:v>1.04022281700981</c:v>
                </c:pt>
                <c:pt idx="38">
                  <c:v>0.81207759044207406</c:v>
                </c:pt>
                <c:pt idx="39">
                  <c:v>0.89039133384678326</c:v>
                </c:pt>
                <c:pt idx="40">
                  <c:v>0.86943016050498578</c:v>
                </c:pt>
                <c:pt idx="41">
                  <c:v>0.90803902012341908</c:v>
                </c:pt>
                <c:pt idx="42">
                  <c:v>0.87041791592949547</c:v>
                </c:pt>
                <c:pt idx="43">
                  <c:v>0.91908553046700026</c:v>
                </c:pt>
                <c:pt idx="44">
                  <c:v>0.90632901805683119</c:v>
                </c:pt>
                <c:pt idx="45">
                  <c:v>0.91612325253961768</c:v>
                </c:pt>
                <c:pt idx="46">
                  <c:v>0.94278612074660006</c:v>
                </c:pt>
                <c:pt idx="47">
                  <c:v>1.132810339248927</c:v>
                </c:pt>
                <c:pt idx="48">
                  <c:v>1.2309198691226539</c:v>
                </c:pt>
                <c:pt idx="49">
                  <c:v>0.93008781340266</c:v>
                </c:pt>
                <c:pt idx="50">
                  <c:v>0.94612539759598957</c:v>
                </c:pt>
                <c:pt idx="51">
                  <c:v>0.79203966120386338</c:v>
                </c:pt>
                <c:pt idx="52">
                  <c:v>0.68333610561519953</c:v>
                </c:pt>
                <c:pt idx="53">
                  <c:v>0.80965062086215667</c:v>
                </c:pt>
                <c:pt idx="54">
                  <c:v>0.80380421953260928</c:v>
                </c:pt>
                <c:pt idx="55">
                  <c:v>0.86289309777204071</c:v>
                </c:pt>
                <c:pt idx="56">
                  <c:v>0.8038389922187259</c:v>
                </c:pt>
                <c:pt idx="57">
                  <c:v>0.84083605560542263</c:v>
                </c:pt>
                <c:pt idx="58">
                  <c:v>1.028656893611996</c:v>
                </c:pt>
                <c:pt idx="59">
                  <c:v>0.91325607762876626</c:v>
                </c:pt>
                <c:pt idx="60">
                  <c:v>1.051614630458469</c:v>
                </c:pt>
                <c:pt idx="61">
                  <c:v>1.0144208291794441</c:v>
                </c:pt>
                <c:pt idx="62">
                  <c:v>0.8373818542217274</c:v>
                </c:pt>
                <c:pt idx="63">
                  <c:v>0.83468460161643787</c:v>
                </c:pt>
                <c:pt idx="64">
                  <c:v>0.61339845366508694</c:v>
                </c:pt>
                <c:pt idx="65">
                  <c:v>0.73781003223868646</c:v>
                </c:pt>
                <c:pt idx="66">
                  <c:v>0.68549949487061801</c:v>
                </c:pt>
                <c:pt idx="67">
                  <c:v>0.71512676219349525</c:v>
                </c:pt>
                <c:pt idx="68">
                  <c:v>0.63652522303957304</c:v>
                </c:pt>
                <c:pt idx="69">
                  <c:v>0.76175188075929667</c:v>
                </c:pt>
                <c:pt idx="70">
                  <c:v>1.0174940038611719</c:v>
                </c:pt>
                <c:pt idx="71">
                  <c:v>1.0025674160411211</c:v>
                </c:pt>
                <c:pt idx="72">
                  <c:v>1.135032584901597</c:v>
                </c:pt>
                <c:pt idx="73">
                  <c:v>0.93411665141872979</c:v>
                </c:pt>
                <c:pt idx="74">
                  <c:v>0.68579081688022481</c:v>
                </c:pt>
                <c:pt idx="75">
                  <c:v>0.60995353561832499</c:v>
                </c:pt>
                <c:pt idx="76">
                  <c:v>0.62375117423189408</c:v>
                </c:pt>
                <c:pt idx="77">
                  <c:v>0.56976432128633303</c:v>
                </c:pt>
                <c:pt idx="78">
                  <c:v>0.74058967108380014</c:v>
                </c:pt>
                <c:pt idx="79">
                  <c:v>0.64997112344594554</c:v>
                </c:pt>
                <c:pt idx="80">
                  <c:v>0.68273474898658593</c:v>
                </c:pt>
                <c:pt idx="81">
                  <c:v>0.94701517193480578</c:v>
                </c:pt>
                <c:pt idx="82">
                  <c:v>1.0289764309560969</c:v>
                </c:pt>
                <c:pt idx="83">
                  <c:v>0.98205388617926037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E65-2C40-9B39-01AC16E1BB7D}"/>
            </c:ext>
          </c:extLst>
        </c:ser>
        <c:ser>
          <c:idx val="1"/>
          <c:order val="1"/>
          <c:tx>
            <c:strRef>
              <c:f>'Capture Price Inputs'!$K$1</c:f>
              <c:strCache>
                <c:ptCount val="1"/>
                <c:pt idx="0">
                  <c:v>DK2 CPR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'Capture Price Inputs'!$K$2:$K$85</c:f>
              <c:numCache>
                <c:formatCode>General</c:formatCode>
                <c:ptCount val="84"/>
                <c:pt idx="12">
                  <c:v>1.090446324793763</c:v>
                </c:pt>
                <c:pt idx="13">
                  <c:v>1.251821301318464</c:v>
                </c:pt>
                <c:pt idx="14">
                  <c:v>0.85520775851277109</c:v>
                </c:pt>
                <c:pt idx="15">
                  <c:v>0.76362023547871605</c:v>
                </c:pt>
                <c:pt idx="16">
                  <c:v>0.97636938233545278</c:v>
                </c:pt>
                <c:pt idx="17">
                  <c:v>1.180647007173951</c:v>
                </c:pt>
                <c:pt idx="18">
                  <c:v>1.021791049952987</c:v>
                </c:pt>
                <c:pt idx="19">
                  <c:v>1.077948442472481</c:v>
                </c:pt>
                <c:pt idx="20">
                  <c:v>1.0591890923358069</c:v>
                </c:pt>
                <c:pt idx="21">
                  <c:v>1.247549053102559</c:v>
                </c:pt>
                <c:pt idx="22">
                  <c:v>1.057080411727209</c:v>
                </c:pt>
                <c:pt idx="23">
                  <c:v>1.125691191699302</c:v>
                </c:pt>
                <c:pt idx="24">
                  <c:v>1.122164979814525</c:v>
                </c:pt>
                <c:pt idx="25">
                  <c:v>0.9585139857498034</c:v>
                </c:pt>
                <c:pt idx="26">
                  <c:v>1.0147741726503949</c:v>
                </c:pt>
                <c:pt idx="27">
                  <c:v>0.95901643664766134</c:v>
                </c:pt>
                <c:pt idx="28">
                  <c:v>0.91033887361171206</c:v>
                </c:pt>
                <c:pt idx="29">
                  <c:v>0.94404491874816343</c:v>
                </c:pt>
                <c:pt idx="30">
                  <c:v>0.95692856904650769</c:v>
                </c:pt>
                <c:pt idx="31">
                  <c:v>1.001768528067071</c:v>
                </c:pt>
                <c:pt idx="32">
                  <c:v>0.95838336990944806</c:v>
                </c:pt>
                <c:pt idx="33">
                  <c:v>1.1445012658471321</c:v>
                </c:pt>
                <c:pt idx="34">
                  <c:v>1.1264608571418011</c:v>
                </c:pt>
                <c:pt idx="35">
                  <c:v>1.279578427053047</c:v>
                </c:pt>
                <c:pt idx="36">
                  <c:v>1.1617546523412821</c:v>
                </c:pt>
                <c:pt idx="37">
                  <c:v>1.084871924613185</c:v>
                </c:pt>
                <c:pt idx="38">
                  <c:v>0.81629582758371144</c:v>
                </c:pt>
                <c:pt idx="39">
                  <c:v>0.93918048773921026</c:v>
                </c:pt>
                <c:pt idx="40">
                  <c:v>0.89914563143311954</c:v>
                </c:pt>
                <c:pt idx="41">
                  <c:v>0.90151367457475784</c:v>
                </c:pt>
                <c:pt idx="42">
                  <c:v>0.90956244496775596</c:v>
                </c:pt>
                <c:pt idx="43">
                  <c:v>0.8830756108422062</c:v>
                </c:pt>
                <c:pt idx="44">
                  <c:v>0.96085369829588263</c:v>
                </c:pt>
                <c:pt idx="45">
                  <c:v>0.87743541957368609</c:v>
                </c:pt>
                <c:pt idx="46">
                  <c:v>0.92404474391789948</c:v>
                </c:pt>
                <c:pt idx="47">
                  <c:v>1.2185280560697289</c:v>
                </c:pt>
                <c:pt idx="48">
                  <c:v>1.2118663236304299</c:v>
                </c:pt>
                <c:pt idx="49">
                  <c:v>1.0244781228159621</c:v>
                </c:pt>
                <c:pt idx="50">
                  <c:v>0.99223631219701203</c:v>
                </c:pt>
                <c:pt idx="51">
                  <c:v>0.85025873478203906</c:v>
                </c:pt>
                <c:pt idx="52">
                  <c:v>0.73101748270540212</c:v>
                </c:pt>
                <c:pt idx="53">
                  <c:v>0.78603819917365525</c:v>
                </c:pt>
                <c:pt idx="54">
                  <c:v>0.77170348712471282</c:v>
                </c:pt>
                <c:pt idx="55">
                  <c:v>0.84546104105698361</c:v>
                </c:pt>
                <c:pt idx="56">
                  <c:v>0.75329173308453345</c:v>
                </c:pt>
                <c:pt idx="57">
                  <c:v>0.83723449033464103</c:v>
                </c:pt>
                <c:pt idx="58">
                  <c:v>1.038705241708771</c:v>
                </c:pt>
                <c:pt idx="59">
                  <c:v>0.83326707575628478</c:v>
                </c:pt>
                <c:pt idx="60">
                  <c:v>0.97714487510792902</c:v>
                </c:pt>
                <c:pt idx="61">
                  <c:v>0.93991726033346112</c:v>
                </c:pt>
                <c:pt idx="62">
                  <c:v>0.8314293202728863</c:v>
                </c:pt>
                <c:pt idx="63">
                  <c:v>0.77805107456374178</c:v>
                </c:pt>
                <c:pt idx="64">
                  <c:v>0.59005563427075769</c:v>
                </c:pt>
                <c:pt idx="65">
                  <c:v>0.69439585691141426</c:v>
                </c:pt>
                <c:pt idx="66">
                  <c:v>0.61762838453946423</c:v>
                </c:pt>
                <c:pt idx="67">
                  <c:v>0.64934714792296455</c:v>
                </c:pt>
                <c:pt idx="68">
                  <c:v>0.61574801135475132</c:v>
                </c:pt>
                <c:pt idx="69">
                  <c:v>0.78000735067931948</c:v>
                </c:pt>
                <c:pt idx="70">
                  <c:v>0.94047799551015088</c:v>
                </c:pt>
                <c:pt idx="71">
                  <c:v>1.0870067185479459</c:v>
                </c:pt>
                <c:pt idx="72">
                  <c:v>1.1494003648079021</c:v>
                </c:pt>
                <c:pt idx="73">
                  <c:v>0.90662384271333907</c:v>
                </c:pt>
                <c:pt idx="74">
                  <c:v>0.60374116471580297</c:v>
                </c:pt>
                <c:pt idx="75">
                  <c:v>0.55174367988103734</c:v>
                </c:pt>
                <c:pt idx="76">
                  <c:v>0.54405946330729504</c:v>
                </c:pt>
                <c:pt idx="77">
                  <c:v>0.4307606652121766</c:v>
                </c:pt>
                <c:pt idx="78">
                  <c:v>0.74746341861966192</c:v>
                </c:pt>
                <c:pt idx="79">
                  <c:v>0.57178942343359873</c:v>
                </c:pt>
                <c:pt idx="80">
                  <c:v>0.63573160083367797</c:v>
                </c:pt>
                <c:pt idx="81">
                  <c:v>0.95480840081563045</c:v>
                </c:pt>
                <c:pt idx="82">
                  <c:v>0.98927251294969987</c:v>
                </c:pt>
                <c:pt idx="83">
                  <c:v>0.97014796253594149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E65-2C40-9B39-01AC16E1BB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CPR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Solar Penetration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Inputs'!$F$1</c:f>
              <c:strCache>
                <c:ptCount val="1"/>
                <c:pt idx="0">
                  <c:v>DK1 Solar Penetration (%) — Primary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'Capture Price Inputs'!$F$2:$F$85</c:f>
              <c:numCache>
                <c:formatCode>General</c:formatCode>
                <c:ptCount val="84"/>
                <c:pt idx="12">
                  <c:v>2.2644478926294831E-3</c:v>
                </c:pt>
                <c:pt idx="13">
                  <c:v>5.2474520244822449E-3</c:v>
                </c:pt>
                <c:pt idx="14">
                  <c:v>2.020167759412729E-2</c:v>
                </c:pt>
                <c:pt idx="15">
                  <c:v>3.2427989612304697E-2</c:v>
                </c:pt>
                <c:pt idx="16">
                  <c:v>3.6080087237903569E-2</c:v>
                </c:pt>
                <c:pt idx="17">
                  <c:v>3.7413618831640891E-2</c:v>
                </c:pt>
                <c:pt idx="18">
                  <c:v>3.3998433859503921E-2</c:v>
                </c:pt>
                <c:pt idx="19">
                  <c:v>3.4224763142537661E-2</c:v>
                </c:pt>
                <c:pt idx="20">
                  <c:v>2.4330151939157239E-2</c:v>
                </c:pt>
                <c:pt idx="21">
                  <c:v>1.1490387549446779E-2</c:v>
                </c:pt>
                <c:pt idx="22">
                  <c:v>1.521101274151999E-4</c:v>
                </c:pt>
                <c:pt idx="23">
                  <c:v>1.472410662127807E-5</c:v>
                </c:pt>
                <c:pt idx="24">
                  <c:v>3.6313559990350909E-3</c:v>
                </c:pt>
                <c:pt idx="25">
                  <c:v>1.0868941718057299E-2</c:v>
                </c:pt>
                <c:pt idx="26">
                  <c:v>2.2382303907371628E-2</c:v>
                </c:pt>
                <c:pt idx="27">
                  <c:v>4.212837115783985E-2</c:v>
                </c:pt>
                <c:pt idx="28">
                  <c:v>3.3075052211960353E-2</c:v>
                </c:pt>
                <c:pt idx="29">
                  <c:v>4.9841661821819518E-2</c:v>
                </c:pt>
                <c:pt idx="30">
                  <c:v>4.85715434854639E-2</c:v>
                </c:pt>
                <c:pt idx="31">
                  <c:v>3.8876947944708702E-2</c:v>
                </c:pt>
                <c:pt idx="32">
                  <c:v>2.5932850179436289E-2</c:v>
                </c:pt>
                <c:pt idx="33">
                  <c:v>1.7460096431489061E-2</c:v>
                </c:pt>
                <c:pt idx="34">
                  <c:v>7.0293060058135041E-3</c:v>
                </c:pt>
                <c:pt idx="35">
                  <c:v>3.243365391886713E-3</c:v>
                </c:pt>
                <c:pt idx="36">
                  <c:v>6.6753155472480874E-3</c:v>
                </c:pt>
                <c:pt idx="37">
                  <c:v>1.7399571233002901E-2</c:v>
                </c:pt>
                <c:pt idx="38">
                  <c:v>6.1955070586442867E-2</c:v>
                </c:pt>
                <c:pt idx="39">
                  <c:v>8.404056603836467E-2</c:v>
                </c:pt>
                <c:pt idx="40">
                  <c:v>9.6876891420316108E-2</c:v>
                </c:pt>
                <c:pt idx="41">
                  <c:v>9.4962020744311482E-2</c:v>
                </c:pt>
                <c:pt idx="42">
                  <c:v>9.963556652585577E-2</c:v>
                </c:pt>
                <c:pt idx="43">
                  <c:v>8.9626978325266782E-2</c:v>
                </c:pt>
                <c:pt idx="44">
                  <c:v>6.6046498591704736E-2</c:v>
                </c:pt>
                <c:pt idx="45">
                  <c:v>3.7469414477654707E-2</c:v>
                </c:pt>
                <c:pt idx="46">
                  <c:v>1.046932675470221E-2</c:v>
                </c:pt>
                <c:pt idx="47">
                  <c:v>6.2291646451968653E-3</c:v>
                </c:pt>
                <c:pt idx="48">
                  <c:v>1.2460694276862919E-2</c:v>
                </c:pt>
                <c:pt idx="49">
                  <c:v>3.4376404191763639E-2</c:v>
                </c:pt>
                <c:pt idx="50">
                  <c:v>5.6477968577058592E-2</c:v>
                </c:pt>
                <c:pt idx="51">
                  <c:v>0.1509467292684683</c:v>
                </c:pt>
                <c:pt idx="52">
                  <c:v>0.18600333743842001</c:v>
                </c:pt>
                <c:pt idx="53">
                  <c:v>0.21892573712946101</c:v>
                </c:pt>
                <c:pt idx="54">
                  <c:v>0.18929524056345021</c:v>
                </c:pt>
                <c:pt idx="55">
                  <c:v>0.1493297980639493</c:v>
                </c:pt>
                <c:pt idx="56">
                  <c:v>0.13191654386548721</c:v>
                </c:pt>
                <c:pt idx="57">
                  <c:v>4.2864886456730103E-2</c:v>
                </c:pt>
                <c:pt idx="58">
                  <c:v>1.6003493537152379E-2</c:v>
                </c:pt>
                <c:pt idx="59">
                  <c:v>6.3905046726965339E-3</c:v>
                </c:pt>
                <c:pt idx="60">
                  <c:v>1.3417186050607519E-2</c:v>
                </c:pt>
                <c:pt idx="61">
                  <c:v>2.6436223837926501E-2</c:v>
                </c:pt>
                <c:pt idx="62">
                  <c:v>6.6233973400350477E-2</c:v>
                </c:pt>
                <c:pt idx="63">
                  <c:v>0.1084169878649764</c:v>
                </c:pt>
                <c:pt idx="64">
                  <c:v>0.18887031649880051</c:v>
                </c:pt>
                <c:pt idx="65">
                  <c:v>0.1715230569234828</c:v>
                </c:pt>
                <c:pt idx="66">
                  <c:v>0.1809062055635286</c:v>
                </c:pt>
                <c:pt idx="67">
                  <c:v>0.15512153111725799</c:v>
                </c:pt>
                <c:pt idx="68">
                  <c:v>0.1275567235314205</c:v>
                </c:pt>
                <c:pt idx="69">
                  <c:v>6.2873767847415107E-2</c:v>
                </c:pt>
                <c:pt idx="70">
                  <c:v>1.780902737610289E-2</c:v>
                </c:pt>
                <c:pt idx="71">
                  <c:v>6.7857975683456679E-3</c:v>
                </c:pt>
                <c:pt idx="72">
                  <c:v>1.366055484422285E-2</c:v>
                </c:pt>
                <c:pt idx="73">
                  <c:v>4.3419934817177687E-2</c:v>
                </c:pt>
                <c:pt idx="74">
                  <c:v>0.1120694547038418</c:v>
                </c:pt>
                <c:pt idx="75">
                  <c:v>0.14827548756052711</c:v>
                </c:pt>
                <c:pt idx="76">
                  <c:v>0.19244468175967161</c:v>
                </c:pt>
                <c:pt idx="77">
                  <c:v>0.18784829238523279</c:v>
                </c:pt>
                <c:pt idx="78">
                  <c:v>0.21828188848241209</c:v>
                </c:pt>
                <c:pt idx="79">
                  <c:v>0.19011684012808119</c:v>
                </c:pt>
                <c:pt idx="80">
                  <c:v>0.13816152724517919</c:v>
                </c:pt>
                <c:pt idx="81">
                  <c:v>6.9462071202051626E-2</c:v>
                </c:pt>
                <c:pt idx="82">
                  <c:v>2.6604970402147529E-2</c:v>
                </c:pt>
                <c:pt idx="83">
                  <c:v>1.40253486520015E-2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558-3548-9D4D-E40345E33B80}"/>
            </c:ext>
          </c:extLst>
        </c:ser>
        <c:ser>
          <c:idx val="1"/>
          <c:order val="1"/>
          <c:tx>
            <c:strRef>
              <c:f>'Capture Price Inputs'!$G$1</c:f>
              <c:strCache>
                <c:ptCount val="1"/>
                <c:pt idx="0">
                  <c:v>DK2 Solar Penetration (%) — Robustness</c:v>
                </c:pt>
              </c:strCache>
            </c:strRef>
          </c:tx>
          <c:spPr>
            <a:ln>
              <a:solidFill>
                <a:srgbClr val="FFD700"/>
              </a:solidFill>
              <a:prstDash val="solid"/>
            </a:ln>
          </c:spPr>
          <c:marker>
            <c:symbol val="none"/>
          </c:marker>
          <c:val>
            <c:numRef>
              <c:f>'Capture Price Inputs'!$G$2:$G$85</c:f>
              <c:numCache>
                <c:formatCode>General</c:formatCode>
                <c:ptCount val="84"/>
                <c:pt idx="12">
                  <c:v>1.864323044087839E-3</c:v>
                </c:pt>
                <c:pt idx="13">
                  <c:v>4.9613393448072352E-3</c:v>
                </c:pt>
                <c:pt idx="14">
                  <c:v>1.532033335337761E-2</c:v>
                </c:pt>
                <c:pt idx="15">
                  <c:v>2.6180595134545931E-2</c:v>
                </c:pt>
                <c:pt idx="16">
                  <c:v>3.2240930774166239E-2</c:v>
                </c:pt>
                <c:pt idx="17">
                  <c:v>3.0651812088155841E-2</c:v>
                </c:pt>
                <c:pt idx="18">
                  <c:v>2.998206800974695E-2</c:v>
                </c:pt>
                <c:pt idx="19">
                  <c:v>2.8034713414307081E-2</c:v>
                </c:pt>
                <c:pt idx="20">
                  <c:v>2.1736479101595249E-2</c:v>
                </c:pt>
                <c:pt idx="21">
                  <c:v>1.107911770574695E-2</c:v>
                </c:pt>
                <c:pt idx="22">
                  <c:v>1.1044611578332841E-4</c:v>
                </c:pt>
                <c:pt idx="23">
                  <c:v>5.6352433584062588E-6</c:v>
                </c:pt>
                <c:pt idx="24">
                  <c:v>3.104474131982996E-3</c:v>
                </c:pt>
                <c:pt idx="25">
                  <c:v>9.2483369487723587E-3</c:v>
                </c:pt>
                <c:pt idx="26">
                  <c:v>1.8474517045212829E-2</c:v>
                </c:pt>
                <c:pt idx="27">
                  <c:v>3.2694407483312787E-2</c:v>
                </c:pt>
                <c:pt idx="28">
                  <c:v>3.2945829294540187E-2</c:v>
                </c:pt>
                <c:pt idx="29">
                  <c:v>4.4480133140056069E-2</c:v>
                </c:pt>
                <c:pt idx="30">
                  <c:v>3.7049542537302173E-2</c:v>
                </c:pt>
                <c:pt idx="31">
                  <c:v>3.1857768834261987E-2</c:v>
                </c:pt>
                <c:pt idx="32">
                  <c:v>2.23981137027396E-2</c:v>
                </c:pt>
                <c:pt idx="33">
                  <c:v>1.267326343754744E-2</c:v>
                </c:pt>
                <c:pt idx="34">
                  <c:v>4.0132810857910267E-3</c:v>
                </c:pt>
                <c:pt idx="35">
                  <c:v>1.8226295838260991E-3</c:v>
                </c:pt>
                <c:pt idx="36">
                  <c:v>4.939556742877535E-3</c:v>
                </c:pt>
                <c:pt idx="37">
                  <c:v>1.3248485586698279E-2</c:v>
                </c:pt>
                <c:pt idx="38">
                  <c:v>3.4089330349121053E-2</c:v>
                </c:pt>
                <c:pt idx="39">
                  <c:v>5.5254436099578648E-2</c:v>
                </c:pt>
                <c:pt idx="40">
                  <c:v>6.5811459960859395E-2</c:v>
                </c:pt>
                <c:pt idx="41">
                  <c:v>6.4528229045867816E-2</c:v>
                </c:pt>
                <c:pt idx="42">
                  <c:v>6.7025803801952916E-2</c:v>
                </c:pt>
                <c:pt idx="43">
                  <c:v>6.1299924397195817E-2</c:v>
                </c:pt>
                <c:pt idx="44">
                  <c:v>4.5784276103507021E-2</c:v>
                </c:pt>
                <c:pt idx="45">
                  <c:v>2.9809058027035401E-2</c:v>
                </c:pt>
                <c:pt idx="46">
                  <c:v>7.8652952619005494E-3</c:v>
                </c:pt>
                <c:pt idx="47">
                  <c:v>4.5323555529735481E-3</c:v>
                </c:pt>
                <c:pt idx="48">
                  <c:v>5.8626527231366082E-3</c:v>
                </c:pt>
                <c:pt idx="49">
                  <c:v>1.8877648418373551E-2</c:v>
                </c:pt>
                <c:pt idx="50">
                  <c:v>3.7096229392005707E-2</c:v>
                </c:pt>
                <c:pt idx="51">
                  <c:v>8.0269966033824955E-2</c:v>
                </c:pt>
                <c:pt idx="52">
                  <c:v>0.1080032082802261</c:v>
                </c:pt>
                <c:pt idx="53">
                  <c:v>0.1144244665352921</c:v>
                </c:pt>
                <c:pt idx="54">
                  <c:v>0.10203074507159759</c:v>
                </c:pt>
                <c:pt idx="55">
                  <c:v>7.7931010532967707E-2</c:v>
                </c:pt>
                <c:pt idx="56">
                  <c:v>8.0909954639318743E-2</c:v>
                </c:pt>
                <c:pt idx="57">
                  <c:v>2.9172340215594381E-2</c:v>
                </c:pt>
                <c:pt idx="58">
                  <c:v>1.04098691216888E-2</c:v>
                </c:pt>
                <c:pt idx="59">
                  <c:v>3.809030164374855E-3</c:v>
                </c:pt>
                <c:pt idx="60">
                  <c:v>6.1781830729755079E-3</c:v>
                </c:pt>
                <c:pt idx="61">
                  <c:v>1.667231366864759E-2</c:v>
                </c:pt>
                <c:pt idx="62">
                  <c:v>4.1112806367337662E-2</c:v>
                </c:pt>
                <c:pt idx="63">
                  <c:v>6.5123378744806448E-2</c:v>
                </c:pt>
                <c:pt idx="64">
                  <c:v>0.106315341440858</c:v>
                </c:pt>
                <c:pt idx="65">
                  <c:v>0.1072729076610999</c:v>
                </c:pt>
                <c:pt idx="66">
                  <c:v>0.1057942634887733</c:v>
                </c:pt>
                <c:pt idx="67">
                  <c:v>9.3690832268705199E-2</c:v>
                </c:pt>
                <c:pt idx="68">
                  <c:v>7.2463202820400169E-2</c:v>
                </c:pt>
                <c:pt idx="69">
                  <c:v>3.6145253892379881E-2</c:v>
                </c:pt>
                <c:pt idx="70">
                  <c:v>8.6028414054236078E-3</c:v>
                </c:pt>
                <c:pt idx="71">
                  <c:v>4.1714684657767577E-3</c:v>
                </c:pt>
                <c:pt idx="72">
                  <c:v>7.223240212576967E-3</c:v>
                </c:pt>
                <c:pt idx="73">
                  <c:v>2.010831138567791E-2</c:v>
                </c:pt>
                <c:pt idx="74">
                  <c:v>4.6547866447452589E-2</c:v>
                </c:pt>
                <c:pt idx="75">
                  <c:v>7.1689783649061992E-2</c:v>
                </c:pt>
                <c:pt idx="76">
                  <c:v>9.4714127256233946E-2</c:v>
                </c:pt>
                <c:pt idx="77">
                  <c:v>9.9826250015510765E-2</c:v>
                </c:pt>
                <c:pt idx="78">
                  <c:v>9.3996419418699143E-2</c:v>
                </c:pt>
                <c:pt idx="79">
                  <c:v>0.1057378118957395</c:v>
                </c:pt>
                <c:pt idx="80">
                  <c:v>9.0628879686523764E-2</c:v>
                </c:pt>
                <c:pt idx="81">
                  <c:v>3.9573125678626628E-2</c:v>
                </c:pt>
                <c:pt idx="82">
                  <c:v>1.454364344794783E-2</c:v>
                </c:pt>
                <c:pt idx="83">
                  <c:v>9.0694911608833299E-3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558-3548-9D4D-E40345E33B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Solar Penetration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Capture Price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Inputs'!$H$1</c:f>
              <c:strCache>
                <c:ptCount val="1"/>
                <c:pt idx="0">
                  <c:v>DK1 Capture Price (EUR/MWh)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Inputs'!$H$2:$H$85</c:f>
              <c:numCache>
                <c:formatCode>General</c:formatCode>
                <c:ptCount val="84"/>
                <c:pt idx="12">
                  <c:v>25.22320957280251</c:v>
                </c:pt>
                <c:pt idx="13">
                  <c:v>22.83581899109792</c:v>
                </c:pt>
                <c:pt idx="14">
                  <c:v>15.94107348554973</c:v>
                </c:pt>
                <c:pt idx="15">
                  <c:v>10.36487590420421</c:v>
                </c:pt>
                <c:pt idx="16">
                  <c:v>15.478548945086001</c:v>
                </c:pt>
                <c:pt idx="17">
                  <c:v>27.313308227868689</c:v>
                </c:pt>
                <c:pt idx="18">
                  <c:v>24.831745178109159</c:v>
                </c:pt>
                <c:pt idx="19">
                  <c:v>33.876915422047851</c:v>
                </c:pt>
                <c:pt idx="20">
                  <c:v>38.935979003379593</c:v>
                </c:pt>
                <c:pt idx="21">
                  <c:v>31.927741533059191</c:v>
                </c:pt>
                <c:pt idx="22">
                  <c:v>26.005993265993261</c:v>
                </c:pt>
                <c:pt idx="23">
                  <c:v>34.795161290322582</c:v>
                </c:pt>
                <c:pt idx="24">
                  <c:v>55.422967607277918</c:v>
                </c:pt>
                <c:pt idx="25">
                  <c:v>47.542610979142587</c:v>
                </c:pt>
                <c:pt idx="26">
                  <c:v>44.550700915805493</c:v>
                </c:pt>
                <c:pt idx="27">
                  <c:v>43.594739828473003</c:v>
                </c:pt>
                <c:pt idx="28">
                  <c:v>47.655870575001217</c:v>
                </c:pt>
                <c:pt idx="29">
                  <c:v>70.543547911111062</c:v>
                </c:pt>
                <c:pt idx="30">
                  <c:v>78.568319747758608</c:v>
                </c:pt>
                <c:pt idx="31">
                  <c:v>81.983351136401794</c:v>
                </c:pt>
                <c:pt idx="32">
                  <c:v>116.20022495544841</c:v>
                </c:pt>
                <c:pt idx="33">
                  <c:v>126.53039520323949</c:v>
                </c:pt>
                <c:pt idx="34">
                  <c:v>160.77058330102949</c:v>
                </c:pt>
                <c:pt idx="35">
                  <c:v>228.8621705579358</c:v>
                </c:pt>
                <c:pt idx="36">
                  <c:v>123.20125067917191</c:v>
                </c:pt>
                <c:pt idx="37">
                  <c:v>117.67077903546</c:v>
                </c:pt>
                <c:pt idx="38">
                  <c:v>191.50807173506701</c:v>
                </c:pt>
                <c:pt idx="39">
                  <c:v>145.70138715926041</c:v>
                </c:pt>
                <c:pt idx="40">
                  <c:v>149.4185612445558</c:v>
                </c:pt>
                <c:pt idx="41">
                  <c:v>194.71103409481981</c:v>
                </c:pt>
                <c:pt idx="42">
                  <c:v>239.3981525107354</c:v>
                </c:pt>
                <c:pt idx="43">
                  <c:v>419.79263722660602</c:v>
                </c:pt>
                <c:pt idx="44">
                  <c:v>310.70739927266709</c:v>
                </c:pt>
                <c:pt idx="45">
                  <c:v>125.6295598680838</c:v>
                </c:pt>
                <c:pt idx="46">
                  <c:v>131.7111886265582</c:v>
                </c:pt>
                <c:pt idx="47">
                  <c:v>282.82379374207261</c:v>
                </c:pt>
                <c:pt idx="48">
                  <c:v>138.52998868426329</c:v>
                </c:pt>
                <c:pt idx="49">
                  <c:v>109.87697572135031</c:v>
                </c:pt>
                <c:pt idx="50">
                  <c:v>93.774190940695377</c:v>
                </c:pt>
                <c:pt idx="51">
                  <c:v>76.25042822265543</c:v>
                </c:pt>
                <c:pt idx="52">
                  <c:v>50.543487760082613</c:v>
                </c:pt>
                <c:pt idx="53">
                  <c:v>74.888982776218057</c:v>
                </c:pt>
                <c:pt idx="54">
                  <c:v>52.095599438463452</c:v>
                </c:pt>
                <c:pt idx="55">
                  <c:v>74.180426039978187</c:v>
                </c:pt>
                <c:pt idx="56">
                  <c:v>68.116869623396937</c:v>
                </c:pt>
                <c:pt idx="57">
                  <c:v>50.539090519702853</c:v>
                </c:pt>
                <c:pt idx="58">
                  <c:v>90.680805562425178</c:v>
                </c:pt>
                <c:pt idx="59">
                  <c:v>63.455327688788032</c:v>
                </c:pt>
                <c:pt idx="60">
                  <c:v>78.571316441678306</c:v>
                </c:pt>
                <c:pt idx="61">
                  <c:v>59.479486768055089</c:v>
                </c:pt>
                <c:pt idx="62">
                  <c:v>51.269783241554933</c:v>
                </c:pt>
                <c:pt idx="63">
                  <c:v>49.383940562011212</c:v>
                </c:pt>
                <c:pt idx="64">
                  <c:v>35.894148271408874</c:v>
                </c:pt>
                <c:pt idx="65">
                  <c:v>47.037633727397647</c:v>
                </c:pt>
                <c:pt idx="66">
                  <c:v>42.521773223099522</c:v>
                </c:pt>
                <c:pt idx="67">
                  <c:v>52.17121747504909</c:v>
                </c:pt>
                <c:pt idx="68">
                  <c:v>45.647504626217007</c:v>
                </c:pt>
                <c:pt idx="69">
                  <c:v>58.441583787091993</c:v>
                </c:pt>
                <c:pt idx="70">
                  <c:v>97.582352616331917</c:v>
                </c:pt>
                <c:pt idx="71">
                  <c:v>92.073217693833982</c:v>
                </c:pt>
                <c:pt idx="72">
                  <c:v>111.1945655985155</c:v>
                </c:pt>
                <c:pt idx="73">
                  <c:v>105.41315973788279</c:v>
                </c:pt>
                <c:pt idx="74">
                  <c:v>57.84566339627056</c:v>
                </c:pt>
                <c:pt idx="75">
                  <c:v>45.844395770687349</c:v>
                </c:pt>
                <c:pt idx="76">
                  <c:v>40.065667394009381</c:v>
                </c:pt>
                <c:pt idx="77">
                  <c:v>33.493381965196598</c:v>
                </c:pt>
                <c:pt idx="78">
                  <c:v>61.32224821093979</c:v>
                </c:pt>
                <c:pt idx="79">
                  <c:v>47.755824567457559</c:v>
                </c:pt>
                <c:pt idx="80">
                  <c:v>49.429094996057238</c:v>
                </c:pt>
                <c:pt idx="81">
                  <c:v>74.266634537895257</c:v>
                </c:pt>
                <c:pt idx="82">
                  <c:v>95.564531802521344</c:v>
                </c:pt>
                <c:pt idx="83">
                  <c:v>80.958034242780258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887-CF45-B1A6-F6892FE54D9B}"/>
            </c:ext>
          </c:extLst>
        </c:ser>
        <c:ser>
          <c:idx val="1"/>
          <c:order val="1"/>
          <c:tx>
            <c:strRef>
              <c:f>'Capture Price Inputs'!$I$1</c:f>
              <c:strCache>
                <c:ptCount val="1"/>
                <c:pt idx="0">
                  <c:v>DK2 Capture Price (EUR/MWh)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'Capture Price Inputs'!$I$2:$I$85</c:f>
              <c:numCache>
                <c:formatCode>General</c:formatCode>
                <c:ptCount val="84"/>
                <c:pt idx="12">
                  <c:v>29.86213642213642</c:v>
                </c:pt>
                <c:pt idx="13">
                  <c:v>23.555517829721889</c:v>
                </c:pt>
                <c:pt idx="14">
                  <c:v>17.149050692261021</c:v>
                </c:pt>
                <c:pt idx="15">
                  <c:v>13.252523128367081</c:v>
                </c:pt>
                <c:pt idx="16">
                  <c:v>18.594049382716051</c:v>
                </c:pt>
                <c:pt idx="17">
                  <c:v>35.21078005032583</c:v>
                </c:pt>
                <c:pt idx="18">
                  <c:v>26.450778046867001</c:v>
                </c:pt>
                <c:pt idx="19">
                  <c:v>44.113765015404859</c:v>
                </c:pt>
                <c:pt idx="20">
                  <c:v>41.853047880870562</c:v>
                </c:pt>
                <c:pt idx="21">
                  <c:v>33.600878372903331</c:v>
                </c:pt>
                <c:pt idx="22">
                  <c:v>37.749765625000002</c:v>
                </c:pt>
                <c:pt idx="23">
                  <c:v>44.191428571428567</c:v>
                </c:pt>
                <c:pt idx="24">
                  <c:v>57.072134410081453</c:v>
                </c:pt>
                <c:pt idx="25">
                  <c:v>52.285083654524577</c:v>
                </c:pt>
                <c:pt idx="26">
                  <c:v>47.422643011897812</c:v>
                </c:pt>
                <c:pt idx="27">
                  <c:v>45.901363748248833</c:v>
                </c:pt>
                <c:pt idx="28">
                  <c:v>50.258720231460799</c:v>
                </c:pt>
                <c:pt idx="29">
                  <c:v>69.469341653776226</c:v>
                </c:pt>
                <c:pt idx="30">
                  <c:v>77.933111551394319</c:v>
                </c:pt>
                <c:pt idx="31">
                  <c:v>84.512747690257029</c:v>
                </c:pt>
                <c:pt idx="32">
                  <c:v>118.7457227855615</c:v>
                </c:pt>
                <c:pt idx="33">
                  <c:v>122.3841235967906</c:v>
                </c:pt>
                <c:pt idx="34">
                  <c:v>153.62679427815749</c:v>
                </c:pt>
                <c:pt idx="35">
                  <c:v>244.48727859764409</c:v>
                </c:pt>
                <c:pt idx="36">
                  <c:v>129.67749023150819</c:v>
                </c:pt>
                <c:pt idx="37">
                  <c:v>108.80333899256409</c:v>
                </c:pt>
                <c:pt idx="38">
                  <c:v>186.0504424586062</c:v>
                </c:pt>
                <c:pt idx="39">
                  <c:v>143.53758886421849</c:v>
                </c:pt>
                <c:pt idx="40">
                  <c:v>146.25360234460331</c:v>
                </c:pt>
                <c:pt idx="41">
                  <c:v>192.2325905808319</c:v>
                </c:pt>
                <c:pt idx="42">
                  <c:v>212.3625858003895</c:v>
                </c:pt>
                <c:pt idx="43">
                  <c:v>397.17988485976059</c:v>
                </c:pt>
                <c:pt idx="44">
                  <c:v>315.92884279677901</c:v>
                </c:pt>
                <c:pt idx="45">
                  <c:v>120.1190076327392</c:v>
                </c:pt>
                <c:pt idx="46">
                  <c:v>134.0399027878758</c:v>
                </c:pt>
                <c:pt idx="47">
                  <c:v>303.26978481668573</c:v>
                </c:pt>
                <c:pt idx="48">
                  <c:v>120.8992864784306</c:v>
                </c:pt>
                <c:pt idx="49">
                  <c:v>103.112625406295</c:v>
                </c:pt>
                <c:pt idx="50">
                  <c:v>89.098468921641697</c:v>
                </c:pt>
                <c:pt idx="51">
                  <c:v>71.125099705594195</c:v>
                </c:pt>
                <c:pt idx="52">
                  <c:v>48.358083796456327</c:v>
                </c:pt>
                <c:pt idx="53">
                  <c:v>71.862090372222397</c:v>
                </c:pt>
                <c:pt idx="54">
                  <c:v>50.345966617092351</c:v>
                </c:pt>
                <c:pt idx="55">
                  <c:v>72.957992347987414</c:v>
                </c:pt>
                <c:pt idx="56">
                  <c:v>64.394484672464898</c:v>
                </c:pt>
                <c:pt idx="57">
                  <c:v>47.660255094286853</c:v>
                </c:pt>
                <c:pt idx="58">
                  <c:v>84.639978605265995</c:v>
                </c:pt>
                <c:pt idx="59">
                  <c:v>59.061746333079718</c:v>
                </c:pt>
                <c:pt idx="60">
                  <c:v>76.427202535219209</c:v>
                </c:pt>
                <c:pt idx="61">
                  <c:v>51.434379196547752</c:v>
                </c:pt>
                <c:pt idx="62">
                  <c:v>50.751163813053438</c:v>
                </c:pt>
                <c:pt idx="63">
                  <c:v>47.053967904827999</c:v>
                </c:pt>
                <c:pt idx="64">
                  <c:v>34.295794113692892</c:v>
                </c:pt>
                <c:pt idx="65">
                  <c:v>46.379384034583367</c:v>
                </c:pt>
                <c:pt idx="66">
                  <c:v>38.812821969471173</c:v>
                </c:pt>
                <c:pt idx="67">
                  <c:v>47.151863118292532</c:v>
                </c:pt>
                <c:pt idx="68">
                  <c:v>43.355946350842189</c:v>
                </c:pt>
                <c:pt idx="69">
                  <c:v>59.534937630286556</c:v>
                </c:pt>
                <c:pt idx="70">
                  <c:v>89.611277477917284</c:v>
                </c:pt>
                <c:pt idx="71">
                  <c:v>100.7961313991171</c:v>
                </c:pt>
                <c:pt idx="72">
                  <c:v>115.0822593270056</c:v>
                </c:pt>
                <c:pt idx="73">
                  <c:v>106.92318207316821</c:v>
                </c:pt>
                <c:pt idx="74">
                  <c:v>50.018062961268747</c:v>
                </c:pt>
                <c:pt idx="75">
                  <c:v>41.82584156307518</c:v>
                </c:pt>
                <c:pt idx="76">
                  <c:v>34.320660344591218</c:v>
                </c:pt>
                <c:pt idx="77">
                  <c:v>24.31568572006325</c:v>
                </c:pt>
                <c:pt idx="78">
                  <c:v>59.766943882147693</c:v>
                </c:pt>
                <c:pt idx="79">
                  <c:v>43.064604783544858</c:v>
                </c:pt>
                <c:pt idx="80">
                  <c:v>52.949405153808357</c:v>
                </c:pt>
                <c:pt idx="81">
                  <c:v>78.645730322406678</c:v>
                </c:pt>
                <c:pt idx="82">
                  <c:v>92.690454871532665</c:v>
                </c:pt>
                <c:pt idx="83">
                  <c:v>79.631228022083661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887-CF45-B1A6-F6892FE54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Capture Price Ratio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Inputs'!$J$1</c:f>
              <c:strCache>
                <c:ptCount val="1"/>
                <c:pt idx="0">
                  <c:v>DK1 CPR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Inputs'!$J$2:$J$85</c:f>
              <c:numCache>
                <c:formatCode>General</c:formatCode>
                <c:ptCount val="84"/>
                <c:pt idx="12">
                  <c:v>1.0091486594474419</c:v>
                </c:pt>
                <c:pt idx="13">
                  <c:v>1.2985911686950511</c:v>
                </c:pt>
                <c:pt idx="14">
                  <c:v>0.8710146939215303</c:v>
                </c:pt>
                <c:pt idx="15">
                  <c:v>0.71315772558819213</c:v>
                </c:pt>
                <c:pt idx="16">
                  <c:v>0.96415576931205649</c:v>
                </c:pt>
                <c:pt idx="17">
                  <c:v>1.0394664137310941</c:v>
                </c:pt>
                <c:pt idx="18">
                  <c:v>1.0086181556608309</c:v>
                </c:pt>
                <c:pt idx="19">
                  <c:v>0.98082264407500741</c:v>
                </c:pt>
                <c:pt idx="20">
                  <c:v>1.0104044869130051</c:v>
                </c:pt>
                <c:pt idx="21">
                  <c:v>1.236802226812374</c:v>
                </c:pt>
                <c:pt idx="22">
                  <c:v>1.094777917215692</c:v>
                </c:pt>
                <c:pt idx="23">
                  <c:v>1.0082301641826621</c:v>
                </c:pt>
                <c:pt idx="24">
                  <c:v>1.103930861568265</c:v>
                </c:pt>
                <c:pt idx="25">
                  <c:v>1.0059479277054251</c:v>
                </c:pt>
                <c:pt idx="26">
                  <c:v>0.9871758725122356</c:v>
                </c:pt>
                <c:pt idx="27">
                  <c:v>0.90884647456650169</c:v>
                </c:pt>
                <c:pt idx="28">
                  <c:v>0.87751805187154364</c:v>
                </c:pt>
                <c:pt idx="29">
                  <c:v>0.95691427953473174</c:v>
                </c:pt>
                <c:pt idx="30">
                  <c:v>0.98211323715969778</c:v>
                </c:pt>
                <c:pt idx="31">
                  <c:v>0.99027147802450566</c:v>
                </c:pt>
                <c:pt idx="32">
                  <c:v>0.92690440483613579</c:v>
                </c:pt>
                <c:pt idx="33">
                  <c:v>1.0810885074134391</c:v>
                </c:pt>
                <c:pt idx="34">
                  <c:v>1.1338034085044659</c:v>
                </c:pt>
                <c:pt idx="35">
                  <c:v>1.2086769624549281</c:v>
                </c:pt>
                <c:pt idx="36">
                  <c:v>1.0441257304277269</c:v>
                </c:pt>
                <c:pt idx="37">
                  <c:v>1.04022281700981</c:v>
                </c:pt>
                <c:pt idx="38">
                  <c:v>0.81207759044207406</c:v>
                </c:pt>
                <c:pt idx="39">
                  <c:v>0.89039133384678326</c:v>
                </c:pt>
                <c:pt idx="40">
                  <c:v>0.86943016050498578</c:v>
                </c:pt>
                <c:pt idx="41">
                  <c:v>0.90803902012341908</c:v>
                </c:pt>
                <c:pt idx="42">
                  <c:v>0.87041791592949547</c:v>
                </c:pt>
                <c:pt idx="43">
                  <c:v>0.91908553046700026</c:v>
                </c:pt>
                <c:pt idx="44">
                  <c:v>0.90632901805683119</c:v>
                </c:pt>
                <c:pt idx="45">
                  <c:v>0.91612325253961768</c:v>
                </c:pt>
                <c:pt idx="46">
                  <c:v>0.94278612074660006</c:v>
                </c:pt>
                <c:pt idx="47">
                  <c:v>1.132810339248927</c:v>
                </c:pt>
                <c:pt idx="48">
                  <c:v>1.2309198691226539</c:v>
                </c:pt>
                <c:pt idx="49">
                  <c:v>0.93008781340266</c:v>
                </c:pt>
                <c:pt idx="50">
                  <c:v>0.94612539759598957</c:v>
                </c:pt>
                <c:pt idx="51">
                  <c:v>0.79203966120386338</c:v>
                </c:pt>
                <c:pt idx="52">
                  <c:v>0.68333610561519953</c:v>
                </c:pt>
                <c:pt idx="53">
                  <c:v>0.80965062086215667</c:v>
                </c:pt>
                <c:pt idx="54">
                  <c:v>0.80380421953260928</c:v>
                </c:pt>
                <c:pt idx="55">
                  <c:v>0.86289309777204071</c:v>
                </c:pt>
                <c:pt idx="56">
                  <c:v>0.8038389922187259</c:v>
                </c:pt>
                <c:pt idx="57">
                  <c:v>0.84083605560542263</c:v>
                </c:pt>
                <c:pt idx="58">
                  <c:v>1.028656893611996</c:v>
                </c:pt>
                <c:pt idx="59">
                  <c:v>0.91325607762876626</c:v>
                </c:pt>
                <c:pt idx="60">
                  <c:v>1.051614630458469</c:v>
                </c:pt>
                <c:pt idx="61">
                  <c:v>1.0144208291794441</c:v>
                </c:pt>
                <c:pt idx="62">
                  <c:v>0.8373818542217274</c:v>
                </c:pt>
                <c:pt idx="63">
                  <c:v>0.83468460161643787</c:v>
                </c:pt>
                <c:pt idx="64">
                  <c:v>0.61339845366508694</c:v>
                </c:pt>
                <c:pt idx="65">
                  <c:v>0.73781003223868646</c:v>
                </c:pt>
                <c:pt idx="66">
                  <c:v>0.68549949487061801</c:v>
                </c:pt>
                <c:pt idx="67">
                  <c:v>0.71512676219349525</c:v>
                </c:pt>
                <c:pt idx="68">
                  <c:v>0.63652522303957304</c:v>
                </c:pt>
                <c:pt idx="69">
                  <c:v>0.76175188075929667</c:v>
                </c:pt>
                <c:pt idx="70">
                  <c:v>1.0174940038611719</c:v>
                </c:pt>
                <c:pt idx="71">
                  <c:v>1.0025674160411211</c:v>
                </c:pt>
                <c:pt idx="72">
                  <c:v>1.135032584901597</c:v>
                </c:pt>
                <c:pt idx="73">
                  <c:v>0.93411665141872979</c:v>
                </c:pt>
                <c:pt idx="74">
                  <c:v>0.68579081688022481</c:v>
                </c:pt>
                <c:pt idx="75">
                  <c:v>0.60995353561832499</c:v>
                </c:pt>
                <c:pt idx="76">
                  <c:v>0.62375117423189408</c:v>
                </c:pt>
                <c:pt idx="77">
                  <c:v>0.56976432128633303</c:v>
                </c:pt>
                <c:pt idx="78">
                  <c:v>0.74058967108380014</c:v>
                </c:pt>
                <c:pt idx="79">
                  <c:v>0.64997112344594554</c:v>
                </c:pt>
                <c:pt idx="80">
                  <c:v>0.68273474898658593</c:v>
                </c:pt>
                <c:pt idx="81">
                  <c:v>0.94701517193480578</c:v>
                </c:pt>
                <c:pt idx="82">
                  <c:v>1.0289764309560969</c:v>
                </c:pt>
                <c:pt idx="83">
                  <c:v>0.98205388617926037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2DA-8C46-A3E0-0DD152F77711}"/>
            </c:ext>
          </c:extLst>
        </c:ser>
        <c:ser>
          <c:idx val="1"/>
          <c:order val="1"/>
          <c:tx>
            <c:strRef>
              <c:f>'Capture Price Inputs'!$K$1</c:f>
              <c:strCache>
                <c:ptCount val="1"/>
                <c:pt idx="0">
                  <c:v>DK2 CPR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'Capture Price Inputs'!$K$2:$K$85</c:f>
              <c:numCache>
                <c:formatCode>General</c:formatCode>
                <c:ptCount val="84"/>
                <c:pt idx="12">
                  <c:v>1.090446324793763</c:v>
                </c:pt>
                <c:pt idx="13">
                  <c:v>1.251821301318464</c:v>
                </c:pt>
                <c:pt idx="14">
                  <c:v>0.85520775851277109</c:v>
                </c:pt>
                <c:pt idx="15">
                  <c:v>0.76362023547871605</c:v>
                </c:pt>
                <c:pt idx="16">
                  <c:v>0.97636938233545278</c:v>
                </c:pt>
                <c:pt idx="17">
                  <c:v>1.180647007173951</c:v>
                </c:pt>
                <c:pt idx="18">
                  <c:v>1.021791049952987</c:v>
                </c:pt>
                <c:pt idx="19">
                  <c:v>1.077948442472481</c:v>
                </c:pt>
                <c:pt idx="20">
                  <c:v>1.0591890923358069</c:v>
                </c:pt>
                <c:pt idx="21">
                  <c:v>1.247549053102559</c:v>
                </c:pt>
                <c:pt idx="22">
                  <c:v>1.057080411727209</c:v>
                </c:pt>
                <c:pt idx="23">
                  <c:v>1.125691191699302</c:v>
                </c:pt>
                <c:pt idx="24">
                  <c:v>1.122164979814525</c:v>
                </c:pt>
                <c:pt idx="25">
                  <c:v>0.9585139857498034</c:v>
                </c:pt>
                <c:pt idx="26">
                  <c:v>1.0147741726503949</c:v>
                </c:pt>
                <c:pt idx="27">
                  <c:v>0.95901643664766134</c:v>
                </c:pt>
                <c:pt idx="28">
                  <c:v>0.91033887361171206</c:v>
                </c:pt>
                <c:pt idx="29">
                  <c:v>0.94404491874816343</c:v>
                </c:pt>
                <c:pt idx="30">
                  <c:v>0.95692856904650769</c:v>
                </c:pt>
                <c:pt idx="31">
                  <c:v>1.001768528067071</c:v>
                </c:pt>
                <c:pt idx="32">
                  <c:v>0.95838336990944806</c:v>
                </c:pt>
                <c:pt idx="33">
                  <c:v>1.1445012658471321</c:v>
                </c:pt>
                <c:pt idx="34">
                  <c:v>1.1264608571418011</c:v>
                </c:pt>
                <c:pt idx="35">
                  <c:v>1.279578427053047</c:v>
                </c:pt>
                <c:pt idx="36">
                  <c:v>1.1617546523412821</c:v>
                </c:pt>
                <c:pt idx="37">
                  <c:v>1.084871924613185</c:v>
                </c:pt>
                <c:pt idx="38">
                  <c:v>0.81629582758371144</c:v>
                </c:pt>
                <c:pt idx="39">
                  <c:v>0.93918048773921026</c:v>
                </c:pt>
                <c:pt idx="40">
                  <c:v>0.89914563143311954</c:v>
                </c:pt>
                <c:pt idx="41">
                  <c:v>0.90151367457475784</c:v>
                </c:pt>
                <c:pt idx="42">
                  <c:v>0.90956244496775596</c:v>
                </c:pt>
                <c:pt idx="43">
                  <c:v>0.8830756108422062</c:v>
                </c:pt>
                <c:pt idx="44">
                  <c:v>0.96085369829588263</c:v>
                </c:pt>
                <c:pt idx="45">
                  <c:v>0.87743541957368609</c:v>
                </c:pt>
                <c:pt idx="46">
                  <c:v>0.92404474391789948</c:v>
                </c:pt>
                <c:pt idx="47">
                  <c:v>1.2185280560697289</c:v>
                </c:pt>
                <c:pt idx="48">
                  <c:v>1.2118663236304299</c:v>
                </c:pt>
                <c:pt idx="49">
                  <c:v>1.0244781228159621</c:v>
                </c:pt>
                <c:pt idx="50">
                  <c:v>0.99223631219701203</c:v>
                </c:pt>
                <c:pt idx="51">
                  <c:v>0.85025873478203906</c:v>
                </c:pt>
                <c:pt idx="52">
                  <c:v>0.73101748270540212</c:v>
                </c:pt>
                <c:pt idx="53">
                  <c:v>0.78603819917365525</c:v>
                </c:pt>
                <c:pt idx="54">
                  <c:v>0.77170348712471282</c:v>
                </c:pt>
                <c:pt idx="55">
                  <c:v>0.84546104105698361</c:v>
                </c:pt>
                <c:pt idx="56">
                  <c:v>0.75329173308453345</c:v>
                </c:pt>
                <c:pt idx="57">
                  <c:v>0.83723449033464103</c:v>
                </c:pt>
                <c:pt idx="58">
                  <c:v>1.038705241708771</c:v>
                </c:pt>
                <c:pt idx="59">
                  <c:v>0.83326707575628478</c:v>
                </c:pt>
                <c:pt idx="60">
                  <c:v>0.97714487510792902</c:v>
                </c:pt>
                <c:pt idx="61">
                  <c:v>0.93991726033346112</c:v>
                </c:pt>
                <c:pt idx="62">
                  <c:v>0.8314293202728863</c:v>
                </c:pt>
                <c:pt idx="63">
                  <c:v>0.77805107456374178</c:v>
                </c:pt>
                <c:pt idx="64">
                  <c:v>0.59005563427075769</c:v>
                </c:pt>
                <c:pt idx="65">
                  <c:v>0.69439585691141426</c:v>
                </c:pt>
                <c:pt idx="66">
                  <c:v>0.61762838453946423</c:v>
                </c:pt>
                <c:pt idx="67">
                  <c:v>0.64934714792296455</c:v>
                </c:pt>
                <c:pt idx="68">
                  <c:v>0.61574801135475132</c:v>
                </c:pt>
                <c:pt idx="69">
                  <c:v>0.78000735067931948</c:v>
                </c:pt>
                <c:pt idx="70">
                  <c:v>0.94047799551015088</c:v>
                </c:pt>
                <c:pt idx="71">
                  <c:v>1.0870067185479459</c:v>
                </c:pt>
                <c:pt idx="72">
                  <c:v>1.1494003648079021</c:v>
                </c:pt>
                <c:pt idx="73">
                  <c:v>0.90662384271333907</c:v>
                </c:pt>
                <c:pt idx="74">
                  <c:v>0.60374116471580297</c:v>
                </c:pt>
                <c:pt idx="75">
                  <c:v>0.55174367988103734</c:v>
                </c:pt>
                <c:pt idx="76">
                  <c:v>0.54405946330729504</c:v>
                </c:pt>
                <c:pt idx="77">
                  <c:v>0.4307606652121766</c:v>
                </c:pt>
                <c:pt idx="78">
                  <c:v>0.74746341861966192</c:v>
                </c:pt>
                <c:pt idx="79">
                  <c:v>0.57178942343359873</c:v>
                </c:pt>
                <c:pt idx="80">
                  <c:v>0.63573160083367797</c:v>
                </c:pt>
                <c:pt idx="81">
                  <c:v>0.95480840081563045</c:v>
                </c:pt>
                <c:pt idx="82">
                  <c:v>0.98927251294969987</c:v>
                </c:pt>
                <c:pt idx="83">
                  <c:v>0.97014796253594149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2DA-8C46-A3E0-0DD152F777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CPR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Solar Penetration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Inputs'!$F$1</c:f>
              <c:strCache>
                <c:ptCount val="1"/>
                <c:pt idx="0">
                  <c:v>DK1 Solar Penetration (%) — Primary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'Capture Price Inputs'!$F$2:$F$85</c:f>
              <c:numCache>
                <c:formatCode>General</c:formatCode>
                <c:ptCount val="84"/>
                <c:pt idx="12">
                  <c:v>2.2644478926294831E-3</c:v>
                </c:pt>
                <c:pt idx="13">
                  <c:v>5.2474520244822449E-3</c:v>
                </c:pt>
                <c:pt idx="14">
                  <c:v>2.020167759412729E-2</c:v>
                </c:pt>
                <c:pt idx="15">
                  <c:v>3.2427989612304697E-2</c:v>
                </c:pt>
                <c:pt idx="16">
                  <c:v>3.6080087237903569E-2</c:v>
                </c:pt>
                <c:pt idx="17">
                  <c:v>3.7413618831640891E-2</c:v>
                </c:pt>
                <c:pt idx="18">
                  <c:v>3.3998433859503921E-2</c:v>
                </c:pt>
                <c:pt idx="19">
                  <c:v>3.4224763142537661E-2</c:v>
                </c:pt>
                <c:pt idx="20">
                  <c:v>2.4330151939157239E-2</c:v>
                </c:pt>
                <c:pt idx="21">
                  <c:v>1.1490387549446779E-2</c:v>
                </c:pt>
                <c:pt idx="22">
                  <c:v>1.521101274151999E-4</c:v>
                </c:pt>
                <c:pt idx="23">
                  <c:v>1.472410662127807E-5</c:v>
                </c:pt>
                <c:pt idx="24">
                  <c:v>3.6313559990350909E-3</c:v>
                </c:pt>
                <c:pt idx="25">
                  <c:v>1.0868941718057299E-2</c:v>
                </c:pt>
                <c:pt idx="26">
                  <c:v>2.2382303907371628E-2</c:v>
                </c:pt>
                <c:pt idx="27">
                  <c:v>4.212837115783985E-2</c:v>
                </c:pt>
                <c:pt idx="28">
                  <c:v>3.3075052211960353E-2</c:v>
                </c:pt>
                <c:pt idx="29">
                  <c:v>4.9841661821819518E-2</c:v>
                </c:pt>
                <c:pt idx="30">
                  <c:v>4.85715434854639E-2</c:v>
                </c:pt>
                <c:pt idx="31">
                  <c:v>3.8876947944708702E-2</c:v>
                </c:pt>
                <c:pt idx="32">
                  <c:v>2.5932850179436289E-2</c:v>
                </c:pt>
                <c:pt idx="33">
                  <c:v>1.7460096431489061E-2</c:v>
                </c:pt>
                <c:pt idx="34">
                  <c:v>7.0293060058135041E-3</c:v>
                </c:pt>
                <c:pt idx="35">
                  <c:v>3.243365391886713E-3</c:v>
                </c:pt>
                <c:pt idx="36">
                  <c:v>6.6753155472480874E-3</c:v>
                </c:pt>
                <c:pt idx="37">
                  <c:v>1.7399571233002901E-2</c:v>
                </c:pt>
                <c:pt idx="38">
                  <c:v>6.1955070586442867E-2</c:v>
                </c:pt>
                <c:pt idx="39">
                  <c:v>8.404056603836467E-2</c:v>
                </c:pt>
                <c:pt idx="40">
                  <c:v>9.6876891420316108E-2</c:v>
                </c:pt>
                <c:pt idx="41">
                  <c:v>9.4962020744311482E-2</c:v>
                </c:pt>
                <c:pt idx="42">
                  <c:v>9.963556652585577E-2</c:v>
                </c:pt>
                <c:pt idx="43">
                  <c:v>8.9626978325266782E-2</c:v>
                </c:pt>
                <c:pt idx="44">
                  <c:v>6.6046498591704736E-2</c:v>
                </c:pt>
                <c:pt idx="45">
                  <c:v>3.7469414477654707E-2</c:v>
                </c:pt>
                <c:pt idx="46">
                  <c:v>1.046932675470221E-2</c:v>
                </c:pt>
                <c:pt idx="47">
                  <c:v>6.2291646451968653E-3</c:v>
                </c:pt>
                <c:pt idx="48">
                  <c:v>1.2460694276862919E-2</c:v>
                </c:pt>
                <c:pt idx="49">
                  <c:v>3.4376404191763639E-2</c:v>
                </c:pt>
                <c:pt idx="50">
                  <c:v>5.6477968577058592E-2</c:v>
                </c:pt>
                <c:pt idx="51">
                  <c:v>0.1509467292684683</c:v>
                </c:pt>
                <c:pt idx="52">
                  <c:v>0.18600333743842001</c:v>
                </c:pt>
                <c:pt idx="53">
                  <c:v>0.21892573712946101</c:v>
                </c:pt>
                <c:pt idx="54">
                  <c:v>0.18929524056345021</c:v>
                </c:pt>
                <c:pt idx="55">
                  <c:v>0.1493297980639493</c:v>
                </c:pt>
                <c:pt idx="56">
                  <c:v>0.13191654386548721</c:v>
                </c:pt>
                <c:pt idx="57">
                  <c:v>4.2864886456730103E-2</c:v>
                </c:pt>
                <c:pt idx="58">
                  <c:v>1.6003493537152379E-2</c:v>
                </c:pt>
                <c:pt idx="59">
                  <c:v>6.3905046726965339E-3</c:v>
                </c:pt>
                <c:pt idx="60">
                  <c:v>1.3417186050607519E-2</c:v>
                </c:pt>
                <c:pt idx="61">
                  <c:v>2.6436223837926501E-2</c:v>
                </c:pt>
                <c:pt idx="62">
                  <c:v>6.6233973400350477E-2</c:v>
                </c:pt>
                <c:pt idx="63">
                  <c:v>0.1084169878649764</c:v>
                </c:pt>
                <c:pt idx="64">
                  <c:v>0.18887031649880051</c:v>
                </c:pt>
                <c:pt idx="65">
                  <c:v>0.1715230569234828</c:v>
                </c:pt>
                <c:pt idx="66">
                  <c:v>0.1809062055635286</c:v>
                </c:pt>
                <c:pt idx="67">
                  <c:v>0.15512153111725799</c:v>
                </c:pt>
                <c:pt idx="68">
                  <c:v>0.1275567235314205</c:v>
                </c:pt>
                <c:pt idx="69">
                  <c:v>6.2873767847415107E-2</c:v>
                </c:pt>
                <c:pt idx="70">
                  <c:v>1.780902737610289E-2</c:v>
                </c:pt>
                <c:pt idx="71">
                  <c:v>6.7857975683456679E-3</c:v>
                </c:pt>
                <c:pt idx="72">
                  <c:v>1.366055484422285E-2</c:v>
                </c:pt>
                <c:pt idx="73">
                  <c:v>4.3419934817177687E-2</c:v>
                </c:pt>
                <c:pt idx="74">
                  <c:v>0.1120694547038418</c:v>
                </c:pt>
                <c:pt idx="75">
                  <c:v>0.14827548756052711</c:v>
                </c:pt>
                <c:pt idx="76">
                  <c:v>0.19244468175967161</c:v>
                </c:pt>
                <c:pt idx="77">
                  <c:v>0.18784829238523279</c:v>
                </c:pt>
                <c:pt idx="78">
                  <c:v>0.21828188848241209</c:v>
                </c:pt>
                <c:pt idx="79">
                  <c:v>0.19011684012808119</c:v>
                </c:pt>
                <c:pt idx="80">
                  <c:v>0.13816152724517919</c:v>
                </c:pt>
                <c:pt idx="81">
                  <c:v>6.9462071202051626E-2</c:v>
                </c:pt>
                <c:pt idx="82">
                  <c:v>2.6604970402147529E-2</c:v>
                </c:pt>
                <c:pt idx="83">
                  <c:v>1.40253486520015E-2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14-F74E-8273-E3D3DC375A52}"/>
            </c:ext>
          </c:extLst>
        </c:ser>
        <c:ser>
          <c:idx val="1"/>
          <c:order val="1"/>
          <c:tx>
            <c:strRef>
              <c:f>'Capture Price Inputs'!$G$1</c:f>
              <c:strCache>
                <c:ptCount val="1"/>
                <c:pt idx="0">
                  <c:v>DK2 Solar Penetration (%) — Robustness</c:v>
                </c:pt>
              </c:strCache>
            </c:strRef>
          </c:tx>
          <c:spPr>
            <a:ln>
              <a:solidFill>
                <a:srgbClr val="FFD700"/>
              </a:solidFill>
              <a:prstDash val="solid"/>
            </a:ln>
          </c:spPr>
          <c:marker>
            <c:symbol val="none"/>
          </c:marker>
          <c:val>
            <c:numRef>
              <c:f>'Capture Price Inputs'!$G$2:$G$85</c:f>
              <c:numCache>
                <c:formatCode>General</c:formatCode>
                <c:ptCount val="84"/>
                <c:pt idx="12">
                  <c:v>1.864323044087839E-3</c:v>
                </c:pt>
                <c:pt idx="13">
                  <c:v>4.9613393448072352E-3</c:v>
                </c:pt>
                <c:pt idx="14">
                  <c:v>1.532033335337761E-2</c:v>
                </c:pt>
                <c:pt idx="15">
                  <c:v>2.6180595134545931E-2</c:v>
                </c:pt>
                <c:pt idx="16">
                  <c:v>3.2240930774166239E-2</c:v>
                </c:pt>
                <c:pt idx="17">
                  <c:v>3.0651812088155841E-2</c:v>
                </c:pt>
                <c:pt idx="18">
                  <c:v>2.998206800974695E-2</c:v>
                </c:pt>
                <c:pt idx="19">
                  <c:v>2.8034713414307081E-2</c:v>
                </c:pt>
                <c:pt idx="20">
                  <c:v>2.1736479101595249E-2</c:v>
                </c:pt>
                <c:pt idx="21">
                  <c:v>1.107911770574695E-2</c:v>
                </c:pt>
                <c:pt idx="22">
                  <c:v>1.1044611578332841E-4</c:v>
                </c:pt>
                <c:pt idx="23">
                  <c:v>5.6352433584062588E-6</c:v>
                </c:pt>
                <c:pt idx="24">
                  <c:v>3.104474131982996E-3</c:v>
                </c:pt>
                <c:pt idx="25">
                  <c:v>9.2483369487723587E-3</c:v>
                </c:pt>
                <c:pt idx="26">
                  <c:v>1.8474517045212829E-2</c:v>
                </c:pt>
                <c:pt idx="27">
                  <c:v>3.2694407483312787E-2</c:v>
                </c:pt>
                <c:pt idx="28">
                  <c:v>3.2945829294540187E-2</c:v>
                </c:pt>
                <c:pt idx="29">
                  <c:v>4.4480133140056069E-2</c:v>
                </c:pt>
                <c:pt idx="30">
                  <c:v>3.7049542537302173E-2</c:v>
                </c:pt>
                <c:pt idx="31">
                  <c:v>3.1857768834261987E-2</c:v>
                </c:pt>
                <c:pt idx="32">
                  <c:v>2.23981137027396E-2</c:v>
                </c:pt>
                <c:pt idx="33">
                  <c:v>1.267326343754744E-2</c:v>
                </c:pt>
                <c:pt idx="34">
                  <c:v>4.0132810857910267E-3</c:v>
                </c:pt>
                <c:pt idx="35">
                  <c:v>1.8226295838260991E-3</c:v>
                </c:pt>
                <c:pt idx="36">
                  <c:v>4.939556742877535E-3</c:v>
                </c:pt>
                <c:pt idx="37">
                  <c:v>1.3248485586698279E-2</c:v>
                </c:pt>
                <c:pt idx="38">
                  <c:v>3.4089330349121053E-2</c:v>
                </c:pt>
                <c:pt idx="39">
                  <c:v>5.5254436099578648E-2</c:v>
                </c:pt>
                <c:pt idx="40">
                  <c:v>6.5811459960859395E-2</c:v>
                </c:pt>
                <c:pt idx="41">
                  <c:v>6.4528229045867816E-2</c:v>
                </c:pt>
                <c:pt idx="42">
                  <c:v>6.7025803801952916E-2</c:v>
                </c:pt>
                <c:pt idx="43">
                  <c:v>6.1299924397195817E-2</c:v>
                </c:pt>
                <c:pt idx="44">
                  <c:v>4.5784276103507021E-2</c:v>
                </c:pt>
                <c:pt idx="45">
                  <c:v>2.9809058027035401E-2</c:v>
                </c:pt>
                <c:pt idx="46">
                  <c:v>7.8652952619005494E-3</c:v>
                </c:pt>
                <c:pt idx="47">
                  <c:v>4.5323555529735481E-3</c:v>
                </c:pt>
                <c:pt idx="48">
                  <c:v>5.8626527231366082E-3</c:v>
                </c:pt>
                <c:pt idx="49">
                  <c:v>1.8877648418373551E-2</c:v>
                </c:pt>
                <c:pt idx="50">
                  <c:v>3.7096229392005707E-2</c:v>
                </c:pt>
                <c:pt idx="51">
                  <c:v>8.0269966033824955E-2</c:v>
                </c:pt>
                <c:pt idx="52">
                  <c:v>0.1080032082802261</c:v>
                </c:pt>
                <c:pt idx="53">
                  <c:v>0.1144244665352921</c:v>
                </c:pt>
                <c:pt idx="54">
                  <c:v>0.10203074507159759</c:v>
                </c:pt>
                <c:pt idx="55">
                  <c:v>7.7931010532967707E-2</c:v>
                </c:pt>
                <c:pt idx="56">
                  <c:v>8.0909954639318743E-2</c:v>
                </c:pt>
                <c:pt idx="57">
                  <c:v>2.9172340215594381E-2</c:v>
                </c:pt>
                <c:pt idx="58">
                  <c:v>1.04098691216888E-2</c:v>
                </c:pt>
                <c:pt idx="59">
                  <c:v>3.809030164374855E-3</c:v>
                </c:pt>
                <c:pt idx="60">
                  <c:v>6.1781830729755079E-3</c:v>
                </c:pt>
                <c:pt idx="61">
                  <c:v>1.667231366864759E-2</c:v>
                </c:pt>
                <c:pt idx="62">
                  <c:v>4.1112806367337662E-2</c:v>
                </c:pt>
                <c:pt idx="63">
                  <c:v>6.5123378744806448E-2</c:v>
                </c:pt>
                <c:pt idx="64">
                  <c:v>0.106315341440858</c:v>
                </c:pt>
                <c:pt idx="65">
                  <c:v>0.1072729076610999</c:v>
                </c:pt>
                <c:pt idx="66">
                  <c:v>0.1057942634887733</c:v>
                </c:pt>
                <c:pt idx="67">
                  <c:v>9.3690832268705199E-2</c:v>
                </c:pt>
                <c:pt idx="68">
                  <c:v>7.2463202820400169E-2</c:v>
                </c:pt>
                <c:pt idx="69">
                  <c:v>3.6145253892379881E-2</c:v>
                </c:pt>
                <c:pt idx="70">
                  <c:v>8.6028414054236078E-3</c:v>
                </c:pt>
                <c:pt idx="71">
                  <c:v>4.1714684657767577E-3</c:v>
                </c:pt>
                <c:pt idx="72">
                  <c:v>7.223240212576967E-3</c:v>
                </c:pt>
                <c:pt idx="73">
                  <c:v>2.010831138567791E-2</c:v>
                </c:pt>
                <c:pt idx="74">
                  <c:v>4.6547866447452589E-2</c:v>
                </c:pt>
                <c:pt idx="75">
                  <c:v>7.1689783649061992E-2</c:v>
                </c:pt>
                <c:pt idx="76">
                  <c:v>9.4714127256233946E-2</c:v>
                </c:pt>
                <c:pt idx="77">
                  <c:v>9.9826250015510765E-2</c:v>
                </c:pt>
                <c:pt idx="78">
                  <c:v>9.3996419418699143E-2</c:v>
                </c:pt>
                <c:pt idx="79">
                  <c:v>0.1057378118957395</c:v>
                </c:pt>
                <c:pt idx="80">
                  <c:v>9.0628879686523764E-2</c:v>
                </c:pt>
                <c:pt idx="81">
                  <c:v>3.9573125678626628E-2</c:v>
                </c:pt>
                <c:pt idx="82">
                  <c:v>1.454364344794783E-2</c:v>
                </c:pt>
                <c:pt idx="83">
                  <c:v>9.0694911608833299E-3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14-F74E-8273-E3D3DC375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Solar Penetration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Capture Price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Inputs'!$H$1</c:f>
              <c:strCache>
                <c:ptCount val="1"/>
                <c:pt idx="0">
                  <c:v>DK1 Capture Price (EUR/MWh)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Inputs'!$H$2:$H$85</c:f>
              <c:numCache>
                <c:formatCode>General</c:formatCode>
                <c:ptCount val="84"/>
                <c:pt idx="12">
                  <c:v>25.22320957280251</c:v>
                </c:pt>
                <c:pt idx="13">
                  <c:v>22.83581899109792</c:v>
                </c:pt>
                <c:pt idx="14">
                  <c:v>15.94107348554973</c:v>
                </c:pt>
                <c:pt idx="15">
                  <c:v>10.36487590420421</c:v>
                </c:pt>
                <c:pt idx="16">
                  <c:v>15.478548945086001</c:v>
                </c:pt>
                <c:pt idx="17">
                  <c:v>27.313308227868689</c:v>
                </c:pt>
                <c:pt idx="18">
                  <c:v>24.831745178109159</c:v>
                </c:pt>
                <c:pt idx="19">
                  <c:v>33.876915422047851</c:v>
                </c:pt>
                <c:pt idx="20">
                  <c:v>38.935979003379593</c:v>
                </c:pt>
                <c:pt idx="21">
                  <c:v>31.927741533059191</c:v>
                </c:pt>
                <c:pt idx="22">
                  <c:v>26.005993265993261</c:v>
                </c:pt>
                <c:pt idx="23">
                  <c:v>34.795161290322582</c:v>
                </c:pt>
                <c:pt idx="24">
                  <c:v>55.422967607277918</c:v>
                </c:pt>
                <c:pt idx="25">
                  <c:v>47.542610979142587</c:v>
                </c:pt>
                <c:pt idx="26">
                  <c:v>44.550700915805493</c:v>
                </c:pt>
                <c:pt idx="27">
                  <c:v>43.594739828473003</c:v>
                </c:pt>
                <c:pt idx="28">
                  <c:v>47.655870575001217</c:v>
                </c:pt>
                <c:pt idx="29">
                  <c:v>70.543547911111062</c:v>
                </c:pt>
                <c:pt idx="30">
                  <c:v>78.568319747758608</c:v>
                </c:pt>
                <c:pt idx="31">
                  <c:v>81.983351136401794</c:v>
                </c:pt>
                <c:pt idx="32">
                  <c:v>116.20022495544841</c:v>
                </c:pt>
                <c:pt idx="33">
                  <c:v>126.53039520323949</c:v>
                </c:pt>
                <c:pt idx="34">
                  <c:v>160.77058330102949</c:v>
                </c:pt>
                <c:pt idx="35">
                  <c:v>228.8621705579358</c:v>
                </c:pt>
                <c:pt idx="36">
                  <c:v>123.20125067917191</c:v>
                </c:pt>
                <c:pt idx="37">
                  <c:v>117.67077903546</c:v>
                </c:pt>
                <c:pt idx="38">
                  <c:v>191.50807173506701</c:v>
                </c:pt>
                <c:pt idx="39">
                  <c:v>145.70138715926041</c:v>
                </c:pt>
                <c:pt idx="40">
                  <c:v>149.4185612445558</c:v>
                </c:pt>
                <c:pt idx="41">
                  <c:v>194.71103409481981</c:v>
                </c:pt>
                <c:pt idx="42">
                  <c:v>239.3981525107354</c:v>
                </c:pt>
                <c:pt idx="43">
                  <c:v>419.79263722660602</c:v>
                </c:pt>
                <c:pt idx="44">
                  <c:v>310.70739927266709</c:v>
                </c:pt>
                <c:pt idx="45">
                  <c:v>125.6295598680838</c:v>
                </c:pt>
                <c:pt idx="46">
                  <c:v>131.7111886265582</c:v>
                </c:pt>
                <c:pt idx="47">
                  <c:v>282.82379374207261</c:v>
                </c:pt>
                <c:pt idx="48">
                  <c:v>138.52998868426329</c:v>
                </c:pt>
                <c:pt idx="49">
                  <c:v>109.87697572135031</c:v>
                </c:pt>
                <c:pt idx="50">
                  <c:v>93.774190940695377</c:v>
                </c:pt>
                <c:pt idx="51">
                  <c:v>76.25042822265543</c:v>
                </c:pt>
                <c:pt idx="52">
                  <c:v>50.543487760082613</c:v>
                </c:pt>
                <c:pt idx="53">
                  <c:v>74.888982776218057</c:v>
                </c:pt>
                <c:pt idx="54">
                  <c:v>52.095599438463452</c:v>
                </c:pt>
                <c:pt idx="55">
                  <c:v>74.180426039978187</c:v>
                </c:pt>
                <c:pt idx="56">
                  <c:v>68.116869623396937</c:v>
                </c:pt>
                <c:pt idx="57">
                  <c:v>50.539090519702853</c:v>
                </c:pt>
                <c:pt idx="58">
                  <c:v>90.680805562425178</c:v>
                </c:pt>
                <c:pt idx="59">
                  <c:v>63.455327688788032</c:v>
                </c:pt>
                <c:pt idx="60">
                  <c:v>78.571316441678306</c:v>
                </c:pt>
                <c:pt idx="61">
                  <c:v>59.479486768055089</c:v>
                </c:pt>
                <c:pt idx="62">
                  <c:v>51.269783241554933</c:v>
                </c:pt>
                <c:pt idx="63">
                  <c:v>49.383940562011212</c:v>
                </c:pt>
                <c:pt idx="64">
                  <c:v>35.894148271408874</c:v>
                </c:pt>
                <c:pt idx="65">
                  <c:v>47.037633727397647</c:v>
                </c:pt>
                <c:pt idx="66">
                  <c:v>42.521773223099522</c:v>
                </c:pt>
                <c:pt idx="67">
                  <c:v>52.17121747504909</c:v>
                </c:pt>
                <c:pt idx="68">
                  <c:v>45.647504626217007</c:v>
                </c:pt>
                <c:pt idx="69">
                  <c:v>58.441583787091993</c:v>
                </c:pt>
                <c:pt idx="70">
                  <c:v>97.582352616331917</c:v>
                </c:pt>
                <c:pt idx="71">
                  <c:v>92.073217693833982</c:v>
                </c:pt>
                <c:pt idx="72">
                  <c:v>111.1945655985155</c:v>
                </c:pt>
                <c:pt idx="73">
                  <c:v>105.41315973788279</c:v>
                </c:pt>
                <c:pt idx="74">
                  <c:v>57.84566339627056</c:v>
                </c:pt>
                <c:pt idx="75">
                  <c:v>45.844395770687349</c:v>
                </c:pt>
                <c:pt idx="76">
                  <c:v>40.065667394009381</c:v>
                </c:pt>
                <c:pt idx="77">
                  <c:v>33.493381965196598</c:v>
                </c:pt>
                <c:pt idx="78">
                  <c:v>61.32224821093979</c:v>
                </c:pt>
                <c:pt idx="79">
                  <c:v>47.755824567457559</c:v>
                </c:pt>
                <c:pt idx="80">
                  <c:v>49.429094996057238</c:v>
                </c:pt>
                <c:pt idx="81">
                  <c:v>74.266634537895257</c:v>
                </c:pt>
                <c:pt idx="82">
                  <c:v>95.564531802521344</c:v>
                </c:pt>
                <c:pt idx="83">
                  <c:v>80.958034242780258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F5-534E-A8A2-AD5A825877A0}"/>
            </c:ext>
          </c:extLst>
        </c:ser>
        <c:ser>
          <c:idx val="1"/>
          <c:order val="1"/>
          <c:tx>
            <c:strRef>
              <c:f>'Capture Price Inputs'!$I$1</c:f>
              <c:strCache>
                <c:ptCount val="1"/>
                <c:pt idx="0">
                  <c:v>DK2 Capture Price (EUR/MWh)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'Capture Price Inputs'!$I$2:$I$85</c:f>
              <c:numCache>
                <c:formatCode>General</c:formatCode>
                <c:ptCount val="84"/>
                <c:pt idx="12">
                  <c:v>29.86213642213642</c:v>
                </c:pt>
                <c:pt idx="13">
                  <c:v>23.555517829721889</c:v>
                </c:pt>
                <c:pt idx="14">
                  <c:v>17.149050692261021</c:v>
                </c:pt>
                <c:pt idx="15">
                  <c:v>13.252523128367081</c:v>
                </c:pt>
                <c:pt idx="16">
                  <c:v>18.594049382716051</c:v>
                </c:pt>
                <c:pt idx="17">
                  <c:v>35.21078005032583</c:v>
                </c:pt>
                <c:pt idx="18">
                  <c:v>26.450778046867001</c:v>
                </c:pt>
                <c:pt idx="19">
                  <c:v>44.113765015404859</c:v>
                </c:pt>
                <c:pt idx="20">
                  <c:v>41.853047880870562</c:v>
                </c:pt>
                <c:pt idx="21">
                  <c:v>33.600878372903331</c:v>
                </c:pt>
                <c:pt idx="22">
                  <c:v>37.749765625000002</c:v>
                </c:pt>
                <c:pt idx="23">
                  <c:v>44.191428571428567</c:v>
                </c:pt>
                <c:pt idx="24">
                  <c:v>57.072134410081453</c:v>
                </c:pt>
                <c:pt idx="25">
                  <c:v>52.285083654524577</c:v>
                </c:pt>
                <c:pt idx="26">
                  <c:v>47.422643011897812</c:v>
                </c:pt>
                <c:pt idx="27">
                  <c:v>45.901363748248833</c:v>
                </c:pt>
                <c:pt idx="28">
                  <c:v>50.258720231460799</c:v>
                </c:pt>
                <c:pt idx="29">
                  <c:v>69.469341653776226</c:v>
                </c:pt>
                <c:pt idx="30">
                  <c:v>77.933111551394319</c:v>
                </c:pt>
                <c:pt idx="31">
                  <c:v>84.512747690257029</c:v>
                </c:pt>
                <c:pt idx="32">
                  <c:v>118.7457227855615</c:v>
                </c:pt>
                <c:pt idx="33">
                  <c:v>122.3841235967906</c:v>
                </c:pt>
                <c:pt idx="34">
                  <c:v>153.62679427815749</c:v>
                </c:pt>
                <c:pt idx="35">
                  <c:v>244.48727859764409</c:v>
                </c:pt>
                <c:pt idx="36">
                  <c:v>129.67749023150819</c:v>
                </c:pt>
                <c:pt idx="37">
                  <c:v>108.80333899256409</c:v>
                </c:pt>
                <c:pt idx="38">
                  <c:v>186.0504424586062</c:v>
                </c:pt>
                <c:pt idx="39">
                  <c:v>143.53758886421849</c:v>
                </c:pt>
                <c:pt idx="40">
                  <c:v>146.25360234460331</c:v>
                </c:pt>
                <c:pt idx="41">
                  <c:v>192.2325905808319</c:v>
                </c:pt>
                <c:pt idx="42">
                  <c:v>212.3625858003895</c:v>
                </c:pt>
                <c:pt idx="43">
                  <c:v>397.17988485976059</c:v>
                </c:pt>
                <c:pt idx="44">
                  <c:v>315.92884279677901</c:v>
                </c:pt>
                <c:pt idx="45">
                  <c:v>120.1190076327392</c:v>
                </c:pt>
                <c:pt idx="46">
                  <c:v>134.0399027878758</c:v>
                </c:pt>
                <c:pt idx="47">
                  <c:v>303.26978481668573</c:v>
                </c:pt>
                <c:pt idx="48">
                  <c:v>120.8992864784306</c:v>
                </c:pt>
                <c:pt idx="49">
                  <c:v>103.112625406295</c:v>
                </c:pt>
                <c:pt idx="50">
                  <c:v>89.098468921641697</c:v>
                </c:pt>
                <c:pt idx="51">
                  <c:v>71.125099705594195</c:v>
                </c:pt>
                <c:pt idx="52">
                  <c:v>48.358083796456327</c:v>
                </c:pt>
                <c:pt idx="53">
                  <c:v>71.862090372222397</c:v>
                </c:pt>
                <c:pt idx="54">
                  <c:v>50.345966617092351</c:v>
                </c:pt>
                <c:pt idx="55">
                  <c:v>72.957992347987414</c:v>
                </c:pt>
                <c:pt idx="56">
                  <c:v>64.394484672464898</c:v>
                </c:pt>
                <c:pt idx="57">
                  <c:v>47.660255094286853</c:v>
                </c:pt>
                <c:pt idx="58">
                  <c:v>84.639978605265995</c:v>
                </c:pt>
                <c:pt idx="59">
                  <c:v>59.061746333079718</c:v>
                </c:pt>
                <c:pt idx="60">
                  <c:v>76.427202535219209</c:v>
                </c:pt>
                <c:pt idx="61">
                  <c:v>51.434379196547752</c:v>
                </c:pt>
                <c:pt idx="62">
                  <c:v>50.751163813053438</c:v>
                </c:pt>
                <c:pt idx="63">
                  <c:v>47.053967904827999</c:v>
                </c:pt>
                <c:pt idx="64">
                  <c:v>34.295794113692892</c:v>
                </c:pt>
                <c:pt idx="65">
                  <c:v>46.379384034583367</c:v>
                </c:pt>
                <c:pt idx="66">
                  <c:v>38.812821969471173</c:v>
                </c:pt>
                <c:pt idx="67">
                  <c:v>47.151863118292532</c:v>
                </c:pt>
                <c:pt idx="68">
                  <c:v>43.355946350842189</c:v>
                </c:pt>
                <c:pt idx="69">
                  <c:v>59.534937630286556</c:v>
                </c:pt>
                <c:pt idx="70">
                  <c:v>89.611277477917284</c:v>
                </c:pt>
                <c:pt idx="71">
                  <c:v>100.7961313991171</c:v>
                </c:pt>
                <c:pt idx="72">
                  <c:v>115.0822593270056</c:v>
                </c:pt>
                <c:pt idx="73">
                  <c:v>106.92318207316821</c:v>
                </c:pt>
                <c:pt idx="74">
                  <c:v>50.018062961268747</c:v>
                </c:pt>
                <c:pt idx="75">
                  <c:v>41.82584156307518</c:v>
                </c:pt>
                <c:pt idx="76">
                  <c:v>34.320660344591218</c:v>
                </c:pt>
                <c:pt idx="77">
                  <c:v>24.31568572006325</c:v>
                </c:pt>
                <c:pt idx="78">
                  <c:v>59.766943882147693</c:v>
                </c:pt>
                <c:pt idx="79">
                  <c:v>43.064604783544858</c:v>
                </c:pt>
                <c:pt idx="80">
                  <c:v>52.949405153808357</c:v>
                </c:pt>
                <c:pt idx="81">
                  <c:v>78.645730322406678</c:v>
                </c:pt>
                <c:pt idx="82">
                  <c:v>92.690454871532665</c:v>
                </c:pt>
                <c:pt idx="83">
                  <c:v>79.631228022083661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F5-534E-A8A2-AD5A825877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Capture Price Ratio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Inputs'!$J$1</c:f>
              <c:strCache>
                <c:ptCount val="1"/>
                <c:pt idx="0">
                  <c:v>DK1 CPR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Inputs'!$J$2:$J$85</c:f>
              <c:numCache>
                <c:formatCode>General</c:formatCode>
                <c:ptCount val="84"/>
                <c:pt idx="12">
                  <c:v>1.0091486594474419</c:v>
                </c:pt>
                <c:pt idx="13">
                  <c:v>1.2985911686950511</c:v>
                </c:pt>
                <c:pt idx="14">
                  <c:v>0.8710146939215303</c:v>
                </c:pt>
                <c:pt idx="15">
                  <c:v>0.71315772558819213</c:v>
                </c:pt>
                <c:pt idx="16">
                  <c:v>0.96415576931205649</c:v>
                </c:pt>
                <c:pt idx="17">
                  <c:v>1.0394664137310941</c:v>
                </c:pt>
                <c:pt idx="18">
                  <c:v>1.0086181556608309</c:v>
                </c:pt>
                <c:pt idx="19">
                  <c:v>0.98082264407500741</c:v>
                </c:pt>
                <c:pt idx="20">
                  <c:v>1.0104044869130051</c:v>
                </c:pt>
                <c:pt idx="21">
                  <c:v>1.236802226812374</c:v>
                </c:pt>
                <c:pt idx="22">
                  <c:v>1.094777917215692</c:v>
                </c:pt>
                <c:pt idx="23">
                  <c:v>1.0082301641826621</c:v>
                </c:pt>
                <c:pt idx="24">
                  <c:v>1.103930861568265</c:v>
                </c:pt>
                <c:pt idx="25">
                  <c:v>1.0059479277054251</c:v>
                </c:pt>
                <c:pt idx="26">
                  <c:v>0.9871758725122356</c:v>
                </c:pt>
                <c:pt idx="27">
                  <c:v>0.90884647456650169</c:v>
                </c:pt>
                <c:pt idx="28">
                  <c:v>0.87751805187154364</c:v>
                </c:pt>
                <c:pt idx="29">
                  <c:v>0.95691427953473174</c:v>
                </c:pt>
                <c:pt idx="30">
                  <c:v>0.98211323715969778</c:v>
                </c:pt>
                <c:pt idx="31">
                  <c:v>0.99027147802450566</c:v>
                </c:pt>
                <c:pt idx="32">
                  <c:v>0.92690440483613579</c:v>
                </c:pt>
                <c:pt idx="33">
                  <c:v>1.0810885074134391</c:v>
                </c:pt>
                <c:pt idx="34">
                  <c:v>1.1338034085044659</c:v>
                </c:pt>
                <c:pt idx="35">
                  <c:v>1.2086769624549281</c:v>
                </c:pt>
                <c:pt idx="36">
                  <c:v>1.0441257304277269</c:v>
                </c:pt>
                <c:pt idx="37">
                  <c:v>1.04022281700981</c:v>
                </c:pt>
                <c:pt idx="38">
                  <c:v>0.81207759044207406</c:v>
                </c:pt>
                <c:pt idx="39">
                  <c:v>0.89039133384678326</c:v>
                </c:pt>
                <c:pt idx="40">
                  <c:v>0.86943016050498578</c:v>
                </c:pt>
                <c:pt idx="41">
                  <c:v>0.90803902012341908</c:v>
                </c:pt>
                <c:pt idx="42">
                  <c:v>0.87041791592949547</c:v>
                </c:pt>
                <c:pt idx="43">
                  <c:v>0.91908553046700026</c:v>
                </c:pt>
                <c:pt idx="44">
                  <c:v>0.90632901805683119</c:v>
                </c:pt>
                <c:pt idx="45">
                  <c:v>0.91612325253961768</c:v>
                </c:pt>
                <c:pt idx="46">
                  <c:v>0.94278612074660006</c:v>
                </c:pt>
                <c:pt idx="47">
                  <c:v>1.132810339248927</c:v>
                </c:pt>
                <c:pt idx="48">
                  <c:v>1.2309198691226539</c:v>
                </c:pt>
                <c:pt idx="49">
                  <c:v>0.93008781340266</c:v>
                </c:pt>
                <c:pt idx="50">
                  <c:v>0.94612539759598957</c:v>
                </c:pt>
                <c:pt idx="51">
                  <c:v>0.79203966120386338</c:v>
                </c:pt>
                <c:pt idx="52">
                  <c:v>0.68333610561519953</c:v>
                </c:pt>
                <c:pt idx="53">
                  <c:v>0.80965062086215667</c:v>
                </c:pt>
                <c:pt idx="54">
                  <c:v>0.80380421953260928</c:v>
                </c:pt>
                <c:pt idx="55">
                  <c:v>0.86289309777204071</c:v>
                </c:pt>
                <c:pt idx="56">
                  <c:v>0.8038389922187259</c:v>
                </c:pt>
                <c:pt idx="57">
                  <c:v>0.84083605560542263</c:v>
                </c:pt>
                <c:pt idx="58">
                  <c:v>1.028656893611996</c:v>
                </c:pt>
                <c:pt idx="59">
                  <c:v>0.91325607762876626</c:v>
                </c:pt>
                <c:pt idx="60">
                  <c:v>1.051614630458469</c:v>
                </c:pt>
                <c:pt idx="61">
                  <c:v>1.0144208291794441</c:v>
                </c:pt>
                <c:pt idx="62">
                  <c:v>0.8373818542217274</c:v>
                </c:pt>
                <c:pt idx="63">
                  <c:v>0.83468460161643787</c:v>
                </c:pt>
                <c:pt idx="64">
                  <c:v>0.61339845366508694</c:v>
                </c:pt>
                <c:pt idx="65">
                  <c:v>0.73781003223868646</c:v>
                </c:pt>
                <c:pt idx="66">
                  <c:v>0.68549949487061801</c:v>
                </c:pt>
                <c:pt idx="67">
                  <c:v>0.71512676219349525</c:v>
                </c:pt>
                <c:pt idx="68">
                  <c:v>0.63652522303957304</c:v>
                </c:pt>
                <c:pt idx="69">
                  <c:v>0.76175188075929667</c:v>
                </c:pt>
                <c:pt idx="70">
                  <c:v>1.0174940038611719</c:v>
                </c:pt>
                <c:pt idx="71">
                  <c:v>1.0025674160411211</c:v>
                </c:pt>
                <c:pt idx="72">
                  <c:v>1.135032584901597</c:v>
                </c:pt>
                <c:pt idx="73">
                  <c:v>0.93411665141872979</c:v>
                </c:pt>
                <c:pt idx="74">
                  <c:v>0.68579081688022481</c:v>
                </c:pt>
                <c:pt idx="75">
                  <c:v>0.60995353561832499</c:v>
                </c:pt>
                <c:pt idx="76">
                  <c:v>0.62375117423189408</c:v>
                </c:pt>
                <c:pt idx="77">
                  <c:v>0.56976432128633303</c:v>
                </c:pt>
                <c:pt idx="78">
                  <c:v>0.74058967108380014</c:v>
                </c:pt>
                <c:pt idx="79">
                  <c:v>0.64997112344594554</c:v>
                </c:pt>
                <c:pt idx="80">
                  <c:v>0.68273474898658593</c:v>
                </c:pt>
                <c:pt idx="81">
                  <c:v>0.94701517193480578</c:v>
                </c:pt>
                <c:pt idx="82">
                  <c:v>1.0289764309560969</c:v>
                </c:pt>
                <c:pt idx="83">
                  <c:v>0.98205388617926037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91C-7C44-B49D-926226C7690A}"/>
            </c:ext>
          </c:extLst>
        </c:ser>
        <c:ser>
          <c:idx val="1"/>
          <c:order val="1"/>
          <c:tx>
            <c:strRef>
              <c:f>'Capture Price Inputs'!$K$1</c:f>
              <c:strCache>
                <c:ptCount val="1"/>
                <c:pt idx="0">
                  <c:v>DK2 CPR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'Capture Price Inputs'!$K$2:$K$85</c:f>
              <c:numCache>
                <c:formatCode>General</c:formatCode>
                <c:ptCount val="84"/>
                <c:pt idx="12">
                  <c:v>1.090446324793763</c:v>
                </c:pt>
                <c:pt idx="13">
                  <c:v>1.251821301318464</c:v>
                </c:pt>
                <c:pt idx="14">
                  <c:v>0.85520775851277109</c:v>
                </c:pt>
                <c:pt idx="15">
                  <c:v>0.76362023547871605</c:v>
                </c:pt>
                <c:pt idx="16">
                  <c:v>0.97636938233545278</c:v>
                </c:pt>
                <c:pt idx="17">
                  <c:v>1.180647007173951</c:v>
                </c:pt>
                <c:pt idx="18">
                  <c:v>1.021791049952987</c:v>
                </c:pt>
                <c:pt idx="19">
                  <c:v>1.077948442472481</c:v>
                </c:pt>
                <c:pt idx="20">
                  <c:v>1.0591890923358069</c:v>
                </c:pt>
                <c:pt idx="21">
                  <c:v>1.247549053102559</c:v>
                </c:pt>
                <c:pt idx="22">
                  <c:v>1.057080411727209</c:v>
                </c:pt>
                <c:pt idx="23">
                  <c:v>1.125691191699302</c:v>
                </c:pt>
                <c:pt idx="24">
                  <c:v>1.122164979814525</c:v>
                </c:pt>
                <c:pt idx="25">
                  <c:v>0.9585139857498034</c:v>
                </c:pt>
                <c:pt idx="26">
                  <c:v>1.0147741726503949</c:v>
                </c:pt>
                <c:pt idx="27">
                  <c:v>0.95901643664766134</c:v>
                </c:pt>
                <c:pt idx="28">
                  <c:v>0.91033887361171206</c:v>
                </c:pt>
                <c:pt idx="29">
                  <c:v>0.94404491874816343</c:v>
                </c:pt>
                <c:pt idx="30">
                  <c:v>0.95692856904650769</c:v>
                </c:pt>
                <c:pt idx="31">
                  <c:v>1.001768528067071</c:v>
                </c:pt>
                <c:pt idx="32">
                  <c:v>0.95838336990944806</c:v>
                </c:pt>
                <c:pt idx="33">
                  <c:v>1.1445012658471321</c:v>
                </c:pt>
                <c:pt idx="34">
                  <c:v>1.1264608571418011</c:v>
                </c:pt>
                <c:pt idx="35">
                  <c:v>1.279578427053047</c:v>
                </c:pt>
                <c:pt idx="36">
                  <c:v>1.1617546523412821</c:v>
                </c:pt>
                <c:pt idx="37">
                  <c:v>1.084871924613185</c:v>
                </c:pt>
                <c:pt idx="38">
                  <c:v>0.81629582758371144</c:v>
                </c:pt>
                <c:pt idx="39">
                  <c:v>0.93918048773921026</c:v>
                </c:pt>
                <c:pt idx="40">
                  <c:v>0.89914563143311954</c:v>
                </c:pt>
                <c:pt idx="41">
                  <c:v>0.90151367457475784</c:v>
                </c:pt>
                <c:pt idx="42">
                  <c:v>0.90956244496775596</c:v>
                </c:pt>
                <c:pt idx="43">
                  <c:v>0.8830756108422062</c:v>
                </c:pt>
                <c:pt idx="44">
                  <c:v>0.96085369829588263</c:v>
                </c:pt>
                <c:pt idx="45">
                  <c:v>0.87743541957368609</c:v>
                </c:pt>
                <c:pt idx="46">
                  <c:v>0.92404474391789948</c:v>
                </c:pt>
                <c:pt idx="47">
                  <c:v>1.2185280560697289</c:v>
                </c:pt>
                <c:pt idx="48">
                  <c:v>1.2118663236304299</c:v>
                </c:pt>
                <c:pt idx="49">
                  <c:v>1.0244781228159621</c:v>
                </c:pt>
                <c:pt idx="50">
                  <c:v>0.99223631219701203</c:v>
                </c:pt>
                <c:pt idx="51">
                  <c:v>0.85025873478203906</c:v>
                </c:pt>
                <c:pt idx="52">
                  <c:v>0.73101748270540212</c:v>
                </c:pt>
                <c:pt idx="53">
                  <c:v>0.78603819917365525</c:v>
                </c:pt>
                <c:pt idx="54">
                  <c:v>0.77170348712471282</c:v>
                </c:pt>
                <c:pt idx="55">
                  <c:v>0.84546104105698361</c:v>
                </c:pt>
                <c:pt idx="56">
                  <c:v>0.75329173308453345</c:v>
                </c:pt>
                <c:pt idx="57">
                  <c:v>0.83723449033464103</c:v>
                </c:pt>
                <c:pt idx="58">
                  <c:v>1.038705241708771</c:v>
                </c:pt>
                <c:pt idx="59">
                  <c:v>0.83326707575628478</c:v>
                </c:pt>
                <c:pt idx="60">
                  <c:v>0.97714487510792902</c:v>
                </c:pt>
                <c:pt idx="61">
                  <c:v>0.93991726033346112</c:v>
                </c:pt>
                <c:pt idx="62">
                  <c:v>0.8314293202728863</c:v>
                </c:pt>
                <c:pt idx="63">
                  <c:v>0.77805107456374178</c:v>
                </c:pt>
                <c:pt idx="64">
                  <c:v>0.59005563427075769</c:v>
                </c:pt>
                <c:pt idx="65">
                  <c:v>0.69439585691141426</c:v>
                </c:pt>
                <c:pt idx="66">
                  <c:v>0.61762838453946423</c:v>
                </c:pt>
                <c:pt idx="67">
                  <c:v>0.64934714792296455</c:v>
                </c:pt>
                <c:pt idx="68">
                  <c:v>0.61574801135475132</c:v>
                </c:pt>
                <c:pt idx="69">
                  <c:v>0.78000735067931948</c:v>
                </c:pt>
                <c:pt idx="70">
                  <c:v>0.94047799551015088</c:v>
                </c:pt>
                <c:pt idx="71">
                  <c:v>1.0870067185479459</c:v>
                </c:pt>
                <c:pt idx="72">
                  <c:v>1.1494003648079021</c:v>
                </c:pt>
                <c:pt idx="73">
                  <c:v>0.90662384271333907</c:v>
                </c:pt>
                <c:pt idx="74">
                  <c:v>0.60374116471580297</c:v>
                </c:pt>
                <c:pt idx="75">
                  <c:v>0.55174367988103734</c:v>
                </c:pt>
                <c:pt idx="76">
                  <c:v>0.54405946330729504</c:v>
                </c:pt>
                <c:pt idx="77">
                  <c:v>0.4307606652121766</c:v>
                </c:pt>
                <c:pt idx="78">
                  <c:v>0.74746341861966192</c:v>
                </c:pt>
                <c:pt idx="79">
                  <c:v>0.57178942343359873</c:v>
                </c:pt>
                <c:pt idx="80">
                  <c:v>0.63573160083367797</c:v>
                </c:pt>
                <c:pt idx="81">
                  <c:v>0.95480840081563045</c:v>
                </c:pt>
                <c:pt idx="82">
                  <c:v>0.98927251294969987</c:v>
                </c:pt>
                <c:pt idx="83">
                  <c:v>0.97014796253594149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91C-7C44-B49D-926226C769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CPR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Solar Penetration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Inputs'!$F$1</c:f>
              <c:strCache>
                <c:ptCount val="1"/>
                <c:pt idx="0">
                  <c:v>DK1 Solar Penetration (%) — Primary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'Capture Price Inputs'!$F$2:$F$85</c:f>
              <c:numCache>
                <c:formatCode>General</c:formatCode>
                <c:ptCount val="84"/>
                <c:pt idx="12">
                  <c:v>2.2644478926294831E-3</c:v>
                </c:pt>
                <c:pt idx="13">
                  <c:v>5.2474520244822449E-3</c:v>
                </c:pt>
                <c:pt idx="14">
                  <c:v>2.020167759412729E-2</c:v>
                </c:pt>
                <c:pt idx="15">
                  <c:v>3.2427989612304697E-2</c:v>
                </c:pt>
                <c:pt idx="16">
                  <c:v>3.6080087237903569E-2</c:v>
                </c:pt>
                <c:pt idx="17">
                  <c:v>3.7413618831640891E-2</c:v>
                </c:pt>
                <c:pt idx="18">
                  <c:v>3.3998433859503921E-2</c:v>
                </c:pt>
                <c:pt idx="19">
                  <c:v>3.4224763142537661E-2</c:v>
                </c:pt>
                <c:pt idx="20">
                  <c:v>2.4330151939157239E-2</c:v>
                </c:pt>
                <c:pt idx="21">
                  <c:v>1.1490387549446779E-2</c:v>
                </c:pt>
                <c:pt idx="22">
                  <c:v>1.521101274151999E-4</c:v>
                </c:pt>
                <c:pt idx="23">
                  <c:v>1.472410662127807E-5</c:v>
                </c:pt>
                <c:pt idx="24">
                  <c:v>3.6313559990350909E-3</c:v>
                </c:pt>
                <c:pt idx="25">
                  <c:v>1.0868941718057299E-2</c:v>
                </c:pt>
                <c:pt idx="26">
                  <c:v>2.2382303907371628E-2</c:v>
                </c:pt>
                <c:pt idx="27">
                  <c:v>4.212837115783985E-2</c:v>
                </c:pt>
                <c:pt idx="28">
                  <c:v>3.3075052211960353E-2</c:v>
                </c:pt>
                <c:pt idx="29">
                  <c:v>4.9841661821819518E-2</c:v>
                </c:pt>
                <c:pt idx="30">
                  <c:v>4.85715434854639E-2</c:v>
                </c:pt>
                <c:pt idx="31">
                  <c:v>3.8876947944708702E-2</c:v>
                </c:pt>
                <c:pt idx="32">
                  <c:v>2.5932850179436289E-2</c:v>
                </c:pt>
                <c:pt idx="33">
                  <c:v>1.7460096431489061E-2</c:v>
                </c:pt>
                <c:pt idx="34">
                  <c:v>7.0293060058135041E-3</c:v>
                </c:pt>
                <c:pt idx="35">
                  <c:v>3.243365391886713E-3</c:v>
                </c:pt>
                <c:pt idx="36">
                  <c:v>6.6753155472480874E-3</c:v>
                </c:pt>
                <c:pt idx="37">
                  <c:v>1.7399571233002901E-2</c:v>
                </c:pt>
                <c:pt idx="38">
                  <c:v>6.1955070586442867E-2</c:v>
                </c:pt>
                <c:pt idx="39">
                  <c:v>8.404056603836467E-2</c:v>
                </c:pt>
                <c:pt idx="40">
                  <c:v>9.6876891420316108E-2</c:v>
                </c:pt>
                <c:pt idx="41">
                  <c:v>9.4962020744311482E-2</c:v>
                </c:pt>
                <c:pt idx="42">
                  <c:v>9.963556652585577E-2</c:v>
                </c:pt>
                <c:pt idx="43">
                  <c:v>8.9626978325266782E-2</c:v>
                </c:pt>
                <c:pt idx="44">
                  <c:v>6.6046498591704736E-2</c:v>
                </c:pt>
                <c:pt idx="45">
                  <c:v>3.7469414477654707E-2</c:v>
                </c:pt>
                <c:pt idx="46">
                  <c:v>1.046932675470221E-2</c:v>
                </c:pt>
                <c:pt idx="47">
                  <c:v>6.2291646451968653E-3</c:v>
                </c:pt>
                <c:pt idx="48">
                  <c:v>1.2460694276862919E-2</c:v>
                </c:pt>
                <c:pt idx="49">
                  <c:v>3.4376404191763639E-2</c:v>
                </c:pt>
                <c:pt idx="50">
                  <c:v>5.6477968577058592E-2</c:v>
                </c:pt>
                <c:pt idx="51">
                  <c:v>0.1509467292684683</c:v>
                </c:pt>
                <c:pt idx="52">
                  <c:v>0.18600333743842001</c:v>
                </c:pt>
                <c:pt idx="53">
                  <c:v>0.21892573712946101</c:v>
                </c:pt>
                <c:pt idx="54">
                  <c:v>0.18929524056345021</c:v>
                </c:pt>
                <c:pt idx="55">
                  <c:v>0.1493297980639493</c:v>
                </c:pt>
                <c:pt idx="56">
                  <c:v>0.13191654386548721</c:v>
                </c:pt>
                <c:pt idx="57">
                  <c:v>4.2864886456730103E-2</c:v>
                </c:pt>
                <c:pt idx="58">
                  <c:v>1.6003493537152379E-2</c:v>
                </c:pt>
                <c:pt idx="59">
                  <c:v>6.3905046726965339E-3</c:v>
                </c:pt>
                <c:pt idx="60">
                  <c:v>1.3417186050607519E-2</c:v>
                </c:pt>
                <c:pt idx="61">
                  <c:v>2.6436223837926501E-2</c:v>
                </c:pt>
                <c:pt idx="62">
                  <c:v>6.6233973400350477E-2</c:v>
                </c:pt>
                <c:pt idx="63">
                  <c:v>0.1084169878649764</c:v>
                </c:pt>
                <c:pt idx="64">
                  <c:v>0.18887031649880051</c:v>
                </c:pt>
                <c:pt idx="65">
                  <c:v>0.1715230569234828</c:v>
                </c:pt>
                <c:pt idx="66">
                  <c:v>0.1809062055635286</c:v>
                </c:pt>
                <c:pt idx="67">
                  <c:v>0.15512153111725799</c:v>
                </c:pt>
                <c:pt idx="68">
                  <c:v>0.1275567235314205</c:v>
                </c:pt>
                <c:pt idx="69">
                  <c:v>6.2873767847415107E-2</c:v>
                </c:pt>
                <c:pt idx="70">
                  <c:v>1.780902737610289E-2</c:v>
                </c:pt>
                <c:pt idx="71">
                  <c:v>6.7857975683456679E-3</c:v>
                </c:pt>
                <c:pt idx="72">
                  <c:v>1.366055484422285E-2</c:v>
                </c:pt>
                <c:pt idx="73">
                  <c:v>4.3419934817177687E-2</c:v>
                </c:pt>
                <c:pt idx="74">
                  <c:v>0.1120694547038418</c:v>
                </c:pt>
                <c:pt idx="75">
                  <c:v>0.14827548756052711</c:v>
                </c:pt>
                <c:pt idx="76">
                  <c:v>0.19244468175967161</c:v>
                </c:pt>
                <c:pt idx="77">
                  <c:v>0.18784829238523279</c:v>
                </c:pt>
                <c:pt idx="78">
                  <c:v>0.21828188848241209</c:v>
                </c:pt>
                <c:pt idx="79">
                  <c:v>0.19011684012808119</c:v>
                </c:pt>
                <c:pt idx="80">
                  <c:v>0.13816152724517919</c:v>
                </c:pt>
                <c:pt idx="81">
                  <c:v>6.9462071202051626E-2</c:v>
                </c:pt>
                <c:pt idx="82">
                  <c:v>2.6604970402147529E-2</c:v>
                </c:pt>
                <c:pt idx="83">
                  <c:v>1.40253486520015E-2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AA2-B54E-B35C-9E81DE1E8D28}"/>
            </c:ext>
          </c:extLst>
        </c:ser>
        <c:ser>
          <c:idx val="1"/>
          <c:order val="1"/>
          <c:tx>
            <c:strRef>
              <c:f>'Capture Price Inputs'!$G$1</c:f>
              <c:strCache>
                <c:ptCount val="1"/>
                <c:pt idx="0">
                  <c:v>DK2 Solar Penetration (%) — Robustness</c:v>
                </c:pt>
              </c:strCache>
            </c:strRef>
          </c:tx>
          <c:spPr>
            <a:ln>
              <a:solidFill>
                <a:srgbClr val="FFD700"/>
              </a:solidFill>
              <a:prstDash val="solid"/>
            </a:ln>
          </c:spPr>
          <c:marker>
            <c:symbol val="none"/>
          </c:marker>
          <c:val>
            <c:numRef>
              <c:f>'Capture Price Inputs'!$G$2:$G$85</c:f>
              <c:numCache>
                <c:formatCode>General</c:formatCode>
                <c:ptCount val="84"/>
                <c:pt idx="12">
                  <c:v>1.864323044087839E-3</c:v>
                </c:pt>
                <c:pt idx="13">
                  <c:v>4.9613393448072352E-3</c:v>
                </c:pt>
                <c:pt idx="14">
                  <c:v>1.532033335337761E-2</c:v>
                </c:pt>
                <c:pt idx="15">
                  <c:v>2.6180595134545931E-2</c:v>
                </c:pt>
                <c:pt idx="16">
                  <c:v>3.2240930774166239E-2</c:v>
                </c:pt>
                <c:pt idx="17">
                  <c:v>3.0651812088155841E-2</c:v>
                </c:pt>
                <c:pt idx="18">
                  <c:v>2.998206800974695E-2</c:v>
                </c:pt>
                <c:pt idx="19">
                  <c:v>2.8034713414307081E-2</c:v>
                </c:pt>
                <c:pt idx="20">
                  <c:v>2.1736479101595249E-2</c:v>
                </c:pt>
                <c:pt idx="21">
                  <c:v>1.107911770574695E-2</c:v>
                </c:pt>
                <c:pt idx="22">
                  <c:v>1.1044611578332841E-4</c:v>
                </c:pt>
                <c:pt idx="23">
                  <c:v>5.6352433584062588E-6</c:v>
                </c:pt>
                <c:pt idx="24">
                  <c:v>3.104474131982996E-3</c:v>
                </c:pt>
                <c:pt idx="25">
                  <c:v>9.2483369487723587E-3</c:v>
                </c:pt>
                <c:pt idx="26">
                  <c:v>1.8474517045212829E-2</c:v>
                </c:pt>
                <c:pt idx="27">
                  <c:v>3.2694407483312787E-2</c:v>
                </c:pt>
                <c:pt idx="28">
                  <c:v>3.2945829294540187E-2</c:v>
                </c:pt>
                <c:pt idx="29">
                  <c:v>4.4480133140056069E-2</c:v>
                </c:pt>
                <c:pt idx="30">
                  <c:v>3.7049542537302173E-2</c:v>
                </c:pt>
                <c:pt idx="31">
                  <c:v>3.1857768834261987E-2</c:v>
                </c:pt>
                <c:pt idx="32">
                  <c:v>2.23981137027396E-2</c:v>
                </c:pt>
                <c:pt idx="33">
                  <c:v>1.267326343754744E-2</c:v>
                </c:pt>
                <c:pt idx="34">
                  <c:v>4.0132810857910267E-3</c:v>
                </c:pt>
                <c:pt idx="35">
                  <c:v>1.8226295838260991E-3</c:v>
                </c:pt>
                <c:pt idx="36">
                  <c:v>4.939556742877535E-3</c:v>
                </c:pt>
                <c:pt idx="37">
                  <c:v>1.3248485586698279E-2</c:v>
                </c:pt>
                <c:pt idx="38">
                  <c:v>3.4089330349121053E-2</c:v>
                </c:pt>
                <c:pt idx="39">
                  <c:v>5.5254436099578648E-2</c:v>
                </c:pt>
                <c:pt idx="40">
                  <c:v>6.5811459960859395E-2</c:v>
                </c:pt>
                <c:pt idx="41">
                  <c:v>6.4528229045867816E-2</c:v>
                </c:pt>
                <c:pt idx="42">
                  <c:v>6.7025803801952916E-2</c:v>
                </c:pt>
                <c:pt idx="43">
                  <c:v>6.1299924397195817E-2</c:v>
                </c:pt>
                <c:pt idx="44">
                  <c:v>4.5784276103507021E-2</c:v>
                </c:pt>
                <c:pt idx="45">
                  <c:v>2.9809058027035401E-2</c:v>
                </c:pt>
                <c:pt idx="46">
                  <c:v>7.8652952619005494E-3</c:v>
                </c:pt>
                <c:pt idx="47">
                  <c:v>4.5323555529735481E-3</c:v>
                </c:pt>
                <c:pt idx="48">
                  <c:v>5.8626527231366082E-3</c:v>
                </c:pt>
                <c:pt idx="49">
                  <c:v>1.8877648418373551E-2</c:v>
                </c:pt>
                <c:pt idx="50">
                  <c:v>3.7096229392005707E-2</c:v>
                </c:pt>
                <c:pt idx="51">
                  <c:v>8.0269966033824955E-2</c:v>
                </c:pt>
                <c:pt idx="52">
                  <c:v>0.1080032082802261</c:v>
                </c:pt>
                <c:pt idx="53">
                  <c:v>0.1144244665352921</c:v>
                </c:pt>
                <c:pt idx="54">
                  <c:v>0.10203074507159759</c:v>
                </c:pt>
                <c:pt idx="55">
                  <c:v>7.7931010532967707E-2</c:v>
                </c:pt>
                <c:pt idx="56">
                  <c:v>8.0909954639318743E-2</c:v>
                </c:pt>
                <c:pt idx="57">
                  <c:v>2.9172340215594381E-2</c:v>
                </c:pt>
                <c:pt idx="58">
                  <c:v>1.04098691216888E-2</c:v>
                </c:pt>
                <c:pt idx="59">
                  <c:v>3.809030164374855E-3</c:v>
                </c:pt>
                <c:pt idx="60">
                  <c:v>6.1781830729755079E-3</c:v>
                </c:pt>
                <c:pt idx="61">
                  <c:v>1.667231366864759E-2</c:v>
                </c:pt>
                <c:pt idx="62">
                  <c:v>4.1112806367337662E-2</c:v>
                </c:pt>
                <c:pt idx="63">
                  <c:v>6.5123378744806448E-2</c:v>
                </c:pt>
                <c:pt idx="64">
                  <c:v>0.106315341440858</c:v>
                </c:pt>
                <c:pt idx="65">
                  <c:v>0.1072729076610999</c:v>
                </c:pt>
                <c:pt idx="66">
                  <c:v>0.1057942634887733</c:v>
                </c:pt>
                <c:pt idx="67">
                  <c:v>9.3690832268705199E-2</c:v>
                </c:pt>
                <c:pt idx="68">
                  <c:v>7.2463202820400169E-2</c:v>
                </c:pt>
                <c:pt idx="69">
                  <c:v>3.6145253892379881E-2</c:v>
                </c:pt>
                <c:pt idx="70">
                  <c:v>8.6028414054236078E-3</c:v>
                </c:pt>
                <c:pt idx="71">
                  <c:v>4.1714684657767577E-3</c:v>
                </c:pt>
                <c:pt idx="72">
                  <c:v>7.223240212576967E-3</c:v>
                </c:pt>
                <c:pt idx="73">
                  <c:v>2.010831138567791E-2</c:v>
                </c:pt>
                <c:pt idx="74">
                  <c:v>4.6547866447452589E-2</c:v>
                </c:pt>
                <c:pt idx="75">
                  <c:v>7.1689783649061992E-2</c:v>
                </c:pt>
                <c:pt idx="76">
                  <c:v>9.4714127256233946E-2</c:v>
                </c:pt>
                <c:pt idx="77">
                  <c:v>9.9826250015510765E-2</c:v>
                </c:pt>
                <c:pt idx="78">
                  <c:v>9.3996419418699143E-2</c:v>
                </c:pt>
                <c:pt idx="79">
                  <c:v>0.1057378118957395</c:v>
                </c:pt>
                <c:pt idx="80">
                  <c:v>9.0628879686523764E-2</c:v>
                </c:pt>
                <c:pt idx="81">
                  <c:v>3.9573125678626628E-2</c:v>
                </c:pt>
                <c:pt idx="82">
                  <c:v>1.454364344794783E-2</c:v>
                </c:pt>
                <c:pt idx="83">
                  <c:v>9.0694911608833299E-3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AA2-B54E-B35C-9E81DE1E8D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Solar Penetration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Capture Price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Inputs'!$H$1</c:f>
              <c:strCache>
                <c:ptCount val="1"/>
                <c:pt idx="0">
                  <c:v>DK1 Capture Price (EUR/MWh)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Inputs'!$H$2:$H$85</c:f>
              <c:numCache>
                <c:formatCode>General</c:formatCode>
                <c:ptCount val="84"/>
                <c:pt idx="12">
                  <c:v>25.22320957280251</c:v>
                </c:pt>
                <c:pt idx="13">
                  <c:v>22.83581899109792</c:v>
                </c:pt>
                <c:pt idx="14">
                  <c:v>15.94107348554973</c:v>
                </c:pt>
                <c:pt idx="15">
                  <c:v>10.36487590420421</c:v>
                </c:pt>
                <c:pt idx="16">
                  <c:v>15.478548945086001</c:v>
                </c:pt>
                <c:pt idx="17">
                  <c:v>27.313308227868689</c:v>
                </c:pt>
                <c:pt idx="18">
                  <c:v>24.831745178109159</c:v>
                </c:pt>
                <c:pt idx="19">
                  <c:v>33.876915422047851</c:v>
                </c:pt>
                <c:pt idx="20">
                  <c:v>38.935979003379593</c:v>
                </c:pt>
                <c:pt idx="21">
                  <c:v>31.927741533059191</c:v>
                </c:pt>
                <c:pt idx="22">
                  <c:v>26.005993265993261</c:v>
                </c:pt>
                <c:pt idx="23">
                  <c:v>34.795161290322582</c:v>
                </c:pt>
                <c:pt idx="24">
                  <c:v>55.422967607277918</c:v>
                </c:pt>
                <c:pt idx="25">
                  <c:v>47.542610979142587</c:v>
                </c:pt>
                <c:pt idx="26">
                  <c:v>44.550700915805493</c:v>
                </c:pt>
                <c:pt idx="27">
                  <c:v>43.594739828473003</c:v>
                </c:pt>
                <c:pt idx="28">
                  <c:v>47.655870575001217</c:v>
                </c:pt>
                <c:pt idx="29">
                  <c:v>70.543547911111062</c:v>
                </c:pt>
                <c:pt idx="30">
                  <c:v>78.568319747758608</c:v>
                </c:pt>
                <c:pt idx="31">
                  <c:v>81.983351136401794</c:v>
                </c:pt>
                <c:pt idx="32">
                  <c:v>116.20022495544841</c:v>
                </c:pt>
                <c:pt idx="33">
                  <c:v>126.53039520323949</c:v>
                </c:pt>
                <c:pt idx="34">
                  <c:v>160.77058330102949</c:v>
                </c:pt>
                <c:pt idx="35">
                  <c:v>228.8621705579358</c:v>
                </c:pt>
                <c:pt idx="36">
                  <c:v>123.20125067917191</c:v>
                </c:pt>
                <c:pt idx="37">
                  <c:v>117.67077903546</c:v>
                </c:pt>
                <c:pt idx="38">
                  <c:v>191.50807173506701</c:v>
                </c:pt>
                <c:pt idx="39">
                  <c:v>145.70138715926041</c:v>
                </c:pt>
                <c:pt idx="40">
                  <c:v>149.4185612445558</c:v>
                </c:pt>
                <c:pt idx="41">
                  <c:v>194.71103409481981</c:v>
                </c:pt>
                <c:pt idx="42">
                  <c:v>239.3981525107354</c:v>
                </c:pt>
                <c:pt idx="43">
                  <c:v>419.79263722660602</c:v>
                </c:pt>
                <c:pt idx="44">
                  <c:v>310.70739927266709</c:v>
                </c:pt>
                <c:pt idx="45">
                  <c:v>125.6295598680838</c:v>
                </c:pt>
                <c:pt idx="46">
                  <c:v>131.7111886265582</c:v>
                </c:pt>
                <c:pt idx="47">
                  <c:v>282.82379374207261</c:v>
                </c:pt>
                <c:pt idx="48">
                  <c:v>138.52998868426329</c:v>
                </c:pt>
                <c:pt idx="49">
                  <c:v>109.87697572135031</c:v>
                </c:pt>
                <c:pt idx="50">
                  <c:v>93.774190940695377</c:v>
                </c:pt>
                <c:pt idx="51">
                  <c:v>76.25042822265543</c:v>
                </c:pt>
                <c:pt idx="52">
                  <c:v>50.543487760082613</c:v>
                </c:pt>
                <c:pt idx="53">
                  <c:v>74.888982776218057</c:v>
                </c:pt>
                <c:pt idx="54">
                  <c:v>52.095599438463452</c:v>
                </c:pt>
                <c:pt idx="55">
                  <c:v>74.180426039978187</c:v>
                </c:pt>
                <c:pt idx="56">
                  <c:v>68.116869623396937</c:v>
                </c:pt>
                <c:pt idx="57">
                  <c:v>50.539090519702853</c:v>
                </c:pt>
                <c:pt idx="58">
                  <c:v>90.680805562425178</c:v>
                </c:pt>
                <c:pt idx="59">
                  <c:v>63.455327688788032</c:v>
                </c:pt>
                <c:pt idx="60">
                  <c:v>78.571316441678306</c:v>
                </c:pt>
                <c:pt idx="61">
                  <c:v>59.479486768055089</c:v>
                </c:pt>
                <c:pt idx="62">
                  <c:v>51.269783241554933</c:v>
                </c:pt>
                <c:pt idx="63">
                  <c:v>49.383940562011212</c:v>
                </c:pt>
                <c:pt idx="64">
                  <c:v>35.894148271408874</c:v>
                </c:pt>
                <c:pt idx="65">
                  <c:v>47.037633727397647</c:v>
                </c:pt>
                <c:pt idx="66">
                  <c:v>42.521773223099522</c:v>
                </c:pt>
                <c:pt idx="67">
                  <c:v>52.17121747504909</c:v>
                </c:pt>
                <c:pt idx="68">
                  <c:v>45.647504626217007</c:v>
                </c:pt>
                <c:pt idx="69">
                  <c:v>58.441583787091993</c:v>
                </c:pt>
                <c:pt idx="70">
                  <c:v>97.582352616331917</c:v>
                </c:pt>
                <c:pt idx="71">
                  <c:v>92.073217693833982</c:v>
                </c:pt>
                <c:pt idx="72">
                  <c:v>111.1945655985155</c:v>
                </c:pt>
                <c:pt idx="73">
                  <c:v>105.41315973788279</c:v>
                </c:pt>
                <c:pt idx="74">
                  <c:v>57.84566339627056</c:v>
                </c:pt>
                <c:pt idx="75">
                  <c:v>45.844395770687349</c:v>
                </c:pt>
                <c:pt idx="76">
                  <c:v>40.065667394009381</c:v>
                </c:pt>
                <c:pt idx="77">
                  <c:v>33.493381965196598</c:v>
                </c:pt>
                <c:pt idx="78">
                  <c:v>61.32224821093979</c:v>
                </c:pt>
                <c:pt idx="79">
                  <c:v>47.755824567457559</c:v>
                </c:pt>
                <c:pt idx="80">
                  <c:v>49.429094996057238</c:v>
                </c:pt>
                <c:pt idx="81">
                  <c:v>74.266634537895257</c:v>
                </c:pt>
                <c:pt idx="82">
                  <c:v>95.564531802521344</c:v>
                </c:pt>
                <c:pt idx="83">
                  <c:v>80.958034242780258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416-E844-B66B-A9D59762D244}"/>
            </c:ext>
          </c:extLst>
        </c:ser>
        <c:ser>
          <c:idx val="1"/>
          <c:order val="1"/>
          <c:tx>
            <c:strRef>
              <c:f>'Capture Price Inputs'!$I$1</c:f>
              <c:strCache>
                <c:ptCount val="1"/>
                <c:pt idx="0">
                  <c:v>DK2 Capture Price (EUR/MWh)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'Capture Price Inputs'!$I$2:$I$85</c:f>
              <c:numCache>
                <c:formatCode>General</c:formatCode>
                <c:ptCount val="84"/>
                <c:pt idx="12">
                  <c:v>29.86213642213642</c:v>
                </c:pt>
                <c:pt idx="13">
                  <c:v>23.555517829721889</c:v>
                </c:pt>
                <c:pt idx="14">
                  <c:v>17.149050692261021</c:v>
                </c:pt>
                <c:pt idx="15">
                  <c:v>13.252523128367081</c:v>
                </c:pt>
                <c:pt idx="16">
                  <c:v>18.594049382716051</c:v>
                </c:pt>
                <c:pt idx="17">
                  <c:v>35.21078005032583</c:v>
                </c:pt>
                <c:pt idx="18">
                  <c:v>26.450778046867001</c:v>
                </c:pt>
                <c:pt idx="19">
                  <c:v>44.113765015404859</c:v>
                </c:pt>
                <c:pt idx="20">
                  <c:v>41.853047880870562</c:v>
                </c:pt>
                <c:pt idx="21">
                  <c:v>33.600878372903331</c:v>
                </c:pt>
                <c:pt idx="22">
                  <c:v>37.749765625000002</c:v>
                </c:pt>
                <c:pt idx="23">
                  <c:v>44.191428571428567</c:v>
                </c:pt>
                <c:pt idx="24">
                  <c:v>57.072134410081453</c:v>
                </c:pt>
                <c:pt idx="25">
                  <c:v>52.285083654524577</c:v>
                </c:pt>
                <c:pt idx="26">
                  <c:v>47.422643011897812</c:v>
                </c:pt>
                <c:pt idx="27">
                  <c:v>45.901363748248833</c:v>
                </c:pt>
                <c:pt idx="28">
                  <c:v>50.258720231460799</c:v>
                </c:pt>
                <c:pt idx="29">
                  <c:v>69.469341653776226</c:v>
                </c:pt>
                <c:pt idx="30">
                  <c:v>77.933111551394319</c:v>
                </c:pt>
                <c:pt idx="31">
                  <c:v>84.512747690257029</c:v>
                </c:pt>
                <c:pt idx="32">
                  <c:v>118.7457227855615</c:v>
                </c:pt>
                <c:pt idx="33">
                  <c:v>122.3841235967906</c:v>
                </c:pt>
                <c:pt idx="34">
                  <c:v>153.62679427815749</c:v>
                </c:pt>
                <c:pt idx="35">
                  <c:v>244.48727859764409</c:v>
                </c:pt>
                <c:pt idx="36">
                  <c:v>129.67749023150819</c:v>
                </c:pt>
                <c:pt idx="37">
                  <c:v>108.80333899256409</c:v>
                </c:pt>
                <c:pt idx="38">
                  <c:v>186.0504424586062</c:v>
                </c:pt>
                <c:pt idx="39">
                  <c:v>143.53758886421849</c:v>
                </c:pt>
                <c:pt idx="40">
                  <c:v>146.25360234460331</c:v>
                </c:pt>
                <c:pt idx="41">
                  <c:v>192.2325905808319</c:v>
                </c:pt>
                <c:pt idx="42">
                  <c:v>212.3625858003895</c:v>
                </c:pt>
                <c:pt idx="43">
                  <c:v>397.17988485976059</c:v>
                </c:pt>
                <c:pt idx="44">
                  <c:v>315.92884279677901</c:v>
                </c:pt>
                <c:pt idx="45">
                  <c:v>120.1190076327392</c:v>
                </c:pt>
                <c:pt idx="46">
                  <c:v>134.0399027878758</c:v>
                </c:pt>
                <c:pt idx="47">
                  <c:v>303.26978481668573</c:v>
                </c:pt>
                <c:pt idx="48">
                  <c:v>120.8992864784306</c:v>
                </c:pt>
                <c:pt idx="49">
                  <c:v>103.112625406295</c:v>
                </c:pt>
                <c:pt idx="50">
                  <c:v>89.098468921641697</c:v>
                </c:pt>
                <c:pt idx="51">
                  <c:v>71.125099705594195</c:v>
                </c:pt>
                <c:pt idx="52">
                  <c:v>48.358083796456327</c:v>
                </c:pt>
                <c:pt idx="53">
                  <c:v>71.862090372222397</c:v>
                </c:pt>
                <c:pt idx="54">
                  <c:v>50.345966617092351</c:v>
                </c:pt>
                <c:pt idx="55">
                  <c:v>72.957992347987414</c:v>
                </c:pt>
                <c:pt idx="56">
                  <c:v>64.394484672464898</c:v>
                </c:pt>
                <c:pt idx="57">
                  <c:v>47.660255094286853</c:v>
                </c:pt>
                <c:pt idx="58">
                  <c:v>84.639978605265995</c:v>
                </c:pt>
                <c:pt idx="59">
                  <c:v>59.061746333079718</c:v>
                </c:pt>
                <c:pt idx="60">
                  <c:v>76.427202535219209</c:v>
                </c:pt>
                <c:pt idx="61">
                  <c:v>51.434379196547752</c:v>
                </c:pt>
                <c:pt idx="62">
                  <c:v>50.751163813053438</c:v>
                </c:pt>
                <c:pt idx="63">
                  <c:v>47.053967904827999</c:v>
                </c:pt>
                <c:pt idx="64">
                  <c:v>34.295794113692892</c:v>
                </c:pt>
                <c:pt idx="65">
                  <c:v>46.379384034583367</c:v>
                </c:pt>
                <c:pt idx="66">
                  <c:v>38.812821969471173</c:v>
                </c:pt>
                <c:pt idx="67">
                  <c:v>47.151863118292532</c:v>
                </c:pt>
                <c:pt idx="68">
                  <c:v>43.355946350842189</c:v>
                </c:pt>
                <c:pt idx="69">
                  <c:v>59.534937630286556</c:v>
                </c:pt>
                <c:pt idx="70">
                  <c:v>89.611277477917284</c:v>
                </c:pt>
                <c:pt idx="71">
                  <c:v>100.7961313991171</c:v>
                </c:pt>
                <c:pt idx="72">
                  <c:v>115.0822593270056</c:v>
                </c:pt>
                <c:pt idx="73">
                  <c:v>106.92318207316821</c:v>
                </c:pt>
                <c:pt idx="74">
                  <c:v>50.018062961268747</c:v>
                </c:pt>
                <c:pt idx="75">
                  <c:v>41.82584156307518</c:v>
                </c:pt>
                <c:pt idx="76">
                  <c:v>34.320660344591218</c:v>
                </c:pt>
                <c:pt idx="77">
                  <c:v>24.31568572006325</c:v>
                </c:pt>
                <c:pt idx="78">
                  <c:v>59.766943882147693</c:v>
                </c:pt>
                <c:pt idx="79">
                  <c:v>43.064604783544858</c:v>
                </c:pt>
                <c:pt idx="80">
                  <c:v>52.949405153808357</c:v>
                </c:pt>
                <c:pt idx="81">
                  <c:v>78.645730322406678</c:v>
                </c:pt>
                <c:pt idx="82">
                  <c:v>92.690454871532665</c:v>
                </c:pt>
                <c:pt idx="83">
                  <c:v>79.631228022083661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416-E844-B66B-A9D59762D2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Capture Price Ratio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Inputs'!$J$1</c:f>
              <c:strCache>
                <c:ptCount val="1"/>
                <c:pt idx="0">
                  <c:v>DK1 CPR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Inputs'!$J$2:$J$85</c:f>
              <c:numCache>
                <c:formatCode>General</c:formatCode>
                <c:ptCount val="84"/>
                <c:pt idx="12">
                  <c:v>1.0091486594474419</c:v>
                </c:pt>
                <c:pt idx="13">
                  <c:v>1.2985911686950511</c:v>
                </c:pt>
                <c:pt idx="14">
                  <c:v>0.8710146939215303</c:v>
                </c:pt>
                <c:pt idx="15">
                  <c:v>0.71315772558819213</c:v>
                </c:pt>
                <c:pt idx="16">
                  <c:v>0.96415576931205649</c:v>
                </c:pt>
                <c:pt idx="17">
                  <c:v>1.0394664137310941</c:v>
                </c:pt>
                <c:pt idx="18">
                  <c:v>1.0086181556608309</c:v>
                </c:pt>
                <c:pt idx="19">
                  <c:v>0.98082264407500741</c:v>
                </c:pt>
                <c:pt idx="20">
                  <c:v>1.0104044869130051</c:v>
                </c:pt>
                <c:pt idx="21">
                  <c:v>1.236802226812374</c:v>
                </c:pt>
                <c:pt idx="22">
                  <c:v>1.094777917215692</c:v>
                </c:pt>
                <c:pt idx="23">
                  <c:v>1.0082301641826621</c:v>
                </c:pt>
                <c:pt idx="24">
                  <c:v>1.103930861568265</c:v>
                </c:pt>
                <c:pt idx="25">
                  <c:v>1.0059479277054251</c:v>
                </c:pt>
                <c:pt idx="26">
                  <c:v>0.9871758725122356</c:v>
                </c:pt>
                <c:pt idx="27">
                  <c:v>0.90884647456650169</c:v>
                </c:pt>
                <c:pt idx="28">
                  <c:v>0.87751805187154364</c:v>
                </c:pt>
                <c:pt idx="29">
                  <c:v>0.95691427953473174</c:v>
                </c:pt>
                <c:pt idx="30">
                  <c:v>0.98211323715969778</c:v>
                </c:pt>
                <c:pt idx="31">
                  <c:v>0.99027147802450566</c:v>
                </c:pt>
                <c:pt idx="32">
                  <c:v>0.92690440483613579</c:v>
                </c:pt>
                <c:pt idx="33">
                  <c:v>1.0810885074134391</c:v>
                </c:pt>
                <c:pt idx="34">
                  <c:v>1.1338034085044659</c:v>
                </c:pt>
                <c:pt idx="35">
                  <c:v>1.2086769624549281</c:v>
                </c:pt>
                <c:pt idx="36">
                  <c:v>1.0441257304277269</c:v>
                </c:pt>
                <c:pt idx="37">
                  <c:v>1.04022281700981</c:v>
                </c:pt>
                <c:pt idx="38">
                  <c:v>0.81207759044207406</c:v>
                </c:pt>
                <c:pt idx="39">
                  <c:v>0.89039133384678326</c:v>
                </c:pt>
                <c:pt idx="40">
                  <c:v>0.86943016050498578</c:v>
                </c:pt>
                <c:pt idx="41">
                  <c:v>0.90803902012341908</c:v>
                </c:pt>
                <c:pt idx="42">
                  <c:v>0.87041791592949547</c:v>
                </c:pt>
                <c:pt idx="43">
                  <c:v>0.91908553046700026</c:v>
                </c:pt>
                <c:pt idx="44">
                  <c:v>0.90632901805683119</c:v>
                </c:pt>
                <c:pt idx="45">
                  <c:v>0.91612325253961768</c:v>
                </c:pt>
                <c:pt idx="46">
                  <c:v>0.94278612074660006</c:v>
                </c:pt>
                <c:pt idx="47">
                  <c:v>1.132810339248927</c:v>
                </c:pt>
                <c:pt idx="48">
                  <c:v>1.2309198691226539</c:v>
                </c:pt>
                <c:pt idx="49">
                  <c:v>0.93008781340266</c:v>
                </c:pt>
                <c:pt idx="50">
                  <c:v>0.94612539759598957</c:v>
                </c:pt>
                <c:pt idx="51">
                  <c:v>0.79203966120386338</c:v>
                </c:pt>
                <c:pt idx="52">
                  <c:v>0.68333610561519953</c:v>
                </c:pt>
                <c:pt idx="53">
                  <c:v>0.80965062086215667</c:v>
                </c:pt>
                <c:pt idx="54">
                  <c:v>0.80380421953260928</c:v>
                </c:pt>
                <c:pt idx="55">
                  <c:v>0.86289309777204071</c:v>
                </c:pt>
                <c:pt idx="56">
                  <c:v>0.8038389922187259</c:v>
                </c:pt>
                <c:pt idx="57">
                  <c:v>0.84083605560542263</c:v>
                </c:pt>
                <c:pt idx="58">
                  <c:v>1.028656893611996</c:v>
                </c:pt>
                <c:pt idx="59">
                  <c:v>0.91325607762876626</c:v>
                </c:pt>
                <c:pt idx="60">
                  <c:v>1.051614630458469</c:v>
                </c:pt>
                <c:pt idx="61">
                  <c:v>1.0144208291794441</c:v>
                </c:pt>
                <c:pt idx="62">
                  <c:v>0.8373818542217274</c:v>
                </c:pt>
                <c:pt idx="63">
                  <c:v>0.83468460161643787</c:v>
                </c:pt>
                <c:pt idx="64">
                  <c:v>0.61339845366508694</c:v>
                </c:pt>
                <c:pt idx="65">
                  <c:v>0.73781003223868646</c:v>
                </c:pt>
                <c:pt idx="66">
                  <c:v>0.68549949487061801</c:v>
                </c:pt>
                <c:pt idx="67">
                  <c:v>0.71512676219349525</c:v>
                </c:pt>
                <c:pt idx="68">
                  <c:v>0.63652522303957304</c:v>
                </c:pt>
                <c:pt idx="69">
                  <c:v>0.76175188075929667</c:v>
                </c:pt>
                <c:pt idx="70">
                  <c:v>1.0174940038611719</c:v>
                </c:pt>
                <c:pt idx="71">
                  <c:v>1.0025674160411211</c:v>
                </c:pt>
                <c:pt idx="72">
                  <c:v>1.135032584901597</c:v>
                </c:pt>
                <c:pt idx="73">
                  <c:v>0.93411665141872979</c:v>
                </c:pt>
                <c:pt idx="74">
                  <c:v>0.68579081688022481</c:v>
                </c:pt>
                <c:pt idx="75">
                  <c:v>0.60995353561832499</c:v>
                </c:pt>
                <c:pt idx="76">
                  <c:v>0.62375117423189408</c:v>
                </c:pt>
                <c:pt idx="77">
                  <c:v>0.56976432128633303</c:v>
                </c:pt>
                <c:pt idx="78">
                  <c:v>0.74058967108380014</c:v>
                </c:pt>
                <c:pt idx="79">
                  <c:v>0.64997112344594554</c:v>
                </c:pt>
                <c:pt idx="80">
                  <c:v>0.68273474898658593</c:v>
                </c:pt>
                <c:pt idx="81">
                  <c:v>0.94701517193480578</c:v>
                </c:pt>
                <c:pt idx="82">
                  <c:v>1.0289764309560969</c:v>
                </c:pt>
                <c:pt idx="83">
                  <c:v>0.98205388617926037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25D-2C4A-A8F9-1F9565EE5F72}"/>
            </c:ext>
          </c:extLst>
        </c:ser>
        <c:ser>
          <c:idx val="1"/>
          <c:order val="1"/>
          <c:tx>
            <c:strRef>
              <c:f>'Capture Price Inputs'!$K$1</c:f>
              <c:strCache>
                <c:ptCount val="1"/>
                <c:pt idx="0">
                  <c:v>DK2 CPR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'Capture Price Inputs'!$K$2:$K$85</c:f>
              <c:numCache>
                <c:formatCode>General</c:formatCode>
                <c:ptCount val="84"/>
                <c:pt idx="12">
                  <c:v>1.090446324793763</c:v>
                </c:pt>
                <c:pt idx="13">
                  <c:v>1.251821301318464</c:v>
                </c:pt>
                <c:pt idx="14">
                  <c:v>0.85520775851277109</c:v>
                </c:pt>
                <c:pt idx="15">
                  <c:v>0.76362023547871605</c:v>
                </c:pt>
                <c:pt idx="16">
                  <c:v>0.97636938233545278</c:v>
                </c:pt>
                <c:pt idx="17">
                  <c:v>1.180647007173951</c:v>
                </c:pt>
                <c:pt idx="18">
                  <c:v>1.021791049952987</c:v>
                </c:pt>
                <c:pt idx="19">
                  <c:v>1.077948442472481</c:v>
                </c:pt>
                <c:pt idx="20">
                  <c:v>1.0591890923358069</c:v>
                </c:pt>
                <c:pt idx="21">
                  <c:v>1.247549053102559</c:v>
                </c:pt>
                <c:pt idx="22">
                  <c:v>1.057080411727209</c:v>
                </c:pt>
                <c:pt idx="23">
                  <c:v>1.125691191699302</c:v>
                </c:pt>
                <c:pt idx="24">
                  <c:v>1.122164979814525</c:v>
                </c:pt>
                <c:pt idx="25">
                  <c:v>0.9585139857498034</c:v>
                </c:pt>
                <c:pt idx="26">
                  <c:v>1.0147741726503949</c:v>
                </c:pt>
                <c:pt idx="27">
                  <c:v>0.95901643664766134</c:v>
                </c:pt>
                <c:pt idx="28">
                  <c:v>0.91033887361171206</c:v>
                </c:pt>
                <c:pt idx="29">
                  <c:v>0.94404491874816343</c:v>
                </c:pt>
                <c:pt idx="30">
                  <c:v>0.95692856904650769</c:v>
                </c:pt>
                <c:pt idx="31">
                  <c:v>1.001768528067071</c:v>
                </c:pt>
                <c:pt idx="32">
                  <c:v>0.95838336990944806</c:v>
                </c:pt>
                <c:pt idx="33">
                  <c:v>1.1445012658471321</c:v>
                </c:pt>
                <c:pt idx="34">
                  <c:v>1.1264608571418011</c:v>
                </c:pt>
                <c:pt idx="35">
                  <c:v>1.279578427053047</c:v>
                </c:pt>
                <c:pt idx="36">
                  <c:v>1.1617546523412821</c:v>
                </c:pt>
                <c:pt idx="37">
                  <c:v>1.084871924613185</c:v>
                </c:pt>
                <c:pt idx="38">
                  <c:v>0.81629582758371144</c:v>
                </c:pt>
                <c:pt idx="39">
                  <c:v>0.93918048773921026</c:v>
                </c:pt>
                <c:pt idx="40">
                  <c:v>0.89914563143311954</c:v>
                </c:pt>
                <c:pt idx="41">
                  <c:v>0.90151367457475784</c:v>
                </c:pt>
                <c:pt idx="42">
                  <c:v>0.90956244496775596</c:v>
                </c:pt>
                <c:pt idx="43">
                  <c:v>0.8830756108422062</c:v>
                </c:pt>
                <c:pt idx="44">
                  <c:v>0.96085369829588263</c:v>
                </c:pt>
                <c:pt idx="45">
                  <c:v>0.87743541957368609</c:v>
                </c:pt>
                <c:pt idx="46">
                  <c:v>0.92404474391789948</c:v>
                </c:pt>
                <c:pt idx="47">
                  <c:v>1.2185280560697289</c:v>
                </c:pt>
                <c:pt idx="48">
                  <c:v>1.2118663236304299</c:v>
                </c:pt>
                <c:pt idx="49">
                  <c:v>1.0244781228159621</c:v>
                </c:pt>
                <c:pt idx="50">
                  <c:v>0.99223631219701203</c:v>
                </c:pt>
                <c:pt idx="51">
                  <c:v>0.85025873478203906</c:v>
                </c:pt>
                <c:pt idx="52">
                  <c:v>0.73101748270540212</c:v>
                </c:pt>
                <c:pt idx="53">
                  <c:v>0.78603819917365525</c:v>
                </c:pt>
                <c:pt idx="54">
                  <c:v>0.77170348712471282</c:v>
                </c:pt>
                <c:pt idx="55">
                  <c:v>0.84546104105698361</c:v>
                </c:pt>
                <c:pt idx="56">
                  <c:v>0.75329173308453345</c:v>
                </c:pt>
                <c:pt idx="57">
                  <c:v>0.83723449033464103</c:v>
                </c:pt>
                <c:pt idx="58">
                  <c:v>1.038705241708771</c:v>
                </c:pt>
                <c:pt idx="59">
                  <c:v>0.83326707575628478</c:v>
                </c:pt>
                <c:pt idx="60">
                  <c:v>0.97714487510792902</c:v>
                </c:pt>
                <c:pt idx="61">
                  <c:v>0.93991726033346112</c:v>
                </c:pt>
                <c:pt idx="62">
                  <c:v>0.8314293202728863</c:v>
                </c:pt>
                <c:pt idx="63">
                  <c:v>0.77805107456374178</c:v>
                </c:pt>
                <c:pt idx="64">
                  <c:v>0.59005563427075769</c:v>
                </c:pt>
                <c:pt idx="65">
                  <c:v>0.69439585691141426</c:v>
                </c:pt>
                <c:pt idx="66">
                  <c:v>0.61762838453946423</c:v>
                </c:pt>
                <c:pt idx="67">
                  <c:v>0.64934714792296455</c:v>
                </c:pt>
                <c:pt idx="68">
                  <c:v>0.61574801135475132</c:v>
                </c:pt>
                <c:pt idx="69">
                  <c:v>0.78000735067931948</c:v>
                </c:pt>
                <c:pt idx="70">
                  <c:v>0.94047799551015088</c:v>
                </c:pt>
                <c:pt idx="71">
                  <c:v>1.0870067185479459</c:v>
                </c:pt>
                <c:pt idx="72">
                  <c:v>1.1494003648079021</c:v>
                </c:pt>
                <c:pt idx="73">
                  <c:v>0.90662384271333907</c:v>
                </c:pt>
                <c:pt idx="74">
                  <c:v>0.60374116471580297</c:v>
                </c:pt>
                <c:pt idx="75">
                  <c:v>0.55174367988103734</c:v>
                </c:pt>
                <c:pt idx="76">
                  <c:v>0.54405946330729504</c:v>
                </c:pt>
                <c:pt idx="77">
                  <c:v>0.4307606652121766</c:v>
                </c:pt>
                <c:pt idx="78">
                  <c:v>0.74746341861966192</c:v>
                </c:pt>
                <c:pt idx="79">
                  <c:v>0.57178942343359873</c:v>
                </c:pt>
                <c:pt idx="80">
                  <c:v>0.63573160083367797</c:v>
                </c:pt>
                <c:pt idx="81">
                  <c:v>0.95480840081563045</c:v>
                </c:pt>
                <c:pt idx="82">
                  <c:v>0.98927251294969987</c:v>
                </c:pt>
                <c:pt idx="83">
                  <c:v>0.97014796253594149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25D-2C4A-A8F9-1F9565EE5F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CPR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Solar Penetration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Inputs'!$F$1</c:f>
              <c:strCache>
                <c:ptCount val="1"/>
                <c:pt idx="0">
                  <c:v>DK1 Solar Penetration (%) — Primary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'Capture Price Inputs'!$F$2:$F$85</c:f>
              <c:numCache>
                <c:formatCode>General</c:formatCode>
                <c:ptCount val="84"/>
                <c:pt idx="12">
                  <c:v>2.2644478926294831E-3</c:v>
                </c:pt>
                <c:pt idx="13">
                  <c:v>5.2474520244822449E-3</c:v>
                </c:pt>
                <c:pt idx="14">
                  <c:v>2.020167759412729E-2</c:v>
                </c:pt>
                <c:pt idx="15">
                  <c:v>3.2427989612304697E-2</c:v>
                </c:pt>
                <c:pt idx="16">
                  <c:v>3.6080087237903569E-2</c:v>
                </c:pt>
                <c:pt idx="17">
                  <c:v>3.7413618831640891E-2</c:v>
                </c:pt>
                <c:pt idx="18">
                  <c:v>3.3998433859503921E-2</c:v>
                </c:pt>
                <c:pt idx="19">
                  <c:v>3.4224763142537661E-2</c:v>
                </c:pt>
                <c:pt idx="20">
                  <c:v>2.4330151939157239E-2</c:v>
                </c:pt>
                <c:pt idx="21">
                  <c:v>1.1490387549446779E-2</c:v>
                </c:pt>
                <c:pt idx="22">
                  <c:v>1.521101274151999E-4</c:v>
                </c:pt>
                <c:pt idx="23">
                  <c:v>1.472410662127807E-5</c:v>
                </c:pt>
                <c:pt idx="24">
                  <c:v>3.6313559990350909E-3</c:v>
                </c:pt>
                <c:pt idx="25">
                  <c:v>1.0868941718057299E-2</c:v>
                </c:pt>
                <c:pt idx="26">
                  <c:v>2.2382303907371628E-2</c:v>
                </c:pt>
                <c:pt idx="27">
                  <c:v>4.212837115783985E-2</c:v>
                </c:pt>
                <c:pt idx="28">
                  <c:v>3.3075052211960353E-2</c:v>
                </c:pt>
                <c:pt idx="29">
                  <c:v>4.9841661821819518E-2</c:v>
                </c:pt>
                <c:pt idx="30">
                  <c:v>4.85715434854639E-2</c:v>
                </c:pt>
                <c:pt idx="31">
                  <c:v>3.8876947944708702E-2</c:v>
                </c:pt>
                <c:pt idx="32">
                  <c:v>2.5932850179436289E-2</c:v>
                </c:pt>
                <c:pt idx="33">
                  <c:v>1.7460096431489061E-2</c:v>
                </c:pt>
                <c:pt idx="34">
                  <c:v>7.0293060058135041E-3</c:v>
                </c:pt>
                <c:pt idx="35">
                  <c:v>3.243365391886713E-3</c:v>
                </c:pt>
                <c:pt idx="36">
                  <c:v>6.6753155472480874E-3</c:v>
                </c:pt>
                <c:pt idx="37">
                  <c:v>1.7399571233002901E-2</c:v>
                </c:pt>
                <c:pt idx="38">
                  <c:v>6.1955070586442867E-2</c:v>
                </c:pt>
                <c:pt idx="39">
                  <c:v>8.404056603836467E-2</c:v>
                </c:pt>
                <c:pt idx="40">
                  <c:v>9.6876891420316108E-2</c:v>
                </c:pt>
                <c:pt idx="41">
                  <c:v>9.4962020744311482E-2</c:v>
                </c:pt>
                <c:pt idx="42">
                  <c:v>9.963556652585577E-2</c:v>
                </c:pt>
                <c:pt idx="43">
                  <c:v>8.9626978325266782E-2</c:v>
                </c:pt>
                <c:pt idx="44">
                  <c:v>6.6046498591704736E-2</c:v>
                </c:pt>
                <c:pt idx="45">
                  <c:v>3.7469414477654707E-2</c:v>
                </c:pt>
                <c:pt idx="46">
                  <c:v>1.046932675470221E-2</c:v>
                </c:pt>
                <c:pt idx="47">
                  <c:v>6.2291646451968653E-3</c:v>
                </c:pt>
                <c:pt idx="48">
                  <c:v>1.2460694276862919E-2</c:v>
                </c:pt>
                <c:pt idx="49">
                  <c:v>3.4376404191763639E-2</c:v>
                </c:pt>
                <c:pt idx="50">
                  <c:v>5.6477968577058592E-2</c:v>
                </c:pt>
                <c:pt idx="51">
                  <c:v>0.1509467292684683</c:v>
                </c:pt>
                <c:pt idx="52">
                  <c:v>0.18600333743842001</c:v>
                </c:pt>
                <c:pt idx="53">
                  <c:v>0.21892573712946101</c:v>
                </c:pt>
                <c:pt idx="54">
                  <c:v>0.18929524056345021</c:v>
                </c:pt>
                <c:pt idx="55">
                  <c:v>0.1493297980639493</c:v>
                </c:pt>
                <c:pt idx="56">
                  <c:v>0.13191654386548721</c:v>
                </c:pt>
                <c:pt idx="57">
                  <c:v>4.2864886456730103E-2</c:v>
                </c:pt>
                <c:pt idx="58">
                  <c:v>1.6003493537152379E-2</c:v>
                </c:pt>
                <c:pt idx="59">
                  <c:v>6.3905046726965339E-3</c:v>
                </c:pt>
                <c:pt idx="60">
                  <c:v>1.3417186050607519E-2</c:v>
                </c:pt>
                <c:pt idx="61">
                  <c:v>2.6436223837926501E-2</c:v>
                </c:pt>
                <c:pt idx="62">
                  <c:v>6.6233973400350477E-2</c:v>
                </c:pt>
                <c:pt idx="63">
                  <c:v>0.1084169878649764</c:v>
                </c:pt>
                <c:pt idx="64">
                  <c:v>0.18887031649880051</c:v>
                </c:pt>
                <c:pt idx="65">
                  <c:v>0.1715230569234828</c:v>
                </c:pt>
                <c:pt idx="66">
                  <c:v>0.1809062055635286</c:v>
                </c:pt>
                <c:pt idx="67">
                  <c:v>0.15512153111725799</c:v>
                </c:pt>
                <c:pt idx="68">
                  <c:v>0.1275567235314205</c:v>
                </c:pt>
                <c:pt idx="69">
                  <c:v>6.2873767847415107E-2</c:v>
                </c:pt>
                <c:pt idx="70">
                  <c:v>1.780902737610289E-2</c:v>
                </c:pt>
                <c:pt idx="71">
                  <c:v>6.7857975683456679E-3</c:v>
                </c:pt>
                <c:pt idx="72">
                  <c:v>1.366055484422285E-2</c:v>
                </c:pt>
                <c:pt idx="73">
                  <c:v>4.3419934817177687E-2</c:v>
                </c:pt>
                <c:pt idx="74">
                  <c:v>0.1120694547038418</c:v>
                </c:pt>
                <c:pt idx="75">
                  <c:v>0.14827548756052711</c:v>
                </c:pt>
                <c:pt idx="76">
                  <c:v>0.19244468175967161</c:v>
                </c:pt>
                <c:pt idx="77">
                  <c:v>0.18784829238523279</c:v>
                </c:pt>
                <c:pt idx="78">
                  <c:v>0.21828188848241209</c:v>
                </c:pt>
                <c:pt idx="79">
                  <c:v>0.19011684012808119</c:v>
                </c:pt>
                <c:pt idx="80">
                  <c:v>0.13816152724517919</c:v>
                </c:pt>
                <c:pt idx="81">
                  <c:v>6.9462071202051626E-2</c:v>
                </c:pt>
                <c:pt idx="82">
                  <c:v>2.6604970402147529E-2</c:v>
                </c:pt>
                <c:pt idx="83">
                  <c:v>1.40253486520015E-2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657-7747-9426-2CDA064F9DAA}"/>
            </c:ext>
          </c:extLst>
        </c:ser>
        <c:ser>
          <c:idx val="1"/>
          <c:order val="1"/>
          <c:tx>
            <c:strRef>
              <c:f>'Capture Price Inputs'!$G$1</c:f>
              <c:strCache>
                <c:ptCount val="1"/>
                <c:pt idx="0">
                  <c:v>DK2 Solar Penetration (%) — Robustness</c:v>
                </c:pt>
              </c:strCache>
            </c:strRef>
          </c:tx>
          <c:spPr>
            <a:ln>
              <a:solidFill>
                <a:srgbClr val="FFD700"/>
              </a:solidFill>
              <a:prstDash val="solid"/>
            </a:ln>
          </c:spPr>
          <c:marker>
            <c:symbol val="none"/>
          </c:marker>
          <c:val>
            <c:numRef>
              <c:f>'Capture Price Inputs'!$G$2:$G$85</c:f>
              <c:numCache>
                <c:formatCode>General</c:formatCode>
                <c:ptCount val="84"/>
                <c:pt idx="12">
                  <c:v>1.864323044087839E-3</c:v>
                </c:pt>
                <c:pt idx="13">
                  <c:v>4.9613393448072352E-3</c:v>
                </c:pt>
                <c:pt idx="14">
                  <c:v>1.532033335337761E-2</c:v>
                </c:pt>
                <c:pt idx="15">
                  <c:v>2.6180595134545931E-2</c:v>
                </c:pt>
                <c:pt idx="16">
                  <c:v>3.2240930774166239E-2</c:v>
                </c:pt>
                <c:pt idx="17">
                  <c:v>3.0651812088155841E-2</c:v>
                </c:pt>
                <c:pt idx="18">
                  <c:v>2.998206800974695E-2</c:v>
                </c:pt>
                <c:pt idx="19">
                  <c:v>2.8034713414307081E-2</c:v>
                </c:pt>
                <c:pt idx="20">
                  <c:v>2.1736479101595249E-2</c:v>
                </c:pt>
                <c:pt idx="21">
                  <c:v>1.107911770574695E-2</c:v>
                </c:pt>
                <c:pt idx="22">
                  <c:v>1.1044611578332841E-4</c:v>
                </c:pt>
                <c:pt idx="23">
                  <c:v>5.6352433584062588E-6</c:v>
                </c:pt>
                <c:pt idx="24">
                  <c:v>3.104474131982996E-3</c:v>
                </c:pt>
                <c:pt idx="25">
                  <c:v>9.2483369487723587E-3</c:v>
                </c:pt>
                <c:pt idx="26">
                  <c:v>1.8474517045212829E-2</c:v>
                </c:pt>
                <c:pt idx="27">
                  <c:v>3.2694407483312787E-2</c:v>
                </c:pt>
                <c:pt idx="28">
                  <c:v>3.2945829294540187E-2</c:v>
                </c:pt>
                <c:pt idx="29">
                  <c:v>4.4480133140056069E-2</c:v>
                </c:pt>
                <c:pt idx="30">
                  <c:v>3.7049542537302173E-2</c:v>
                </c:pt>
                <c:pt idx="31">
                  <c:v>3.1857768834261987E-2</c:v>
                </c:pt>
                <c:pt idx="32">
                  <c:v>2.23981137027396E-2</c:v>
                </c:pt>
                <c:pt idx="33">
                  <c:v>1.267326343754744E-2</c:v>
                </c:pt>
                <c:pt idx="34">
                  <c:v>4.0132810857910267E-3</c:v>
                </c:pt>
                <c:pt idx="35">
                  <c:v>1.8226295838260991E-3</c:v>
                </c:pt>
                <c:pt idx="36">
                  <c:v>4.939556742877535E-3</c:v>
                </c:pt>
                <c:pt idx="37">
                  <c:v>1.3248485586698279E-2</c:v>
                </c:pt>
                <c:pt idx="38">
                  <c:v>3.4089330349121053E-2</c:v>
                </c:pt>
                <c:pt idx="39">
                  <c:v>5.5254436099578648E-2</c:v>
                </c:pt>
                <c:pt idx="40">
                  <c:v>6.5811459960859395E-2</c:v>
                </c:pt>
                <c:pt idx="41">
                  <c:v>6.4528229045867816E-2</c:v>
                </c:pt>
                <c:pt idx="42">
                  <c:v>6.7025803801952916E-2</c:v>
                </c:pt>
                <c:pt idx="43">
                  <c:v>6.1299924397195817E-2</c:v>
                </c:pt>
                <c:pt idx="44">
                  <c:v>4.5784276103507021E-2</c:v>
                </c:pt>
                <c:pt idx="45">
                  <c:v>2.9809058027035401E-2</c:v>
                </c:pt>
                <c:pt idx="46">
                  <c:v>7.8652952619005494E-3</c:v>
                </c:pt>
                <c:pt idx="47">
                  <c:v>4.5323555529735481E-3</c:v>
                </c:pt>
                <c:pt idx="48">
                  <c:v>5.8626527231366082E-3</c:v>
                </c:pt>
                <c:pt idx="49">
                  <c:v>1.8877648418373551E-2</c:v>
                </c:pt>
                <c:pt idx="50">
                  <c:v>3.7096229392005707E-2</c:v>
                </c:pt>
                <c:pt idx="51">
                  <c:v>8.0269966033824955E-2</c:v>
                </c:pt>
                <c:pt idx="52">
                  <c:v>0.1080032082802261</c:v>
                </c:pt>
                <c:pt idx="53">
                  <c:v>0.1144244665352921</c:v>
                </c:pt>
                <c:pt idx="54">
                  <c:v>0.10203074507159759</c:v>
                </c:pt>
                <c:pt idx="55">
                  <c:v>7.7931010532967707E-2</c:v>
                </c:pt>
                <c:pt idx="56">
                  <c:v>8.0909954639318743E-2</c:v>
                </c:pt>
                <c:pt idx="57">
                  <c:v>2.9172340215594381E-2</c:v>
                </c:pt>
                <c:pt idx="58">
                  <c:v>1.04098691216888E-2</c:v>
                </c:pt>
                <c:pt idx="59">
                  <c:v>3.809030164374855E-3</c:v>
                </c:pt>
                <c:pt idx="60">
                  <c:v>6.1781830729755079E-3</c:v>
                </c:pt>
                <c:pt idx="61">
                  <c:v>1.667231366864759E-2</c:v>
                </c:pt>
                <c:pt idx="62">
                  <c:v>4.1112806367337662E-2</c:v>
                </c:pt>
                <c:pt idx="63">
                  <c:v>6.5123378744806448E-2</c:v>
                </c:pt>
                <c:pt idx="64">
                  <c:v>0.106315341440858</c:v>
                </c:pt>
                <c:pt idx="65">
                  <c:v>0.1072729076610999</c:v>
                </c:pt>
                <c:pt idx="66">
                  <c:v>0.1057942634887733</c:v>
                </c:pt>
                <c:pt idx="67">
                  <c:v>9.3690832268705199E-2</c:v>
                </c:pt>
                <c:pt idx="68">
                  <c:v>7.2463202820400169E-2</c:v>
                </c:pt>
                <c:pt idx="69">
                  <c:v>3.6145253892379881E-2</c:v>
                </c:pt>
                <c:pt idx="70">
                  <c:v>8.6028414054236078E-3</c:v>
                </c:pt>
                <c:pt idx="71">
                  <c:v>4.1714684657767577E-3</c:v>
                </c:pt>
                <c:pt idx="72">
                  <c:v>7.223240212576967E-3</c:v>
                </c:pt>
                <c:pt idx="73">
                  <c:v>2.010831138567791E-2</c:v>
                </c:pt>
                <c:pt idx="74">
                  <c:v>4.6547866447452589E-2</c:v>
                </c:pt>
                <c:pt idx="75">
                  <c:v>7.1689783649061992E-2</c:v>
                </c:pt>
                <c:pt idx="76">
                  <c:v>9.4714127256233946E-2</c:v>
                </c:pt>
                <c:pt idx="77">
                  <c:v>9.9826250015510765E-2</c:v>
                </c:pt>
                <c:pt idx="78">
                  <c:v>9.3996419418699143E-2</c:v>
                </c:pt>
                <c:pt idx="79">
                  <c:v>0.1057378118957395</c:v>
                </c:pt>
                <c:pt idx="80">
                  <c:v>9.0628879686523764E-2</c:v>
                </c:pt>
                <c:pt idx="81">
                  <c:v>3.9573125678626628E-2</c:v>
                </c:pt>
                <c:pt idx="82">
                  <c:v>1.454364344794783E-2</c:v>
                </c:pt>
                <c:pt idx="83">
                  <c:v>9.0694911608833299E-3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657-7747-9426-2CDA064F9D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Solar Penetration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Capture Price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Inputs'!$H$1</c:f>
              <c:strCache>
                <c:ptCount val="1"/>
                <c:pt idx="0">
                  <c:v>DK1 Capture Price (EUR/MWh)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Inputs'!$H$2:$H$85</c:f>
              <c:numCache>
                <c:formatCode>General</c:formatCode>
                <c:ptCount val="84"/>
                <c:pt idx="12">
                  <c:v>25.22320957280251</c:v>
                </c:pt>
                <c:pt idx="13">
                  <c:v>22.83581899109792</c:v>
                </c:pt>
                <c:pt idx="14">
                  <c:v>15.94107348554973</c:v>
                </c:pt>
                <c:pt idx="15">
                  <c:v>10.36487590420421</c:v>
                </c:pt>
                <c:pt idx="16">
                  <c:v>15.478548945086001</c:v>
                </c:pt>
                <c:pt idx="17">
                  <c:v>27.313308227868689</c:v>
                </c:pt>
                <c:pt idx="18">
                  <c:v>24.831745178109159</c:v>
                </c:pt>
                <c:pt idx="19">
                  <c:v>33.876915422047851</c:v>
                </c:pt>
                <c:pt idx="20">
                  <c:v>38.935979003379593</c:v>
                </c:pt>
                <c:pt idx="21">
                  <c:v>31.927741533059191</c:v>
                </c:pt>
                <c:pt idx="22">
                  <c:v>26.005993265993261</c:v>
                </c:pt>
                <c:pt idx="23">
                  <c:v>34.795161290322582</c:v>
                </c:pt>
                <c:pt idx="24">
                  <c:v>55.422967607277918</c:v>
                </c:pt>
                <c:pt idx="25">
                  <c:v>47.542610979142587</c:v>
                </c:pt>
                <c:pt idx="26">
                  <c:v>44.550700915805493</c:v>
                </c:pt>
                <c:pt idx="27">
                  <c:v>43.594739828473003</c:v>
                </c:pt>
                <c:pt idx="28">
                  <c:v>47.655870575001217</c:v>
                </c:pt>
                <c:pt idx="29">
                  <c:v>70.543547911111062</c:v>
                </c:pt>
                <c:pt idx="30">
                  <c:v>78.568319747758608</c:v>
                </c:pt>
                <c:pt idx="31">
                  <c:v>81.983351136401794</c:v>
                </c:pt>
                <c:pt idx="32">
                  <c:v>116.20022495544841</c:v>
                </c:pt>
                <c:pt idx="33">
                  <c:v>126.53039520323949</c:v>
                </c:pt>
                <c:pt idx="34">
                  <c:v>160.77058330102949</c:v>
                </c:pt>
                <c:pt idx="35">
                  <c:v>228.8621705579358</c:v>
                </c:pt>
                <c:pt idx="36">
                  <c:v>123.20125067917191</c:v>
                </c:pt>
                <c:pt idx="37">
                  <c:v>117.67077903546</c:v>
                </c:pt>
                <c:pt idx="38">
                  <c:v>191.50807173506701</c:v>
                </c:pt>
                <c:pt idx="39">
                  <c:v>145.70138715926041</c:v>
                </c:pt>
                <c:pt idx="40">
                  <c:v>149.4185612445558</c:v>
                </c:pt>
                <c:pt idx="41">
                  <c:v>194.71103409481981</c:v>
                </c:pt>
                <c:pt idx="42">
                  <c:v>239.3981525107354</c:v>
                </c:pt>
                <c:pt idx="43">
                  <c:v>419.79263722660602</c:v>
                </c:pt>
                <c:pt idx="44">
                  <c:v>310.70739927266709</c:v>
                </c:pt>
                <c:pt idx="45">
                  <c:v>125.6295598680838</c:v>
                </c:pt>
                <c:pt idx="46">
                  <c:v>131.7111886265582</c:v>
                </c:pt>
                <c:pt idx="47">
                  <c:v>282.82379374207261</c:v>
                </c:pt>
                <c:pt idx="48">
                  <c:v>138.52998868426329</c:v>
                </c:pt>
                <c:pt idx="49">
                  <c:v>109.87697572135031</c:v>
                </c:pt>
                <c:pt idx="50">
                  <c:v>93.774190940695377</c:v>
                </c:pt>
                <c:pt idx="51">
                  <c:v>76.25042822265543</c:v>
                </c:pt>
                <c:pt idx="52">
                  <c:v>50.543487760082613</c:v>
                </c:pt>
                <c:pt idx="53">
                  <c:v>74.888982776218057</c:v>
                </c:pt>
                <c:pt idx="54">
                  <c:v>52.095599438463452</c:v>
                </c:pt>
                <c:pt idx="55">
                  <c:v>74.180426039978187</c:v>
                </c:pt>
                <c:pt idx="56">
                  <c:v>68.116869623396937</c:v>
                </c:pt>
                <c:pt idx="57">
                  <c:v>50.539090519702853</c:v>
                </c:pt>
                <c:pt idx="58">
                  <c:v>90.680805562425178</c:v>
                </c:pt>
                <c:pt idx="59">
                  <c:v>63.455327688788032</c:v>
                </c:pt>
                <c:pt idx="60">
                  <c:v>78.571316441678306</c:v>
                </c:pt>
                <c:pt idx="61">
                  <c:v>59.479486768055089</c:v>
                </c:pt>
                <c:pt idx="62">
                  <c:v>51.269783241554933</c:v>
                </c:pt>
                <c:pt idx="63">
                  <c:v>49.383940562011212</c:v>
                </c:pt>
                <c:pt idx="64">
                  <c:v>35.894148271408874</c:v>
                </c:pt>
                <c:pt idx="65">
                  <c:v>47.037633727397647</c:v>
                </c:pt>
                <c:pt idx="66">
                  <c:v>42.521773223099522</c:v>
                </c:pt>
                <c:pt idx="67">
                  <c:v>52.17121747504909</c:v>
                </c:pt>
                <c:pt idx="68">
                  <c:v>45.647504626217007</c:v>
                </c:pt>
                <c:pt idx="69">
                  <c:v>58.441583787091993</c:v>
                </c:pt>
                <c:pt idx="70">
                  <c:v>97.582352616331917</c:v>
                </c:pt>
                <c:pt idx="71">
                  <c:v>92.073217693833982</c:v>
                </c:pt>
                <c:pt idx="72">
                  <c:v>111.1945655985155</c:v>
                </c:pt>
                <c:pt idx="73">
                  <c:v>105.41315973788279</c:v>
                </c:pt>
                <c:pt idx="74">
                  <c:v>57.84566339627056</c:v>
                </c:pt>
                <c:pt idx="75">
                  <c:v>45.844395770687349</c:v>
                </c:pt>
                <c:pt idx="76">
                  <c:v>40.065667394009381</c:v>
                </c:pt>
                <c:pt idx="77">
                  <c:v>33.493381965196598</c:v>
                </c:pt>
                <c:pt idx="78">
                  <c:v>61.32224821093979</c:v>
                </c:pt>
                <c:pt idx="79">
                  <c:v>47.755824567457559</c:v>
                </c:pt>
                <c:pt idx="80">
                  <c:v>49.429094996057238</c:v>
                </c:pt>
                <c:pt idx="81">
                  <c:v>74.266634537895257</c:v>
                </c:pt>
                <c:pt idx="82">
                  <c:v>95.564531802521344</c:v>
                </c:pt>
                <c:pt idx="83">
                  <c:v>80.958034242780258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EE6-3F4B-A6D0-63C6569D0F2A}"/>
            </c:ext>
          </c:extLst>
        </c:ser>
        <c:ser>
          <c:idx val="1"/>
          <c:order val="1"/>
          <c:tx>
            <c:strRef>
              <c:f>'Capture Price Inputs'!$I$1</c:f>
              <c:strCache>
                <c:ptCount val="1"/>
                <c:pt idx="0">
                  <c:v>DK2 Capture Price (EUR/MWh)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'Capture Price Inputs'!$I$2:$I$85</c:f>
              <c:numCache>
                <c:formatCode>General</c:formatCode>
                <c:ptCount val="84"/>
                <c:pt idx="12">
                  <c:v>29.86213642213642</c:v>
                </c:pt>
                <c:pt idx="13">
                  <c:v>23.555517829721889</c:v>
                </c:pt>
                <c:pt idx="14">
                  <c:v>17.149050692261021</c:v>
                </c:pt>
                <c:pt idx="15">
                  <c:v>13.252523128367081</c:v>
                </c:pt>
                <c:pt idx="16">
                  <c:v>18.594049382716051</c:v>
                </c:pt>
                <c:pt idx="17">
                  <c:v>35.21078005032583</c:v>
                </c:pt>
                <c:pt idx="18">
                  <c:v>26.450778046867001</c:v>
                </c:pt>
                <c:pt idx="19">
                  <c:v>44.113765015404859</c:v>
                </c:pt>
                <c:pt idx="20">
                  <c:v>41.853047880870562</c:v>
                </c:pt>
                <c:pt idx="21">
                  <c:v>33.600878372903331</c:v>
                </c:pt>
                <c:pt idx="22">
                  <c:v>37.749765625000002</c:v>
                </c:pt>
                <c:pt idx="23">
                  <c:v>44.191428571428567</c:v>
                </c:pt>
                <c:pt idx="24">
                  <c:v>57.072134410081453</c:v>
                </c:pt>
                <c:pt idx="25">
                  <c:v>52.285083654524577</c:v>
                </c:pt>
                <c:pt idx="26">
                  <c:v>47.422643011897812</c:v>
                </c:pt>
                <c:pt idx="27">
                  <c:v>45.901363748248833</c:v>
                </c:pt>
                <c:pt idx="28">
                  <c:v>50.258720231460799</c:v>
                </c:pt>
                <c:pt idx="29">
                  <c:v>69.469341653776226</c:v>
                </c:pt>
                <c:pt idx="30">
                  <c:v>77.933111551394319</c:v>
                </c:pt>
                <c:pt idx="31">
                  <c:v>84.512747690257029</c:v>
                </c:pt>
                <c:pt idx="32">
                  <c:v>118.7457227855615</c:v>
                </c:pt>
                <c:pt idx="33">
                  <c:v>122.3841235967906</c:v>
                </c:pt>
                <c:pt idx="34">
                  <c:v>153.62679427815749</c:v>
                </c:pt>
                <c:pt idx="35">
                  <c:v>244.48727859764409</c:v>
                </c:pt>
                <c:pt idx="36">
                  <c:v>129.67749023150819</c:v>
                </c:pt>
                <c:pt idx="37">
                  <c:v>108.80333899256409</c:v>
                </c:pt>
                <c:pt idx="38">
                  <c:v>186.0504424586062</c:v>
                </c:pt>
                <c:pt idx="39">
                  <c:v>143.53758886421849</c:v>
                </c:pt>
                <c:pt idx="40">
                  <c:v>146.25360234460331</c:v>
                </c:pt>
                <c:pt idx="41">
                  <c:v>192.2325905808319</c:v>
                </c:pt>
                <c:pt idx="42">
                  <c:v>212.3625858003895</c:v>
                </c:pt>
                <c:pt idx="43">
                  <c:v>397.17988485976059</c:v>
                </c:pt>
                <c:pt idx="44">
                  <c:v>315.92884279677901</c:v>
                </c:pt>
                <c:pt idx="45">
                  <c:v>120.1190076327392</c:v>
                </c:pt>
                <c:pt idx="46">
                  <c:v>134.0399027878758</c:v>
                </c:pt>
                <c:pt idx="47">
                  <c:v>303.26978481668573</c:v>
                </c:pt>
                <c:pt idx="48">
                  <c:v>120.8992864784306</c:v>
                </c:pt>
                <c:pt idx="49">
                  <c:v>103.112625406295</c:v>
                </c:pt>
                <c:pt idx="50">
                  <c:v>89.098468921641697</c:v>
                </c:pt>
                <c:pt idx="51">
                  <c:v>71.125099705594195</c:v>
                </c:pt>
                <c:pt idx="52">
                  <c:v>48.358083796456327</c:v>
                </c:pt>
                <c:pt idx="53">
                  <c:v>71.862090372222397</c:v>
                </c:pt>
                <c:pt idx="54">
                  <c:v>50.345966617092351</c:v>
                </c:pt>
                <c:pt idx="55">
                  <c:v>72.957992347987414</c:v>
                </c:pt>
                <c:pt idx="56">
                  <c:v>64.394484672464898</c:v>
                </c:pt>
                <c:pt idx="57">
                  <c:v>47.660255094286853</c:v>
                </c:pt>
                <c:pt idx="58">
                  <c:v>84.639978605265995</c:v>
                </c:pt>
                <c:pt idx="59">
                  <c:v>59.061746333079718</c:v>
                </c:pt>
                <c:pt idx="60">
                  <c:v>76.427202535219209</c:v>
                </c:pt>
                <c:pt idx="61">
                  <c:v>51.434379196547752</c:v>
                </c:pt>
                <c:pt idx="62">
                  <c:v>50.751163813053438</c:v>
                </c:pt>
                <c:pt idx="63">
                  <c:v>47.053967904827999</c:v>
                </c:pt>
                <c:pt idx="64">
                  <c:v>34.295794113692892</c:v>
                </c:pt>
                <c:pt idx="65">
                  <c:v>46.379384034583367</c:v>
                </c:pt>
                <c:pt idx="66">
                  <c:v>38.812821969471173</c:v>
                </c:pt>
                <c:pt idx="67">
                  <c:v>47.151863118292532</c:v>
                </c:pt>
                <c:pt idx="68">
                  <c:v>43.355946350842189</c:v>
                </c:pt>
                <c:pt idx="69">
                  <c:v>59.534937630286556</c:v>
                </c:pt>
                <c:pt idx="70">
                  <c:v>89.611277477917284</c:v>
                </c:pt>
                <c:pt idx="71">
                  <c:v>100.7961313991171</c:v>
                </c:pt>
                <c:pt idx="72">
                  <c:v>115.0822593270056</c:v>
                </c:pt>
                <c:pt idx="73">
                  <c:v>106.92318207316821</c:v>
                </c:pt>
                <c:pt idx="74">
                  <c:v>50.018062961268747</c:v>
                </c:pt>
                <c:pt idx="75">
                  <c:v>41.82584156307518</c:v>
                </c:pt>
                <c:pt idx="76">
                  <c:v>34.320660344591218</c:v>
                </c:pt>
                <c:pt idx="77">
                  <c:v>24.31568572006325</c:v>
                </c:pt>
                <c:pt idx="78">
                  <c:v>59.766943882147693</c:v>
                </c:pt>
                <c:pt idx="79">
                  <c:v>43.064604783544858</c:v>
                </c:pt>
                <c:pt idx="80">
                  <c:v>52.949405153808357</c:v>
                </c:pt>
                <c:pt idx="81">
                  <c:v>78.645730322406678</c:v>
                </c:pt>
                <c:pt idx="82">
                  <c:v>92.690454871532665</c:v>
                </c:pt>
                <c:pt idx="83">
                  <c:v>79.631228022083661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EE6-3F4B-A6D0-63C6569D0F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Capture Price Ratio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Inputs'!$J$1</c:f>
              <c:strCache>
                <c:ptCount val="1"/>
                <c:pt idx="0">
                  <c:v>DK1 CPR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Inputs'!$J$2:$J$85</c:f>
              <c:numCache>
                <c:formatCode>General</c:formatCode>
                <c:ptCount val="84"/>
                <c:pt idx="12">
                  <c:v>1.0091486594474419</c:v>
                </c:pt>
                <c:pt idx="13">
                  <c:v>1.2985911686950511</c:v>
                </c:pt>
                <c:pt idx="14">
                  <c:v>0.8710146939215303</c:v>
                </c:pt>
                <c:pt idx="15">
                  <c:v>0.71315772558819213</c:v>
                </c:pt>
                <c:pt idx="16">
                  <c:v>0.96415576931205649</c:v>
                </c:pt>
                <c:pt idx="17">
                  <c:v>1.0394664137310941</c:v>
                </c:pt>
                <c:pt idx="18">
                  <c:v>1.0086181556608309</c:v>
                </c:pt>
                <c:pt idx="19">
                  <c:v>0.98082264407500741</c:v>
                </c:pt>
                <c:pt idx="20">
                  <c:v>1.0104044869130051</c:v>
                </c:pt>
                <c:pt idx="21">
                  <c:v>1.236802226812374</c:v>
                </c:pt>
                <c:pt idx="22">
                  <c:v>1.094777917215692</c:v>
                </c:pt>
                <c:pt idx="23">
                  <c:v>1.0082301641826621</c:v>
                </c:pt>
                <c:pt idx="24">
                  <c:v>1.103930861568265</c:v>
                </c:pt>
                <c:pt idx="25">
                  <c:v>1.0059479277054251</c:v>
                </c:pt>
                <c:pt idx="26">
                  <c:v>0.9871758725122356</c:v>
                </c:pt>
                <c:pt idx="27">
                  <c:v>0.90884647456650169</c:v>
                </c:pt>
                <c:pt idx="28">
                  <c:v>0.87751805187154364</c:v>
                </c:pt>
                <c:pt idx="29">
                  <c:v>0.95691427953473174</c:v>
                </c:pt>
                <c:pt idx="30">
                  <c:v>0.98211323715969778</c:v>
                </c:pt>
                <c:pt idx="31">
                  <c:v>0.99027147802450566</c:v>
                </c:pt>
                <c:pt idx="32">
                  <c:v>0.92690440483613579</c:v>
                </c:pt>
                <c:pt idx="33">
                  <c:v>1.0810885074134391</c:v>
                </c:pt>
                <c:pt idx="34">
                  <c:v>1.1338034085044659</c:v>
                </c:pt>
                <c:pt idx="35">
                  <c:v>1.2086769624549281</c:v>
                </c:pt>
                <c:pt idx="36">
                  <c:v>1.0441257304277269</c:v>
                </c:pt>
                <c:pt idx="37">
                  <c:v>1.04022281700981</c:v>
                </c:pt>
                <c:pt idx="38">
                  <c:v>0.81207759044207406</c:v>
                </c:pt>
                <c:pt idx="39">
                  <c:v>0.89039133384678326</c:v>
                </c:pt>
                <c:pt idx="40">
                  <c:v>0.86943016050498578</c:v>
                </c:pt>
                <c:pt idx="41">
                  <c:v>0.90803902012341908</c:v>
                </c:pt>
                <c:pt idx="42">
                  <c:v>0.87041791592949547</c:v>
                </c:pt>
                <c:pt idx="43">
                  <c:v>0.91908553046700026</c:v>
                </c:pt>
                <c:pt idx="44">
                  <c:v>0.90632901805683119</c:v>
                </c:pt>
                <c:pt idx="45">
                  <c:v>0.91612325253961768</c:v>
                </c:pt>
                <c:pt idx="46">
                  <c:v>0.94278612074660006</c:v>
                </c:pt>
                <c:pt idx="47">
                  <c:v>1.132810339248927</c:v>
                </c:pt>
                <c:pt idx="48">
                  <c:v>1.2309198691226539</c:v>
                </c:pt>
                <c:pt idx="49">
                  <c:v>0.93008781340266</c:v>
                </c:pt>
                <c:pt idx="50">
                  <c:v>0.94612539759598957</c:v>
                </c:pt>
                <c:pt idx="51">
                  <c:v>0.79203966120386338</c:v>
                </c:pt>
                <c:pt idx="52">
                  <c:v>0.68333610561519953</c:v>
                </c:pt>
                <c:pt idx="53">
                  <c:v>0.80965062086215667</c:v>
                </c:pt>
                <c:pt idx="54">
                  <c:v>0.80380421953260928</c:v>
                </c:pt>
                <c:pt idx="55">
                  <c:v>0.86289309777204071</c:v>
                </c:pt>
                <c:pt idx="56">
                  <c:v>0.8038389922187259</c:v>
                </c:pt>
                <c:pt idx="57">
                  <c:v>0.84083605560542263</c:v>
                </c:pt>
                <c:pt idx="58">
                  <c:v>1.028656893611996</c:v>
                </c:pt>
                <c:pt idx="59">
                  <c:v>0.91325607762876626</c:v>
                </c:pt>
                <c:pt idx="60">
                  <c:v>1.051614630458469</c:v>
                </c:pt>
                <c:pt idx="61">
                  <c:v>1.0144208291794441</c:v>
                </c:pt>
                <c:pt idx="62">
                  <c:v>0.8373818542217274</c:v>
                </c:pt>
                <c:pt idx="63">
                  <c:v>0.83468460161643787</c:v>
                </c:pt>
                <c:pt idx="64">
                  <c:v>0.61339845366508694</c:v>
                </c:pt>
                <c:pt idx="65">
                  <c:v>0.73781003223868646</c:v>
                </c:pt>
                <c:pt idx="66">
                  <c:v>0.68549949487061801</c:v>
                </c:pt>
                <c:pt idx="67">
                  <c:v>0.71512676219349525</c:v>
                </c:pt>
                <c:pt idx="68">
                  <c:v>0.63652522303957304</c:v>
                </c:pt>
                <c:pt idx="69">
                  <c:v>0.76175188075929667</c:v>
                </c:pt>
                <c:pt idx="70">
                  <c:v>1.0174940038611719</c:v>
                </c:pt>
                <c:pt idx="71">
                  <c:v>1.0025674160411211</c:v>
                </c:pt>
                <c:pt idx="72">
                  <c:v>1.135032584901597</c:v>
                </c:pt>
                <c:pt idx="73">
                  <c:v>0.93411665141872979</c:v>
                </c:pt>
                <c:pt idx="74">
                  <c:v>0.68579081688022481</c:v>
                </c:pt>
                <c:pt idx="75">
                  <c:v>0.60995353561832499</c:v>
                </c:pt>
                <c:pt idx="76">
                  <c:v>0.62375117423189408</c:v>
                </c:pt>
                <c:pt idx="77">
                  <c:v>0.56976432128633303</c:v>
                </c:pt>
                <c:pt idx="78">
                  <c:v>0.74058967108380014</c:v>
                </c:pt>
                <c:pt idx="79">
                  <c:v>0.64997112344594554</c:v>
                </c:pt>
                <c:pt idx="80">
                  <c:v>0.68273474898658593</c:v>
                </c:pt>
                <c:pt idx="81">
                  <c:v>0.94701517193480578</c:v>
                </c:pt>
                <c:pt idx="82">
                  <c:v>1.0289764309560969</c:v>
                </c:pt>
                <c:pt idx="83">
                  <c:v>0.98205388617926037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F8-0A48-B701-7BE922EF86A7}"/>
            </c:ext>
          </c:extLst>
        </c:ser>
        <c:ser>
          <c:idx val="1"/>
          <c:order val="1"/>
          <c:tx>
            <c:strRef>
              <c:f>'Capture Price Inputs'!$K$1</c:f>
              <c:strCache>
                <c:ptCount val="1"/>
                <c:pt idx="0">
                  <c:v>DK2 CPR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'Capture Price Inputs'!$K$2:$K$85</c:f>
              <c:numCache>
                <c:formatCode>General</c:formatCode>
                <c:ptCount val="84"/>
                <c:pt idx="12">
                  <c:v>1.090446324793763</c:v>
                </c:pt>
                <c:pt idx="13">
                  <c:v>1.251821301318464</c:v>
                </c:pt>
                <c:pt idx="14">
                  <c:v>0.85520775851277109</c:v>
                </c:pt>
                <c:pt idx="15">
                  <c:v>0.76362023547871605</c:v>
                </c:pt>
                <c:pt idx="16">
                  <c:v>0.97636938233545278</c:v>
                </c:pt>
                <c:pt idx="17">
                  <c:v>1.180647007173951</c:v>
                </c:pt>
                <c:pt idx="18">
                  <c:v>1.021791049952987</c:v>
                </c:pt>
                <c:pt idx="19">
                  <c:v>1.077948442472481</c:v>
                </c:pt>
                <c:pt idx="20">
                  <c:v>1.0591890923358069</c:v>
                </c:pt>
                <c:pt idx="21">
                  <c:v>1.247549053102559</c:v>
                </c:pt>
                <c:pt idx="22">
                  <c:v>1.057080411727209</c:v>
                </c:pt>
                <c:pt idx="23">
                  <c:v>1.125691191699302</c:v>
                </c:pt>
                <c:pt idx="24">
                  <c:v>1.122164979814525</c:v>
                </c:pt>
                <c:pt idx="25">
                  <c:v>0.9585139857498034</c:v>
                </c:pt>
                <c:pt idx="26">
                  <c:v>1.0147741726503949</c:v>
                </c:pt>
                <c:pt idx="27">
                  <c:v>0.95901643664766134</c:v>
                </c:pt>
                <c:pt idx="28">
                  <c:v>0.91033887361171206</c:v>
                </c:pt>
                <c:pt idx="29">
                  <c:v>0.94404491874816343</c:v>
                </c:pt>
                <c:pt idx="30">
                  <c:v>0.95692856904650769</c:v>
                </c:pt>
                <c:pt idx="31">
                  <c:v>1.001768528067071</c:v>
                </c:pt>
                <c:pt idx="32">
                  <c:v>0.95838336990944806</c:v>
                </c:pt>
                <c:pt idx="33">
                  <c:v>1.1445012658471321</c:v>
                </c:pt>
                <c:pt idx="34">
                  <c:v>1.1264608571418011</c:v>
                </c:pt>
                <c:pt idx="35">
                  <c:v>1.279578427053047</c:v>
                </c:pt>
                <c:pt idx="36">
                  <c:v>1.1617546523412821</c:v>
                </c:pt>
                <c:pt idx="37">
                  <c:v>1.084871924613185</c:v>
                </c:pt>
                <c:pt idx="38">
                  <c:v>0.81629582758371144</c:v>
                </c:pt>
                <c:pt idx="39">
                  <c:v>0.93918048773921026</c:v>
                </c:pt>
                <c:pt idx="40">
                  <c:v>0.89914563143311954</c:v>
                </c:pt>
                <c:pt idx="41">
                  <c:v>0.90151367457475784</c:v>
                </c:pt>
                <c:pt idx="42">
                  <c:v>0.90956244496775596</c:v>
                </c:pt>
                <c:pt idx="43">
                  <c:v>0.8830756108422062</c:v>
                </c:pt>
                <c:pt idx="44">
                  <c:v>0.96085369829588263</c:v>
                </c:pt>
                <c:pt idx="45">
                  <c:v>0.87743541957368609</c:v>
                </c:pt>
                <c:pt idx="46">
                  <c:v>0.92404474391789948</c:v>
                </c:pt>
                <c:pt idx="47">
                  <c:v>1.2185280560697289</c:v>
                </c:pt>
                <c:pt idx="48">
                  <c:v>1.2118663236304299</c:v>
                </c:pt>
                <c:pt idx="49">
                  <c:v>1.0244781228159621</c:v>
                </c:pt>
                <c:pt idx="50">
                  <c:v>0.99223631219701203</c:v>
                </c:pt>
                <c:pt idx="51">
                  <c:v>0.85025873478203906</c:v>
                </c:pt>
                <c:pt idx="52">
                  <c:v>0.73101748270540212</c:v>
                </c:pt>
                <c:pt idx="53">
                  <c:v>0.78603819917365525</c:v>
                </c:pt>
                <c:pt idx="54">
                  <c:v>0.77170348712471282</c:v>
                </c:pt>
                <c:pt idx="55">
                  <c:v>0.84546104105698361</c:v>
                </c:pt>
                <c:pt idx="56">
                  <c:v>0.75329173308453345</c:v>
                </c:pt>
                <c:pt idx="57">
                  <c:v>0.83723449033464103</c:v>
                </c:pt>
                <c:pt idx="58">
                  <c:v>1.038705241708771</c:v>
                </c:pt>
                <c:pt idx="59">
                  <c:v>0.83326707575628478</c:v>
                </c:pt>
                <c:pt idx="60">
                  <c:v>0.97714487510792902</c:v>
                </c:pt>
                <c:pt idx="61">
                  <c:v>0.93991726033346112</c:v>
                </c:pt>
                <c:pt idx="62">
                  <c:v>0.8314293202728863</c:v>
                </c:pt>
                <c:pt idx="63">
                  <c:v>0.77805107456374178</c:v>
                </c:pt>
                <c:pt idx="64">
                  <c:v>0.59005563427075769</c:v>
                </c:pt>
                <c:pt idx="65">
                  <c:v>0.69439585691141426</c:v>
                </c:pt>
                <c:pt idx="66">
                  <c:v>0.61762838453946423</c:v>
                </c:pt>
                <c:pt idx="67">
                  <c:v>0.64934714792296455</c:v>
                </c:pt>
                <c:pt idx="68">
                  <c:v>0.61574801135475132</c:v>
                </c:pt>
                <c:pt idx="69">
                  <c:v>0.78000735067931948</c:v>
                </c:pt>
                <c:pt idx="70">
                  <c:v>0.94047799551015088</c:v>
                </c:pt>
                <c:pt idx="71">
                  <c:v>1.0870067185479459</c:v>
                </c:pt>
                <c:pt idx="72">
                  <c:v>1.1494003648079021</c:v>
                </c:pt>
                <c:pt idx="73">
                  <c:v>0.90662384271333907</c:v>
                </c:pt>
                <c:pt idx="74">
                  <c:v>0.60374116471580297</c:v>
                </c:pt>
                <c:pt idx="75">
                  <c:v>0.55174367988103734</c:v>
                </c:pt>
                <c:pt idx="76">
                  <c:v>0.54405946330729504</c:v>
                </c:pt>
                <c:pt idx="77">
                  <c:v>0.4307606652121766</c:v>
                </c:pt>
                <c:pt idx="78">
                  <c:v>0.74746341861966192</c:v>
                </c:pt>
                <c:pt idx="79">
                  <c:v>0.57178942343359873</c:v>
                </c:pt>
                <c:pt idx="80">
                  <c:v>0.63573160083367797</c:v>
                </c:pt>
                <c:pt idx="81">
                  <c:v>0.95480840081563045</c:v>
                </c:pt>
                <c:pt idx="82">
                  <c:v>0.98927251294969987</c:v>
                </c:pt>
                <c:pt idx="83">
                  <c:v>0.97014796253594149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F8-0A48-B701-7BE922EF86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CPR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Solar Penetration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Inputs'!$F$1</c:f>
              <c:strCache>
                <c:ptCount val="1"/>
                <c:pt idx="0">
                  <c:v>DK1 Solar Penetration (%) — Primary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'Capture Price Inputs'!$F$2:$F$85</c:f>
              <c:numCache>
                <c:formatCode>General</c:formatCode>
                <c:ptCount val="84"/>
                <c:pt idx="12">
                  <c:v>2.2644478926294831E-3</c:v>
                </c:pt>
                <c:pt idx="13">
                  <c:v>5.2474520244822449E-3</c:v>
                </c:pt>
                <c:pt idx="14">
                  <c:v>2.020167759412729E-2</c:v>
                </c:pt>
                <c:pt idx="15">
                  <c:v>3.2427989612304697E-2</c:v>
                </c:pt>
                <c:pt idx="16">
                  <c:v>3.6080087237903569E-2</c:v>
                </c:pt>
                <c:pt idx="17">
                  <c:v>3.7413618831640891E-2</c:v>
                </c:pt>
                <c:pt idx="18">
                  <c:v>3.3998433859503921E-2</c:v>
                </c:pt>
                <c:pt idx="19">
                  <c:v>3.4224763142537661E-2</c:v>
                </c:pt>
                <c:pt idx="20">
                  <c:v>2.4330151939157239E-2</c:v>
                </c:pt>
                <c:pt idx="21">
                  <c:v>1.1490387549446779E-2</c:v>
                </c:pt>
                <c:pt idx="22">
                  <c:v>1.521101274151999E-4</c:v>
                </c:pt>
                <c:pt idx="23">
                  <c:v>1.472410662127807E-5</c:v>
                </c:pt>
                <c:pt idx="24">
                  <c:v>3.6313559990350909E-3</c:v>
                </c:pt>
                <c:pt idx="25">
                  <c:v>1.0868941718057299E-2</c:v>
                </c:pt>
                <c:pt idx="26">
                  <c:v>2.2382303907371628E-2</c:v>
                </c:pt>
                <c:pt idx="27">
                  <c:v>4.212837115783985E-2</c:v>
                </c:pt>
                <c:pt idx="28">
                  <c:v>3.3075052211960353E-2</c:v>
                </c:pt>
                <c:pt idx="29">
                  <c:v>4.9841661821819518E-2</c:v>
                </c:pt>
                <c:pt idx="30">
                  <c:v>4.85715434854639E-2</c:v>
                </c:pt>
                <c:pt idx="31">
                  <c:v>3.8876947944708702E-2</c:v>
                </c:pt>
                <c:pt idx="32">
                  <c:v>2.5932850179436289E-2</c:v>
                </c:pt>
                <c:pt idx="33">
                  <c:v>1.7460096431489061E-2</c:v>
                </c:pt>
                <c:pt idx="34">
                  <c:v>7.0293060058135041E-3</c:v>
                </c:pt>
                <c:pt idx="35">
                  <c:v>3.243365391886713E-3</c:v>
                </c:pt>
                <c:pt idx="36">
                  <c:v>6.6753155472480874E-3</c:v>
                </c:pt>
                <c:pt idx="37">
                  <c:v>1.7399571233002901E-2</c:v>
                </c:pt>
                <c:pt idx="38">
                  <c:v>6.1955070586442867E-2</c:v>
                </c:pt>
                <c:pt idx="39">
                  <c:v>8.404056603836467E-2</c:v>
                </c:pt>
                <c:pt idx="40">
                  <c:v>9.6876891420316108E-2</c:v>
                </c:pt>
                <c:pt idx="41">
                  <c:v>9.4962020744311482E-2</c:v>
                </c:pt>
                <c:pt idx="42">
                  <c:v>9.963556652585577E-2</c:v>
                </c:pt>
                <c:pt idx="43">
                  <c:v>8.9626978325266782E-2</c:v>
                </c:pt>
                <c:pt idx="44">
                  <c:v>6.6046498591704736E-2</c:v>
                </c:pt>
                <c:pt idx="45">
                  <c:v>3.7469414477654707E-2</c:v>
                </c:pt>
                <c:pt idx="46">
                  <c:v>1.046932675470221E-2</c:v>
                </c:pt>
                <c:pt idx="47">
                  <c:v>6.2291646451968653E-3</c:v>
                </c:pt>
                <c:pt idx="48">
                  <c:v>1.2460694276862919E-2</c:v>
                </c:pt>
                <c:pt idx="49">
                  <c:v>3.4376404191763639E-2</c:v>
                </c:pt>
                <c:pt idx="50">
                  <c:v>5.6477968577058592E-2</c:v>
                </c:pt>
                <c:pt idx="51">
                  <c:v>0.1509467292684683</c:v>
                </c:pt>
                <c:pt idx="52">
                  <c:v>0.18600333743842001</c:v>
                </c:pt>
                <c:pt idx="53">
                  <c:v>0.21892573712946101</c:v>
                </c:pt>
                <c:pt idx="54">
                  <c:v>0.18929524056345021</c:v>
                </c:pt>
                <c:pt idx="55">
                  <c:v>0.1493297980639493</c:v>
                </c:pt>
                <c:pt idx="56">
                  <c:v>0.13191654386548721</c:v>
                </c:pt>
                <c:pt idx="57">
                  <c:v>4.2864886456730103E-2</c:v>
                </c:pt>
                <c:pt idx="58">
                  <c:v>1.6003493537152379E-2</c:v>
                </c:pt>
                <c:pt idx="59">
                  <c:v>6.3905046726965339E-3</c:v>
                </c:pt>
                <c:pt idx="60">
                  <c:v>1.3417186050607519E-2</c:v>
                </c:pt>
                <c:pt idx="61">
                  <c:v>2.6436223837926501E-2</c:v>
                </c:pt>
                <c:pt idx="62">
                  <c:v>6.6233973400350477E-2</c:v>
                </c:pt>
                <c:pt idx="63">
                  <c:v>0.1084169878649764</c:v>
                </c:pt>
                <c:pt idx="64">
                  <c:v>0.18887031649880051</c:v>
                </c:pt>
                <c:pt idx="65">
                  <c:v>0.1715230569234828</c:v>
                </c:pt>
                <c:pt idx="66">
                  <c:v>0.1809062055635286</c:v>
                </c:pt>
                <c:pt idx="67">
                  <c:v>0.15512153111725799</c:v>
                </c:pt>
                <c:pt idx="68">
                  <c:v>0.1275567235314205</c:v>
                </c:pt>
                <c:pt idx="69">
                  <c:v>6.2873767847415107E-2</c:v>
                </c:pt>
                <c:pt idx="70">
                  <c:v>1.780902737610289E-2</c:v>
                </c:pt>
                <c:pt idx="71">
                  <c:v>6.7857975683456679E-3</c:v>
                </c:pt>
                <c:pt idx="72">
                  <c:v>1.366055484422285E-2</c:v>
                </c:pt>
                <c:pt idx="73">
                  <c:v>4.3419934817177687E-2</c:v>
                </c:pt>
                <c:pt idx="74">
                  <c:v>0.1120694547038418</c:v>
                </c:pt>
                <c:pt idx="75">
                  <c:v>0.14827548756052711</c:v>
                </c:pt>
                <c:pt idx="76">
                  <c:v>0.19244468175967161</c:v>
                </c:pt>
                <c:pt idx="77">
                  <c:v>0.18784829238523279</c:v>
                </c:pt>
                <c:pt idx="78">
                  <c:v>0.21828188848241209</c:v>
                </c:pt>
                <c:pt idx="79">
                  <c:v>0.19011684012808119</c:v>
                </c:pt>
                <c:pt idx="80">
                  <c:v>0.13816152724517919</c:v>
                </c:pt>
                <c:pt idx="81">
                  <c:v>6.9462071202051626E-2</c:v>
                </c:pt>
                <c:pt idx="82">
                  <c:v>2.6604970402147529E-2</c:v>
                </c:pt>
                <c:pt idx="83">
                  <c:v>1.40253486520015E-2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03B-D24A-A841-A57732014527}"/>
            </c:ext>
          </c:extLst>
        </c:ser>
        <c:ser>
          <c:idx val="1"/>
          <c:order val="1"/>
          <c:tx>
            <c:strRef>
              <c:f>'Capture Price Inputs'!$G$1</c:f>
              <c:strCache>
                <c:ptCount val="1"/>
                <c:pt idx="0">
                  <c:v>DK2 Solar Penetration (%) — Robustness</c:v>
                </c:pt>
              </c:strCache>
            </c:strRef>
          </c:tx>
          <c:spPr>
            <a:ln>
              <a:solidFill>
                <a:srgbClr val="FFD700"/>
              </a:solidFill>
              <a:prstDash val="solid"/>
            </a:ln>
          </c:spPr>
          <c:marker>
            <c:symbol val="none"/>
          </c:marker>
          <c:val>
            <c:numRef>
              <c:f>'Capture Price Inputs'!$G$2:$G$85</c:f>
              <c:numCache>
                <c:formatCode>General</c:formatCode>
                <c:ptCount val="84"/>
                <c:pt idx="12">
                  <c:v>1.864323044087839E-3</c:v>
                </c:pt>
                <c:pt idx="13">
                  <c:v>4.9613393448072352E-3</c:v>
                </c:pt>
                <c:pt idx="14">
                  <c:v>1.532033335337761E-2</c:v>
                </c:pt>
                <c:pt idx="15">
                  <c:v>2.6180595134545931E-2</c:v>
                </c:pt>
                <c:pt idx="16">
                  <c:v>3.2240930774166239E-2</c:v>
                </c:pt>
                <c:pt idx="17">
                  <c:v>3.0651812088155841E-2</c:v>
                </c:pt>
                <c:pt idx="18">
                  <c:v>2.998206800974695E-2</c:v>
                </c:pt>
                <c:pt idx="19">
                  <c:v>2.8034713414307081E-2</c:v>
                </c:pt>
                <c:pt idx="20">
                  <c:v>2.1736479101595249E-2</c:v>
                </c:pt>
                <c:pt idx="21">
                  <c:v>1.107911770574695E-2</c:v>
                </c:pt>
                <c:pt idx="22">
                  <c:v>1.1044611578332841E-4</c:v>
                </c:pt>
                <c:pt idx="23">
                  <c:v>5.6352433584062588E-6</c:v>
                </c:pt>
                <c:pt idx="24">
                  <c:v>3.104474131982996E-3</c:v>
                </c:pt>
                <c:pt idx="25">
                  <c:v>9.2483369487723587E-3</c:v>
                </c:pt>
                <c:pt idx="26">
                  <c:v>1.8474517045212829E-2</c:v>
                </c:pt>
                <c:pt idx="27">
                  <c:v>3.2694407483312787E-2</c:v>
                </c:pt>
                <c:pt idx="28">
                  <c:v>3.2945829294540187E-2</c:v>
                </c:pt>
                <c:pt idx="29">
                  <c:v>4.4480133140056069E-2</c:v>
                </c:pt>
                <c:pt idx="30">
                  <c:v>3.7049542537302173E-2</c:v>
                </c:pt>
                <c:pt idx="31">
                  <c:v>3.1857768834261987E-2</c:v>
                </c:pt>
                <c:pt idx="32">
                  <c:v>2.23981137027396E-2</c:v>
                </c:pt>
                <c:pt idx="33">
                  <c:v>1.267326343754744E-2</c:v>
                </c:pt>
                <c:pt idx="34">
                  <c:v>4.0132810857910267E-3</c:v>
                </c:pt>
                <c:pt idx="35">
                  <c:v>1.8226295838260991E-3</c:v>
                </c:pt>
                <c:pt idx="36">
                  <c:v>4.939556742877535E-3</c:v>
                </c:pt>
                <c:pt idx="37">
                  <c:v>1.3248485586698279E-2</c:v>
                </c:pt>
                <c:pt idx="38">
                  <c:v>3.4089330349121053E-2</c:v>
                </c:pt>
                <c:pt idx="39">
                  <c:v>5.5254436099578648E-2</c:v>
                </c:pt>
                <c:pt idx="40">
                  <c:v>6.5811459960859395E-2</c:v>
                </c:pt>
                <c:pt idx="41">
                  <c:v>6.4528229045867816E-2</c:v>
                </c:pt>
                <c:pt idx="42">
                  <c:v>6.7025803801952916E-2</c:v>
                </c:pt>
                <c:pt idx="43">
                  <c:v>6.1299924397195817E-2</c:v>
                </c:pt>
                <c:pt idx="44">
                  <c:v>4.5784276103507021E-2</c:v>
                </c:pt>
                <c:pt idx="45">
                  <c:v>2.9809058027035401E-2</c:v>
                </c:pt>
                <c:pt idx="46">
                  <c:v>7.8652952619005494E-3</c:v>
                </c:pt>
                <c:pt idx="47">
                  <c:v>4.5323555529735481E-3</c:v>
                </c:pt>
                <c:pt idx="48">
                  <c:v>5.8626527231366082E-3</c:v>
                </c:pt>
                <c:pt idx="49">
                  <c:v>1.8877648418373551E-2</c:v>
                </c:pt>
                <c:pt idx="50">
                  <c:v>3.7096229392005707E-2</c:v>
                </c:pt>
                <c:pt idx="51">
                  <c:v>8.0269966033824955E-2</c:v>
                </c:pt>
                <c:pt idx="52">
                  <c:v>0.1080032082802261</c:v>
                </c:pt>
                <c:pt idx="53">
                  <c:v>0.1144244665352921</c:v>
                </c:pt>
                <c:pt idx="54">
                  <c:v>0.10203074507159759</c:v>
                </c:pt>
                <c:pt idx="55">
                  <c:v>7.7931010532967707E-2</c:v>
                </c:pt>
                <c:pt idx="56">
                  <c:v>8.0909954639318743E-2</c:v>
                </c:pt>
                <c:pt idx="57">
                  <c:v>2.9172340215594381E-2</c:v>
                </c:pt>
                <c:pt idx="58">
                  <c:v>1.04098691216888E-2</c:v>
                </c:pt>
                <c:pt idx="59">
                  <c:v>3.809030164374855E-3</c:v>
                </c:pt>
                <c:pt idx="60">
                  <c:v>6.1781830729755079E-3</c:v>
                </c:pt>
                <c:pt idx="61">
                  <c:v>1.667231366864759E-2</c:v>
                </c:pt>
                <c:pt idx="62">
                  <c:v>4.1112806367337662E-2</c:v>
                </c:pt>
                <c:pt idx="63">
                  <c:v>6.5123378744806448E-2</c:v>
                </c:pt>
                <c:pt idx="64">
                  <c:v>0.106315341440858</c:v>
                </c:pt>
                <c:pt idx="65">
                  <c:v>0.1072729076610999</c:v>
                </c:pt>
                <c:pt idx="66">
                  <c:v>0.1057942634887733</c:v>
                </c:pt>
                <c:pt idx="67">
                  <c:v>9.3690832268705199E-2</c:v>
                </c:pt>
                <c:pt idx="68">
                  <c:v>7.2463202820400169E-2</c:v>
                </c:pt>
                <c:pt idx="69">
                  <c:v>3.6145253892379881E-2</c:v>
                </c:pt>
                <c:pt idx="70">
                  <c:v>8.6028414054236078E-3</c:v>
                </c:pt>
                <c:pt idx="71">
                  <c:v>4.1714684657767577E-3</c:v>
                </c:pt>
                <c:pt idx="72">
                  <c:v>7.223240212576967E-3</c:v>
                </c:pt>
                <c:pt idx="73">
                  <c:v>2.010831138567791E-2</c:v>
                </c:pt>
                <c:pt idx="74">
                  <c:v>4.6547866447452589E-2</c:v>
                </c:pt>
                <c:pt idx="75">
                  <c:v>7.1689783649061992E-2</c:v>
                </c:pt>
                <c:pt idx="76">
                  <c:v>9.4714127256233946E-2</c:v>
                </c:pt>
                <c:pt idx="77">
                  <c:v>9.9826250015510765E-2</c:v>
                </c:pt>
                <c:pt idx="78">
                  <c:v>9.3996419418699143E-2</c:v>
                </c:pt>
                <c:pt idx="79">
                  <c:v>0.1057378118957395</c:v>
                </c:pt>
                <c:pt idx="80">
                  <c:v>9.0628879686523764E-2</c:v>
                </c:pt>
                <c:pt idx="81">
                  <c:v>3.9573125678626628E-2</c:v>
                </c:pt>
                <c:pt idx="82">
                  <c:v>1.454364344794783E-2</c:v>
                </c:pt>
                <c:pt idx="83">
                  <c:v>9.0694911608833299E-3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03B-D24A-A841-A577320145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Solar Penetration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Capture Price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Inputs'!$H$1</c:f>
              <c:strCache>
                <c:ptCount val="1"/>
                <c:pt idx="0">
                  <c:v>DK1 Capture Price (EUR/MWh)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Inputs'!$H$2:$H$85</c:f>
              <c:numCache>
                <c:formatCode>General</c:formatCode>
                <c:ptCount val="84"/>
                <c:pt idx="12">
                  <c:v>25.22320957280251</c:v>
                </c:pt>
                <c:pt idx="13">
                  <c:v>22.83581899109792</c:v>
                </c:pt>
                <c:pt idx="14">
                  <c:v>15.94107348554973</c:v>
                </c:pt>
                <c:pt idx="15">
                  <c:v>10.36487590420421</c:v>
                </c:pt>
                <c:pt idx="16">
                  <c:v>15.478548945086001</c:v>
                </c:pt>
                <c:pt idx="17">
                  <c:v>27.313308227868689</c:v>
                </c:pt>
                <c:pt idx="18">
                  <c:v>24.831745178109159</c:v>
                </c:pt>
                <c:pt idx="19">
                  <c:v>33.876915422047851</c:v>
                </c:pt>
                <c:pt idx="20">
                  <c:v>38.935979003379593</c:v>
                </c:pt>
                <c:pt idx="21">
                  <c:v>31.927741533059191</c:v>
                </c:pt>
                <c:pt idx="22">
                  <c:v>26.005993265993261</c:v>
                </c:pt>
                <c:pt idx="23">
                  <c:v>34.795161290322582</c:v>
                </c:pt>
                <c:pt idx="24">
                  <c:v>55.422967607277918</c:v>
                </c:pt>
                <c:pt idx="25">
                  <c:v>47.542610979142587</c:v>
                </c:pt>
                <c:pt idx="26">
                  <c:v>44.550700915805493</c:v>
                </c:pt>
                <c:pt idx="27">
                  <c:v>43.594739828473003</c:v>
                </c:pt>
                <c:pt idx="28">
                  <c:v>47.655870575001217</c:v>
                </c:pt>
                <c:pt idx="29">
                  <c:v>70.543547911111062</c:v>
                </c:pt>
                <c:pt idx="30">
                  <c:v>78.568319747758608</c:v>
                </c:pt>
                <c:pt idx="31">
                  <c:v>81.983351136401794</c:v>
                </c:pt>
                <c:pt idx="32">
                  <c:v>116.20022495544841</c:v>
                </c:pt>
                <c:pt idx="33">
                  <c:v>126.53039520323949</c:v>
                </c:pt>
                <c:pt idx="34">
                  <c:v>160.77058330102949</c:v>
                </c:pt>
                <c:pt idx="35">
                  <c:v>228.8621705579358</c:v>
                </c:pt>
                <c:pt idx="36">
                  <c:v>123.20125067917191</c:v>
                </c:pt>
                <c:pt idx="37">
                  <c:v>117.67077903546</c:v>
                </c:pt>
                <c:pt idx="38">
                  <c:v>191.50807173506701</c:v>
                </c:pt>
                <c:pt idx="39">
                  <c:v>145.70138715926041</c:v>
                </c:pt>
                <c:pt idx="40">
                  <c:v>149.4185612445558</c:v>
                </c:pt>
                <c:pt idx="41">
                  <c:v>194.71103409481981</c:v>
                </c:pt>
                <c:pt idx="42">
                  <c:v>239.3981525107354</c:v>
                </c:pt>
                <c:pt idx="43">
                  <c:v>419.79263722660602</c:v>
                </c:pt>
                <c:pt idx="44">
                  <c:v>310.70739927266709</c:v>
                </c:pt>
                <c:pt idx="45">
                  <c:v>125.6295598680838</c:v>
                </c:pt>
                <c:pt idx="46">
                  <c:v>131.7111886265582</c:v>
                </c:pt>
                <c:pt idx="47">
                  <c:v>282.82379374207261</c:v>
                </c:pt>
                <c:pt idx="48">
                  <c:v>138.52998868426329</c:v>
                </c:pt>
                <c:pt idx="49">
                  <c:v>109.87697572135031</c:v>
                </c:pt>
                <c:pt idx="50">
                  <c:v>93.774190940695377</c:v>
                </c:pt>
                <c:pt idx="51">
                  <c:v>76.25042822265543</c:v>
                </c:pt>
                <c:pt idx="52">
                  <c:v>50.543487760082613</c:v>
                </c:pt>
                <c:pt idx="53">
                  <c:v>74.888982776218057</c:v>
                </c:pt>
                <c:pt idx="54">
                  <c:v>52.095599438463452</c:v>
                </c:pt>
                <c:pt idx="55">
                  <c:v>74.180426039978187</c:v>
                </c:pt>
                <c:pt idx="56">
                  <c:v>68.116869623396937</c:v>
                </c:pt>
                <c:pt idx="57">
                  <c:v>50.539090519702853</c:v>
                </c:pt>
                <c:pt idx="58">
                  <c:v>90.680805562425178</c:v>
                </c:pt>
                <c:pt idx="59">
                  <c:v>63.455327688788032</c:v>
                </c:pt>
                <c:pt idx="60">
                  <c:v>78.571316441678306</c:v>
                </c:pt>
                <c:pt idx="61">
                  <c:v>59.479486768055089</c:v>
                </c:pt>
                <c:pt idx="62">
                  <c:v>51.269783241554933</c:v>
                </c:pt>
                <c:pt idx="63">
                  <c:v>49.383940562011212</c:v>
                </c:pt>
                <c:pt idx="64">
                  <c:v>35.894148271408874</c:v>
                </c:pt>
                <c:pt idx="65">
                  <c:v>47.037633727397647</c:v>
                </c:pt>
                <c:pt idx="66">
                  <c:v>42.521773223099522</c:v>
                </c:pt>
                <c:pt idx="67">
                  <c:v>52.17121747504909</c:v>
                </c:pt>
                <c:pt idx="68">
                  <c:v>45.647504626217007</c:v>
                </c:pt>
                <c:pt idx="69">
                  <c:v>58.441583787091993</c:v>
                </c:pt>
                <c:pt idx="70">
                  <c:v>97.582352616331917</c:v>
                </c:pt>
                <c:pt idx="71">
                  <c:v>92.073217693833982</c:v>
                </c:pt>
                <c:pt idx="72">
                  <c:v>111.1945655985155</c:v>
                </c:pt>
                <c:pt idx="73">
                  <c:v>105.41315973788279</c:v>
                </c:pt>
                <c:pt idx="74">
                  <c:v>57.84566339627056</c:v>
                </c:pt>
                <c:pt idx="75">
                  <c:v>45.844395770687349</c:v>
                </c:pt>
                <c:pt idx="76">
                  <c:v>40.065667394009381</c:v>
                </c:pt>
                <c:pt idx="77">
                  <c:v>33.493381965196598</c:v>
                </c:pt>
                <c:pt idx="78">
                  <c:v>61.32224821093979</c:v>
                </c:pt>
                <c:pt idx="79">
                  <c:v>47.755824567457559</c:v>
                </c:pt>
                <c:pt idx="80">
                  <c:v>49.429094996057238</c:v>
                </c:pt>
                <c:pt idx="81">
                  <c:v>74.266634537895257</c:v>
                </c:pt>
                <c:pt idx="82">
                  <c:v>95.564531802521344</c:v>
                </c:pt>
                <c:pt idx="83">
                  <c:v>80.958034242780258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AE2-CC42-A886-1E6EFBEAA26E}"/>
            </c:ext>
          </c:extLst>
        </c:ser>
        <c:ser>
          <c:idx val="1"/>
          <c:order val="1"/>
          <c:tx>
            <c:strRef>
              <c:f>'Capture Price Inputs'!$I$1</c:f>
              <c:strCache>
                <c:ptCount val="1"/>
                <c:pt idx="0">
                  <c:v>DK2 Capture Price (EUR/MWh)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'Capture Price Inputs'!$I$2:$I$85</c:f>
              <c:numCache>
                <c:formatCode>General</c:formatCode>
                <c:ptCount val="84"/>
                <c:pt idx="12">
                  <c:v>29.86213642213642</c:v>
                </c:pt>
                <c:pt idx="13">
                  <c:v>23.555517829721889</c:v>
                </c:pt>
                <c:pt idx="14">
                  <c:v>17.149050692261021</c:v>
                </c:pt>
                <c:pt idx="15">
                  <c:v>13.252523128367081</c:v>
                </c:pt>
                <c:pt idx="16">
                  <c:v>18.594049382716051</c:v>
                </c:pt>
                <c:pt idx="17">
                  <c:v>35.21078005032583</c:v>
                </c:pt>
                <c:pt idx="18">
                  <c:v>26.450778046867001</c:v>
                </c:pt>
                <c:pt idx="19">
                  <c:v>44.113765015404859</c:v>
                </c:pt>
                <c:pt idx="20">
                  <c:v>41.853047880870562</c:v>
                </c:pt>
                <c:pt idx="21">
                  <c:v>33.600878372903331</c:v>
                </c:pt>
                <c:pt idx="22">
                  <c:v>37.749765625000002</c:v>
                </c:pt>
                <c:pt idx="23">
                  <c:v>44.191428571428567</c:v>
                </c:pt>
                <c:pt idx="24">
                  <c:v>57.072134410081453</c:v>
                </c:pt>
                <c:pt idx="25">
                  <c:v>52.285083654524577</c:v>
                </c:pt>
                <c:pt idx="26">
                  <c:v>47.422643011897812</c:v>
                </c:pt>
                <c:pt idx="27">
                  <c:v>45.901363748248833</c:v>
                </c:pt>
                <c:pt idx="28">
                  <c:v>50.258720231460799</c:v>
                </c:pt>
                <c:pt idx="29">
                  <c:v>69.469341653776226</c:v>
                </c:pt>
                <c:pt idx="30">
                  <c:v>77.933111551394319</c:v>
                </c:pt>
                <c:pt idx="31">
                  <c:v>84.512747690257029</c:v>
                </c:pt>
                <c:pt idx="32">
                  <c:v>118.7457227855615</c:v>
                </c:pt>
                <c:pt idx="33">
                  <c:v>122.3841235967906</c:v>
                </c:pt>
                <c:pt idx="34">
                  <c:v>153.62679427815749</c:v>
                </c:pt>
                <c:pt idx="35">
                  <c:v>244.48727859764409</c:v>
                </c:pt>
                <c:pt idx="36">
                  <c:v>129.67749023150819</c:v>
                </c:pt>
                <c:pt idx="37">
                  <c:v>108.80333899256409</c:v>
                </c:pt>
                <c:pt idx="38">
                  <c:v>186.0504424586062</c:v>
                </c:pt>
                <c:pt idx="39">
                  <c:v>143.53758886421849</c:v>
                </c:pt>
                <c:pt idx="40">
                  <c:v>146.25360234460331</c:v>
                </c:pt>
                <c:pt idx="41">
                  <c:v>192.2325905808319</c:v>
                </c:pt>
                <c:pt idx="42">
                  <c:v>212.3625858003895</c:v>
                </c:pt>
                <c:pt idx="43">
                  <c:v>397.17988485976059</c:v>
                </c:pt>
                <c:pt idx="44">
                  <c:v>315.92884279677901</c:v>
                </c:pt>
                <c:pt idx="45">
                  <c:v>120.1190076327392</c:v>
                </c:pt>
                <c:pt idx="46">
                  <c:v>134.0399027878758</c:v>
                </c:pt>
                <c:pt idx="47">
                  <c:v>303.26978481668573</c:v>
                </c:pt>
                <c:pt idx="48">
                  <c:v>120.8992864784306</c:v>
                </c:pt>
                <c:pt idx="49">
                  <c:v>103.112625406295</c:v>
                </c:pt>
                <c:pt idx="50">
                  <c:v>89.098468921641697</c:v>
                </c:pt>
                <c:pt idx="51">
                  <c:v>71.125099705594195</c:v>
                </c:pt>
                <c:pt idx="52">
                  <c:v>48.358083796456327</c:v>
                </c:pt>
                <c:pt idx="53">
                  <c:v>71.862090372222397</c:v>
                </c:pt>
                <c:pt idx="54">
                  <c:v>50.345966617092351</c:v>
                </c:pt>
                <c:pt idx="55">
                  <c:v>72.957992347987414</c:v>
                </c:pt>
                <c:pt idx="56">
                  <c:v>64.394484672464898</c:v>
                </c:pt>
                <c:pt idx="57">
                  <c:v>47.660255094286853</c:v>
                </c:pt>
                <c:pt idx="58">
                  <c:v>84.639978605265995</c:v>
                </c:pt>
                <c:pt idx="59">
                  <c:v>59.061746333079718</c:v>
                </c:pt>
                <c:pt idx="60">
                  <c:v>76.427202535219209</c:v>
                </c:pt>
                <c:pt idx="61">
                  <c:v>51.434379196547752</c:v>
                </c:pt>
                <c:pt idx="62">
                  <c:v>50.751163813053438</c:v>
                </c:pt>
                <c:pt idx="63">
                  <c:v>47.053967904827999</c:v>
                </c:pt>
                <c:pt idx="64">
                  <c:v>34.295794113692892</c:v>
                </c:pt>
                <c:pt idx="65">
                  <c:v>46.379384034583367</c:v>
                </c:pt>
                <c:pt idx="66">
                  <c:v>38.812821969471173</c:v>
                </c:pt>
                <c:pt idx="67">
                  <c:v>47.151863118292532</c:v>
                </c:pt>
                <c:pt idx="68">
                  <c:v>43.355946350842189</c:v>
                </c:pt>
                <c:pt idx="69">
                  <c:v>59.534937630286556</c:v>
                </c:pt>
                <c:pt idx="70">
                  <c:v>89.611277477917284</c:v>
                </c:pt>
                <c:pt idx="71">
                  <c:v>100.7961313991171</c:v>
                </c:pt>
                <c:pt idx="72">
                  <c:v>115.0822593270056</c:v>
                </c:pt>
                <c:pt idx="73">
                  <c:v>106.92318207316821</c:v>
                </c:pt>
                <c:pt idx="74">
                  <c:v>50.018062961268747</c:v>
                </c:pt>
                <c:pt idx="75">
                  <c:v>41.82584156307518</c:v>
                </c:pt>
                <c:pt idx="76">
                  <c:v>34.320660344591218</c:v>
                </c:pt>
                <c:pt idx="77">
                  <c:v>24.31568572006325</c:v>
                </c:pt>
                <c:pt idx="78">
                  <c:v>59.766943882147693</c:v>
                </c:pt>
                <c:pt idx="79">
                  <c:v>43.064604783544858</c:v>
                </c:pt>
                <c:pt idx="80">
                  <c:v>52.949405153808357</c:v>
                </c:pt>
                <c:pt idx="81">
                  <c:v>78.645730322406678</c:v>
                </c:pt>
                <c:pt idx="82">
                  <c:v>92.690454871532665</c:v>
                </c:pt>
                <c:pt idx="83">
                  <c:v>79.631228022083661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AE2-CC42-A886-1E6EFBEAA2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Capture Price Ratio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Inputs'!$J$1</c:f>
              <c:strCache>
                <c:ptCount val="1"/>
                <c:pt idx="0">
                  <c:v>DK1 CPR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Inputs'!$J$2:$J$85</c:f>
              <c:numCache>
                <c:formatCode>General</c:formatCode>
                <c:ptCount val="84"/>
                <c:pt idx="12">
                  <c:v>1.0091486594474419</c:v>
                </c:pt>
                <c:pt idx="13">
                  <c:v>1.2985911686950511</c:v>
                </c:pt>
                <c:pt idx="14">
                  <c:v>0.8710146939215303</c:v>
                </c:pt>
                <c:pt idx="15">
                  <c:v>0.71315772558819213</c:v>
                </c:pt>
                <c:pt idx="16">
                  <c:v>0.96415576931205649</c:v>
                </c:pt>
                <c:pt idx="17">
                  <c:v>1.0394664137310941</c:v>
                </c:pt>
                <c:pt idx="18">
                  <c:v>1.0086181556608309</c:v>
                </c:pt>
                <c:pt idx="19">
                  <c:v>0.98082264407500741</c:v>
                </c:pt>
                <c:pt idx="20">
                  <c:v>1.0104044869130051</c:v>
                </c:pt>
                <c:pt idx="21">
                  <c:v>1.236802226812374</c:v>
                </c:pt>
                <c:pt idx="22">
                  <c:v>1.094777917215692</c:v>
                </c:pt>
                <c:pt idx="23">
                  <c:v>1.0082301641826621</c:v>
                </c:pt>
                <c:pt idx="24">
                  <c:v>1.103930861568265</c:v>
                </c:pt>
                <c:pt idx="25">
                  <c:v>1.0059479277054251</c:v>
                </c:pt>
                <c:pt idx="26">
                  <c:v>0.9871758725122356</c:v>
                </c:pt>
                <c:pt idx="27">
                  <c:v>0.90884647456650169</c:v>
                </c:pt>
                <c:pt idx="28">
                  <c:v>0.87751805187154364</c:v>
                </c:pt>
                <c:pt idx="29">
                  <c:v>0.95691427953473174</c:v>
                </c:pt>
                <c:pt idx="30">
                  <c:v>0.98211323715969778</c:v>
                </c:pt>
                <c:pt idx="31">
                  <c:v>0.99027147802450566</c:v>
                </c:pt>
                <c:pt idx="32">
                  <c:v>0.92690440483613579</c:v>
                </c:pt>
                <c:pt idx="33">
                  <c:v>1.0810885074134391</c:v>
                </c:pt>
                <c:pt idx="34">
                  <c:v>1.1338034085044659</c:v>
                </c:pt>
                <c:pt idx="35">
                  <c:v>1.2086769624549281</c:v>
                </c:pt>
                <c:pt idx="36">
                  <c:v>1.0441257304277269</c:v>
                </c:pt>
                <c:pt idx="37">
                  <c:v>1.04022281700981</c:v>
                </c:pt>
                <c:pt idx="38">
                  <c:v>0.81207759044207406</c:v>
                </c:pt>
                <c:pt idx="39">
                  <c:v>0.89039133384678326</c:v>
                </c:pt>
                <c:pt idx="40">
                  <c:v>0.86943016050498578</c:v>
                </c:pt>
                <c:pt idx="41">
                  <c:v>0.90803902012341908</c:v>
                </c:pt>
                <c:pt idx="42">
                  <c:v>0.87041791592949547</c:v>
                </c:pt>
                <c:pt idx="43">
                  <c:v>0.91908553046700026</c:v>
                </c:pt>
                <c:pt idx="44">
                  <c:v>0.90632901805683119</c:v>
                </c:pt>
                <c:pt idx="45">
                  <c:v>0.91612325253961768</c:v>
                </c:pt>
                <c:pt idx="46">
                  <c:v>0.94278612074660006</c:v>
                </c:pt>
                <c:pt idx="47">
                  <c:v>1.132810339248927</c:v>
                </c:pt>
                <c:pt idx="48">
                  <c:v>1.2309198691226539</c:v>
                </c:pt>
                <c:pt idx="49">
                  <c:v>0.93008781340266</c:v>
                </c:pt>
                <c:pt idx="50">
                  <c:v>0.94612539759598957</c:v>
                </c:pt>
                <c:pt idx="51">
                  <c:v>0.79203966120386338</c:v>
                </c:pt>
                <c:pt idx="52">
                  <c:v>0.68333610561519953</c:v>
                </c:pt>
                <c:pt idx="53">
                  <c:v>0.80965062086215667</c:v>
                </c:pt>
                <c:pt idx="54">
                  <c:v>0.80380421953260928</c:v>
                </c:pt>
                <c:pt idx="55">
                  <c:v>0.86289309777204071</c:v>
                </c:pt>
                <c:pt idx="56">
                  <c:v>0.8038389922187259</c:v>
                </c:pt>
                <c:pt idx="57">
                  <c:v>0.84083605560542263</c:v>
                </c:pt>
                <c:pt idx="58">
                  <c:v>1.028656893611996</c:v>
                </c:pt>
                <c:pt idx="59">
                  <c:v>0.91325607762876626</c:v>
                </c:pt>
                <c:pt idx="60">
                  <c:v>1.051614630458469</c:v>
                </c:pt>
                <c:pt idx="61">
                  <c:v>1.0144208291794441</c:v>
                </c:pt>
                <c:pt idx="62">
                  <c:v>0.8373818542217274</c:v>
                </c:pt>
                <c:pt idx="63">
                  <c:v>0.83468460161643787</c:v>
                </c:pt>
                <c:pt idx="64">
                  <c:v>0.61339845366508694</c:v>
                </c:pt>
                <c:pt idx="65">
                  <c:v>0.73781003223868646</c:v>
                </c:pt>
                <c:pt idx="66">
                  <c:v>0.68549949487061801</c:v>
                </c:pt>
                <c:pt idx="67">
                  <c:v>0.71512676219349525</c:v>
                </c:pt>
                <c:pt idx="68">
                  <c:v>0.63652522303957304</c:v>
                </c:pt>
                <c:pt idx="69">
                  <c:v>0.76175188075929667</c:v>
                </c:pt>
                <c:pt idx="70">
                  <c:v>1.0174940038611719</c:v>
                </c:pt>
                <c:pt idx="71">
                  <c:v>1.0025674160411211</c:v>
                </c:pt>
                <c:pt idx="72">
                  <c:v>1.135032584901597</c:v>
                </c:pt>
                <c:pt idx="73">
                  <c:v>0.93411665141872979</c:v>
                </c:pt>
                <c:pt idx="74">
                  <c:v>0.68579081688022481</c:v>
                </c:pt>
                <c:pt idx="75">
                  <c:v>0.60995353561832499</c:v>
                </c:pt>
                <c:pt idx="76">
                  <c:v>0.62375117423189408</c:v>
                </c:pt>
                <c:pt idx="77">
                  <c:v>0.56976432128633303</c:v>
                </c:pt>
                <c:pt idx="78">
                  <c:v>0.74058967108380014</c:v>
                </c:pt>
                <c:pt idx="79">
                  <c:v>0.64997112344594554</c:v>
                </c:pt>
                <c:pt idx="80">
                  <c:v>0.68273474898658593</c:v>
                </c:pt>
                <c:pt idx="81">
                  <c:v>0.94701517193480578</c:v>
                </c:pt>
                <c:pt idx="82">
                  <c:v>1.0289764309560969</c:v>
                </c:pt>
                <c:pt idx="83">
                  <c:v>0.98205388617926037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4AB-1E47-9FD4-F7758C40C174}"/>
            </c:ext>
          </c:extLst>
        </c:ser>
        <c:ser>
          <c:idx val="1"/>
          <c:order val="1"/>
          <c:tx>
            <c:strRef>
              <c:f>'Capture Price Inputs'!$K$1</c:f>
              <c:strCache>
                <c:ptCount val="1"/>
                <c:pt idx="0">
                  <c:v>DK2 CPR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'Capture Price Inputs'!$K$2:$K$85</c:f>
              <c:numCache>
                <c:formatCode>General</c:formatCode>
                <c:ptCount val="84"/>
                <c:pt idx="12">
                  <c:v>1.090446324793763</c:v>
                </c:pt>
                <c:pt idx="13">
                  <c:v>1.251821301318464</c:v>
                </c:pt>
                <c:pt idx="14">
                  <c:v>0.85520775851277109</c:v>
                </c:pt>
                <c:pt idx="15">
                  <c:v>0.76362023547871605</c:v>
                </c:pt>
                <c:pt idx="16">
                  <c:v>0.97636938233545278</c:v>
                </c:pt>
                <c:pt idx="17">
                  <c:v>1.180647007173951</c:v>
                </c:pt>
                <c:pt idx="18">
                  <c:v>1.021791049952987</c:v>
                </c:pt>
                <c:pt idx="19">
                  <c:v>1.077948442472481</c:v>
                </c:pt>
                <c:pt idx="20">
                  <c:v>1.0591890923358069</c:v>
                </c:pt>
                <c:pt idx="21">
                  <c:v>1.247549053102559</c:v>
                </c:pt>
                <c:pt idx="22">
                  <c:v>1.057080411727209</c:v>
                </c:pt>
                <c:pt idx="23">
                  <c:v>1.125691191699302</c:v>
                </c:pt>
                <c:pt idx="24">
                  <c:v>1.122164979814525</c:v>
                </c:pt>
                <c:pt idx="25">
                  <c:v>0.9585139857498034</c:v>
                </c:pt>
                <c:pt idx="26">
                  <c:v>1.0147741726503949</c:v>
                </c:pt>
                <c:pt idx="27">
                  <c:v>0.95901643664766134</c:v>
                </c:pt>
                <c:pt idx="28">
                  <c:v>0.91033887361171206</c:v>
                </c:pt>
                <c:pt idx="29">
                  <c:v>0.94404491874816343</c:v>
                </c:pt>
                <c:pt idx="30">
                  <c:v>0.95692856904650769</c:v>
                </c:pt>
                <c:pt idx="31">
                  <c:v>1.001768528067071</c:v>
                </c:pt>
                <c:pt idx="32">
                  <c:v>0.95838336990944806</c:v>
                </c:pt>
                <c:pt idx="33">
                  <c:v>1.1445012658471321</c:v>
                </c:pt>
                <c:pt idx="34">
                  <c:v>1.1264608571418011</c:v>
                </c:pt>
                <c:pt idx="35">
                  <c:v>1.279578427053047</c:v>
                </c:pt>
                <c:pt idx="36">
                  <c:v>1.1617546523412821</c:v>
                </c:pt>
                <c:pt idx="37">
                  <c:v>1.084871924613185</c:v>
                </c:pt>
                <c:pt idx="38">
                  <c:v>0.81629582758371144</c:v>
                </c:pt>
                <c:pt idx="39">
                  <c:v>0.93918048773921026</c:v>
                </c:pt>
                <c:pt idx="40">
                  <c:v>0.89914563143311954</c:v>
                </c:pt>
                <c:pt idx="41">
                  <c:v>0.90151367457475784</c:v>
                </c:pt>
                <c:pt idx="42">
                  <c:v>0.90956244496775596</c:v>
                </c:pt>
                <c:pt idx="43">
                  <c:v>0.8830756108422062</c:v>
                </c:pt>
                <c:pt idx="44">
                  <c:v>0.96085369829588263</c:v>
                </c:pt>
                <c:pt idx="45">
                  <c:v>0.87743541957368609</c:v>
                </c:pt>
                <c:pt idx="46">
                  <c:v>0.92404474391789948</c:v>
                </c:pt>
                <c:pt idx="47">
                  <c:v>1.2185280560697289</c:v>
                </c:pt>
                <c:pt idx="48">
                  <c:v>1.2118663236304299</c:v>
                </c:pt>
                <c:pt idx="49">
                  <c:v>1.0244781228159621</c:v>
                </c:pt>
                <c:pt idx="50">
                  <c:v>0.99223631219701203</c:v>
                </c:pt>
                <c:pt idx="51">
                  <c:v>0.85025873478203906</c:v>
                </c:pt>
                <c:pt idx="52">
                  <c:v>0.73101748270540212</c:v>
                </c:pt>
                <c:pt idx="53">
                  <c:v>0.78603819917365525</c:v>
                </c:pt>
                <c:pt idx="54">
                  <c:v>0.77170348712471282</c:v>
                </c:pt>
                <c:pt idx="55">
                  <c:v>0.84546104105698361</c:v>
                </c:pt>
                <c:pt idx="56">
                  <c:v>0.75329173308453345</c:v>
                </c:pt>
                <c:pt idx="57">
                  <c:v>0.83723449033464103</c:v>
                </c:pt>
                <c:pt idx="58">
                  <c:v>1.038705241708771</c:v>
                </c:pt>
                <c:pt idx="59">
                  <c:v>0.83326707575628478</c:v>
                </c:pt>
                <c:pt idx="60">
                  <c:v>0.97714487510792902</c:v>
                </c:pt>
                <c:pt idx="61">
                  <c:v>0.93991726033346112</c:v>
                </c:pt>
                <c:pt idx="62">
                  <c:v>0.8314293202728863</c:v>
                </c:pt>
                <c:pt idx="63">
                  <c:v>0.77805107456374178</c:v>
                </c:pt>
                <c:pt idx="64">
                  <c:v>0.59005563427075769</c:v>
                </c:pt>
                <c:pt idx="65">
                  <c:v>0.69439585691141426</c:v>
                </c:pt>
                <c:pt idx="66">
                  <c:v>0.61762838453946423</c:v>
                </c:pt>
                <c:pt idx="67">
                  <c:v>0.64934714792296455</c:v>
                </c:pt>
                <c:pt idx="68">
                  <c:v>0.61574801135475132</c:v>
                </c:pt>
                <c:pt idx="69">
                  <c:v>0.78000735067931948</c:v>
                </c:pt>
                <c:pt idx="70">
                  <c:v>0.94047799551015088</c:v>
                </c:pt>
                <c:pt idx="71">
                  <c:v>1.0870067185479459</c:v>
                </c:pt>
                <c:pt idx="72">
                  <c:v>1.1494003648079021</c:v>
                </c:pt>
                <c:pt idx="73">
                  <c:v>0.90662384271333907</c:v>
                </c:pt>
                <c:pt idx="74">
                  <c:v>0.60374116471580297</c:v>
                </c:pt>
                <c:pt idx="75">
                  <c:v>0.55174367988103734</c:v>
                </c:pt>
                <c:pt idx="76">
                  <c:v>0.54405946330729504</c:v>
                </c:pt>
                <c:pt idx="77">
                  <c:v>0.4307606652121766</c:v>
                </c:pt>
                <c:pt idx="78">
                  <c:v>0.74746341861966192</c:v>
                </c:pt>
                <c:pt idx="79">
                  <c:v>0.57178942343359873</c:v>
                </c:pt>
                <c:pt idx="80">
                  <c:v>0.63573160083367797</c:v>
                </c:pt>
                <c:pt idx="81">
                  <c:v>0.95480840081563045</c:v>
                </c:pt>
                <c:pt idx="82">
                  <c:v>0.98927251294969987</c:v>
                </c:pt>
                <c:pt idx="83">
                  <c:v>0.97014796253594149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4AB-1E47-9FD4-F7758C40C1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CPR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Solar Penetration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Inputs'!$F$1</c:f>
              <c:strCache>
                <c:ptCount val="1"/>
                <c:pt idx="0">
                  <c:v>DK1 Solar Penetration (%) — Primary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'Capture Price Inputs'!$F$2:$F$85</c:f>
              <c:numCache>
                <c:formatCode>General</c:formatCode>
                <c:ptCount val="84"/>
                <c:pt idx="12">
                  <c:v>2.2644478926294831E-3</c:v>
                </c:pt>
                <c:pt idx="13">
                  <c:v>5.2474520244822449E-3</c:v>
                </c:pt>
                <c:pt idx="14">
                  <c:v>2.020167759412729E-2</c:v>
                </c:pt>
                <c:pt idx="15">
                  <c:v>3.2427989612304697E-2</c:v>
                </c:pt>
                <c:pt idx="16">
                  <c:v>3.6080087237903569E-2</c:v>
                </c:pt>
                <c:pt idx="17">
                  <c:v>3.7413618831640891E-2</c:v>
                </c:pt>
                <c:pt idx="18">
                  <c:v>3.3998433859503921E-2</c:v>
                </c:pt>
                <c:pt idx="19">
                  <c:v>3.4224763142537661E-2</c:v>
                </c:pt>
                <c:pt idx="20">
                  <c:v>2.4330151939157239E-2</c:v>
                </c:pt>
                <c:pt idx="21">
                  <c:v>1.1490387549446779E-2</c:v>
                </c:pt>
                <c:pt idx="22">
                  <c:v>1.521101274151999E-4</c:v>
                </c:pt>
                <c:pt idx="23">
                  <c:v>1.472410662127807E-5</c:v>
                </c:pt>
                <c:pt idx="24">
                  <c:v>3.6313559990350909E-3</c:v>
                </c:pt>
                <c:pt idx="25">
                  <c:v>1.0868941718057299E-2</c:v>
                </c:pt>
                <c:pt idx="26">
                  <c:v>2.2382303907371628E-2</c:v>
                </c:pt>
                <c:pt idx="27">
                  <c:v>4.212837115783985E-2</c:v>
                </c:pt>
                <c:pt idx="28">
                  <c:v>3.3075052211960353E-2</c:v>
                </c:pt>
                <c:pt idx="29">
                  <c:v>4.9841661821819518E-2</c:v>
                </c:pt>
                <c:pt idx="30">
                  <c:v>4.85715434854639E-2</c:v>
                </c:pt>
                <c:pt idx="31">
                  <c:v>3.8876947944708702E-2</c:v>
                </c:pt>
                <c:pt idx="32">
                  <c:v>2.5932850179436289E-2</c:v>
                </c:pt>
                <c:pt idx="33">
                  <c:v>1.7460096431489061E-2</c:v>
                </c:pt>
                <c:pt idx="34">
                  <c:v>7.0293060058135041E-3</c:v>
                </c:pt>
                <c:pt idx="35">
                  <c:v>3.243365391886713E-3</c:v>
                </c:pt>
                <c:pt idx="36">
                  <c:v>6.6753155472480874E-3</c:v>
                </c:pt>
                <c:pt idx="37">
                  <c:v>1.7399571233002901E-2</c:v>
                </c:pt>
                <c:pt idx="38">
                  <c:v>6.1955070586442867E-2</c:v>
                </c:pt>
                <c:pt idx="39">
                  <c:v>8.404056603836467E-2</c:v>
                </c:pt>
                <c:pt idx="40">
                  <c:v>9.6876891420316108E-2</c:v>
                </c:pt>
                <c:pt idx="41">
                  <c:v>9.4962020744311482E-2</c:v>
                </c:pt>
                <c:pt idx="42">
                  <c:v>9.963556652585577E-2</c:v>
                </c:pt>
                <c:pt idx="43">
                  <c:v>8.9626978325266782E-2</c:v>
                </c:pt>
                <c:pt idx="44">
                  <c:v>6.6046498591704736E-2</c:v>
                </c:pt>
                <c:pt idx="45">
                  <c:v>3.7469414477654707E-2</c:v>
                </c:pt>
                <c:pt idx="46">
                  <c:v>1.046932675470221E-2</c:v>
                </c:pt>
                <c:pt idx="47">
                  <c:v>6.2291646451968653E-3</c:v>
                </c:pt>
                <c:pt idx="48">
                  <c:v>1.2460694276862919E-2</c:v>
                </c:pt>
                <c:pt idx="49">
                  <c:v>3.4376404191763639E-2</c:v>
                </c:pt>
                <c:pt idx="50">
                  <c:v>5.6477968577058592E-2</c:v>
                </c:pt>
                <c:pt idx="51">
                  <c:v>0.1509467292684683</c:v>
                </c:pt>
                <c:pt idx="52">
                  <c:v>0.18600333743842001</c:v>
                </c:pt>
                <c:pt idx="53">
                  <c:v>0.21892573712946101</c:v>
                </c:pt>
                <c:pt idx="54">
                  <c:v>0.18929524056345021</c:v>
                </c:pt>
                <c:pt idx="55">
                  <c:v>0.1493297980639493</c:v>
                </c:pt>
                <c:pt idx="56">
                  <c:v>0.13191654386548721</c:v>
                </c:pt>
                <c:pt idx="57">
                  <c:v>4.2864886456730103E-2</c:v>
                </c:pt>
                <c:pt idx="58">
                  <c:v>1.6003493537152379E-2</c:v>
                </c:pt>
                <c:pt idx="59">
                  <c:v>6.3905046726965339E-3</c:v>
                </c:pt>
                <c:pt idx="60">
                  <c:v>1.3417186050607519E-2</c:v>
                </c:pt>
                <c:pt idx="61">
                  <c:v>2.6436223837926501E-2</c:v>
                </c:pt>
                <c:pt idx="62">
                  <c:v>6.6233973400350477E-2</c:v>
                </c:pt>
                <c:pt idx="63">
                  <c:v>0.1084169878649764</c:v>
                </c:pt>
                <c:pt idx="64">
                  <c:v>0.18887031649880051</c:v>
                </c:pt>
                <c:pt idx="65">
                  <c:v>0.1715230569234828</c:v>
                </c:pt>
                <c:pt idx="66">
                  <c:v>0.1809062055635286</c:v>
                </c:pt>
                <c:pt idx="67">
                  <c:v>0.15512153111725799</c:v>
                </c:pt>
                <c:pt idx="68">
                  <c:v>0.1275567235314205</c:v>
                </c:pt>
                <c:pt idx="69">
                  <c:v>6.2873767847415107E-2</c:v>
                </c:pt>
                <c:pt idx="70">
                  <c:v>1.780902737610289E-2</c:v>
                </c:pt>
                <c:pt idx="71">
                  <c:v>6.7857975683456679E-3</c:v>
                </c:pt>
                <c:pt idx="72">
                  <c:v>1.366055484422285E-2</c:v>
                </c:pt>
                <c:pt idx="73">
                  <c:v>4.3419934817177687E-2</c:v>
                </c:pt>
                <c:pt idx="74">
                  <c:v>0.1120694547038418</c:v>
                </c:pt>
                <c:pt idx="75">
                  <c:v>0.14827548756052711</c:v>
                </c:pt>
                <c:pt idx="76">
                  <c:v>0.19244468175967161</c:v>
                </c:pt>
                <c:pt idx="77">
                  <c:v>0.18784829238523279</c:v>
                </c:pt>
                <c:pt idx="78">
                  <c:v>0.21828188848241209</c:v>
                </c:pt>
                <c:pt idx="79">
                  <c:v>0.19011684012808119</c:v>
                </c:pt>
                <c:pt idx="80">
                  <c:v>0.13816152724517919</c:v>
                </c:pt>
                <c:pt idx="81">
                  <c:v>6.9462071202051626E-2</c:v>
                </c:pt>
                <c:pt idx="82">
                  <c:v>2.6604970402147529E-2</c:v>
                </c:pt>
                <c:pt idx="83">
                  <c:v>1.40253486520015E-2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D71-B24B-AB4A-43DDF0F99586}"/>
            </c:ext>
          </c:extLst>
        </c:ser>
        <c:ser>
          <c:idx val="1"/>
          <c:order val="1"/>
          <c:tx>
            <c:strRef>
              <c:f>'Capture Price Inputs'!$G$1</c:f>
              <c:strCache>
                <c:ptCount val="1"/>
                <c:pt idx="0">
                  <c:v>DK2 Solar Penetration (%) — Robustness</c:v>
                </c:pt>
              </c:strCache>
            </c:strRef>
          </c:tx>
          <c:spPr>
            <a:ln>
              <a:solidFill>
                <a:srgbClr val="FFD700"/>
              </a:solidFill>
              <a:prstDash val="solid"/>
            </a:ln>
          </c:spPr>
          <c:marker>
            <c:symbol val="none"/>
          </c:marker>
          <c:val>
            <c:numRef>
              <c:f>'Capture Price Inputs'!$G$2:$G$85</c:f>
              <c:numCache>
                <c:formatCode>General</c:formatCode>
                <c:ptCount val="84"/>
                <c:pt idx="12">
                  <c:v>1.864323044087839E-3</c:v>
                </c:pt>
                <c:pt idx="13">
                  <c:v>4.9613393448072352E-3</c:v>
                </c:pt>
                <c:pt idx="14">
                  <c:v>1.532033335337761E-2</c:v>
                </c:pt>
                <c:pt idx="15">
                  <c:v>2.6180595134545931E-2</c:v>
                </c:pt>
                <c:pt idx="16">
                  <c:v>3.2240930774166239E-2</c:v>
                </c:pt>
                <c:pt idx="17">
                  <c:v>3.0651812088155841E-2</c:v>
                </c:pt>
                <c:pt idx="18">
                  <c:v>2.998206800974695E-2</c:v>
                </c:pt>
                <c:pt idx="19">
                  <c:v>2.8034713414307081E-2</c:v>
                </c:pt>
                <c:pt idx="20">
                  <c:v>2.1736479101595249E-2</c:v>
                </c:pt>
                <c:pt idx="21">
                  <c:v>1.107911770574695E-2</c:v>
                </c:pt>
                <c:pt idx="22">
                  <c:v>1.1044611578332841E-4</c:v>
                </c:pt>
                <c:pt idx="23">
                  <c:v>5.6352433584062588E-6</c:v>
                </c:pt>
                <c:pt idx="24">
                  <c:v>3.104474131982996E-3</c:v>
                </c:pt>
                <c:pt idx="25">
                  <c:v>9.2483369487723587E-3</c:v>
                </c:pt>
                <c:pt idx="26">
                  <c:v>1.8474517045212829E-2</c:v>
                </c:pt>
                <c:pt idx="27">
                  <c:v>3.2694407483312787E-2</c:v>
                </c:pt>
                <c:pt idx="28">
                  <c:v>3.2945829294540187E-2</c:v>
                </c:pt>
                <c:pt idx="29">
                  <c:v>4.4480133140056069E-2</c:v>
                </c:pt>
                <c:pt idx="30">
                  <c:v>3.7049542537302173E-2</c:v>
                </c:pt>
                <c:pt idx="31">
                  <c:v>3.1857768834261987E-2</c:v>
                </c:pt>
                <c:pt idx="32">
                  <c:v>2.23981137027396E-2</c:v>
                </c:pt>
                <c:pt idx="33">
                  <c:v>1.267326343754744E-2</c:v>
                </c:pt>
                <c:pt idx="34">
                  <c:v>4.0132810857910267E-3</c:v>
                </c:pt>
                <c:pt idx="35">
                  <c:v>1.8226295838260991E-3</c:v>
                </c:pt>
                <c:pt idx="36">
                  <c:v>4.939556742877535E-3</c:v>
                </c:pt>
                <c:pt idx="37">
                  <c:v>1.3248485586698279E-2</c:v>
                </c:pt>
                <c:pt idx="38">
                  <c:v>3.4089330349121053E-2</c:v>
                </c:pt>
                <c:pt idx="39">
                  <c:v>5.5254436099578648E-2</c:v>
                </c:pt>
                <c:pt idx="40">
                  <c:v>6.5811459960859395E-2</c:v>
                </c:pt>
                <c:pt idx="41">
                  <c:v>6.4528229045867816E-2</c:v>
                </c:pt>
                <c:pt idx="42">
                  <c:v>6.7025803801952916E-2</c:v>
                </c:pt>
                <c:pt idx="43">
                  <c:v>6.1299924397195817E-2</c:v>
                </c:pt>
                <c:pt idx="44">
                  <c:v>4.5784276103507021E-2</c:v>
                </c:pt>
                <c:pt idx="45">
                  <c:v>2.9809058027035401E-2</c:v>
                </c:pt>
                <c:pt idx="46">
                  <c:v>7.8652952619005494E-3</c:v>
                </c:pt>
                <c:pt idx="47">
                  <c:v>4.5323555529735481E-3</c:v>
                </c:pt>
                <c:pt idx="48">
                  <c:v>5.8626527231366082E-3</c:v>
                </c:pt>
                <c:pt idx="49">
                  <c:v>1.8877648418373551E-2</c:v>
                </c:pt>
                <c:pt idx="50">
                  <c:v>3.7096229392005707E-2</c:v>
                </c:pt>
                <c:pt idx="51">
                  <c:v>8.0269966033824955E-2</c:v>
                </c:pt>
                <c:pt idx="52">
                  <c:v>0.1080032082802261</c:v>
                </c:pt>
                <c:pt idx="53">
                  <c:v>0.1144244665352921</c:v>
                </c:pt>
                <c:pt idx="54">
                  <c:v>0.10203074507159759</c:v>
                </c:pt>
                <c:pt idx="55">
                  <c:v>7.7931010532967707E-2</c:v>
                </c:pt>
                <c:pt idx="56">
                  <c:v>8.0909954639318743E-2</c:v>
                </c:pt>
                <c:pt idx="57">
                  <c:v>2.9172340215594381E-2</c:v>
                </c:pt>
                <c:pt idx="58">
                  <c:v>1.04098691216888E-2</c:v>
                </c:pt>
                <c:pt idx="59">
                  <c:v>3.809030164374855E-3</c:v>
                </c:pt>
                <c:pt idx="60">
                  <c:v>6.1781830729755079E-3</c:v>
                </c:pt>
                <c:pt idx="61">
                  <c:v>1.667231366864759E-2</c:v>
                </c:pt>
                <c:pt idx="62">
                  <c:v>4.1112806367337662E-2</c:v>
                </c:pt>
                <c:pt idx="63">
                  <c:v>6.5123378744806448E-2</c:v>
                </c:pt>
                <c:pt idx="64">
                  <c:v>0.106315341440858</c:v>
                </c:pt>
                <c:pt idx="65">
                  <c:v>0.1072729076610999</c:v>
                </c:pt>
                <c:pt idx="66">
                  <c:v>0.1057942634887733</c:v>
                </c:pt>
                <c:pt idx="67">
                  <c:v>9.3690832268705199E-2</c:v>
                </c:pt>
                <c:pt idx="68">
                  <c:v>7.2463202820400169E-2</c:v>
                </c:pt>
                <c:pt idx="69">
                  <c:v>3.6145253892379881E-2</c:v>
                </c:pt>
                <c:pt idx="70">
                  <c:v>8.6028414054236078E-3</c:v>
                </c:pt>
                <c:pt idx="71">
                  <c:v>4.1714684657767577E-3</c:v>
                </c:pt>
                <c:pt idx="72">
                  <c:v>7.223240212576967E-3</c:v>
                </c:pt>
                <c:pt idx="73">
                  <c:v>2.010831138567791E-2</c:v>
                </c:pt>
                <c:pt idx="74">
                  <c:v>4.6547866447452589E-2</c:v>
                </c:pt>
                <c:pt idx="75">
                  <c:v>7.1689783649061992E-2</c:v>
                </c:pt>
                <c:pt idx="76">
                  <c:v>9.4714127256233946E-2</c:v>
                </c:pt>
                <c:pt idx="77">
                  <c:v>9.9826250015510765E-2</c:v>
                </c:pt>
                <c:pt idx="78">
                  <c:v>9.3996419418699143E-2</c:v>
                </c:pt>
                <c:pt idx="79">
                  <c:v>0.1057378118957395</c:v>
                </c:pt>
                <c:pt idx="80">
                  <c:v>9.0628879686523764E-2</c:v>
                </c:pt>
                <c:pt idx="81">
                  <c:v>3.9573125678626628E-2</c:v>
                </c:pt>
                <c:pt idx="82">
                  <c:v>1.454364344794783E-2</c:v>
                </c:pt>
                <c:pt idx="83">
                  <c:v>9.0694911608833299E-3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D71-B24B-AB4A-43DDF0F995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Solar Penetration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Capture Price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Inputs'!$H$1</c:f>
              <c:strCache>
                <c:ptCount val="1"/>
                <c:pt idx="0">
                  <c:v>DK1 Capture Price (EUR/MWh)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Inputs'!$H$2:$H$85</c:f>
              <c:numCache>
                <c:formatCode>General</c:formatCode>
                <c:ptCount val="84"/>
                <c:pt idx="12">
                  <c:v>25.22320957280251</c:v>
                </c:pt>
                <c:pt idx="13">
                  <c:v>22.83581899109792</c:v>
                </c:pt>
                <c:pt idx="14">
                  <c:v>15.94107348554973</c:v>
                </c:pt>
                <c:pt idx="15">
                  <c:v>10.36487590420421</c:v>
                </c:pt>
                <c:pt idx="16">
                  <c:v>15.478548945086001</c:v>
                </c:pt>
                <c:pt idx="17">
                  <c:v>27.313308227868689</c:v>
                </c:pt>
                <c:pt idx="18">
                  <c:v>24.831745178109159</c:v>
                </c:pt>
                <c:pt idx="19">
                  <c:v>33.876915422047851</c:v>
                </c:pt>
                <c:pt idx="20">
                  <c:v>38.935979003379593</c:v>
                </c:pt>
                <c:pt idx="21">
                  <c:v>31.927741533059191</c:v>
                </c:pt>
                <c:pt idx="22">
                  <c:v>26.005993265993261</c:v>
                </c:pt>
                <c:pt idx="23">
                  <c:v>34.795161290322582</c:v>
                </c:pt>
                <c:pt idx="24">
                  <c:v>55.422967607277918</c:v>
                </c:pt>
                <c:pt idx="25">
                  <c:v>47.542610979142587</c:v>
                </c:pt>
                <c:pt idx="26">
                  <c:v>44.550700915805493</c:v>
                </c:pt>
                <c:pt idx="27">
                  <c:v>43.594739828473003</c:v>
                </c:pt>
                <c:pt idx="28">
                  <c:v>47.655870575001217</c:v>
                </c:pt>
                <c:pt idx="29">
                  <c:v>70.543547911111062</c:v>
                </c:pt>
                <c:pt idx="30">
                  <c:v>78.568319747758608</c:v>
                </c:pt>
                <c:pt idx="31">
                  <c:v>81.983351136401794</c:v>
                </c:pt>
                <c:pt idx="32">
                  <c:v>116.20022495544841</c:v>
                </c:pt>
                <c:pt idx="33">
                  <c:v>126.53039520323949</c:v>
                </c:pt>
                <c:pt idx="34">
                  <c:v>160.77058330102949</c:v>
                </c:pt>
                <c:pt idx="35">
                  <c:v>228.8621705579358</c:v>
                </c:pt>
                <c:pt idx="36">
                  <c:v>123.20125067917191</c:v>
                </c:pt>
                <c:pt idx="37">
                  <c:v>117.67077903546</c:v>
                </c:pt>
                <c:pt idx="38">
                  <c:v>191.50807173506701</c:v>
                </c:pt>
                <c:pt idx="39">
                  <c:v>145.70138715926041</c:v>
                </c:pt>
                <c:pt idx="40">
                  <c:v>149.4185612445558</c:v>
                </c:pt>
                <c:pt idx="41">
                  <c:v>194.71103409481981</c:v>
                </c:pt>
                <c:pt idx="42">
                  <c:v>239.3981525107354</c:v>
                </c:pt>
                <c:pt idx="43">
                  <c:v>419.79263722660602</c:v>
                </c:pt>
                <c:pt idx="44">
                  <c:v>310.70739927266709</c:v>
                </c:pt>
                <c:pt idx="45">
                  <c:v>125.6295598680838</c:v>
                </c:pt>
                <c:pt idx="46">
                  <c:v>131.7111886265582</c:v>
                </c:pt>
                <c:pt idx="47">
                  <c:v>282.82379374207261</c:v>
                </c:pt>
                <c:pt idx="48">
                  <c:v>138.52998868426329</c:v>
                </c:pt>
                <c:pt idx="49">
                  <c:v>109.87697572135031</c:v>
                </c:pt>
                <c:pt idx="50">
                  <c:v>93.774190940695377</c:v>
                </c:pt>
                <c:pt idx="51">
                  <c:v>76.25042822265543</c:v>
                </c:pt>
                <c:pt idx="52">
                  <c:v>50.543487760082613</c:v>
                </c:pt>
                <c:pt idx="53">
                  <c:v>74.888982776218057</c:v>
                </c:pt>
                <c:pt idx="54">
                  <c:v>52.095599438463452</c:v>
                </c:pt>
                <c:pt idx="55">
                  <c:v>74.180426039978187</c:v>
                </c:pt>
                <c:pt idx="56">
                  <c:v>68.116869623396937</c:v>
                </c:pt>
                <c:pt idx="57">
                  <c:v>50.539090519702853</c:v>
                </c:pt>
                <c:pt idx="58">
                  <c:v>90.680805562425178</c:v>
                </c:pt>
                <c:pt idx="59">
                  <c:v>63.455327688788032</c:v>
                </c:pt>
                <c:pt idx="60">
                  <c:v>78.571316441678306</c:v>
                </c:pt>
                <c:pt idx="61">
                  <c:v>59.479486768055089</c:v>
                </c:pt>
                <c:pt idx="62">
                  <c:v>51.269783241554933</c:v>
                </c:pt>
                <c:pt idx="63">
                  <c:v>49.383940562011212</c:v>
                </c:pt>
                <c:pt idx="64">
                  <c:v>35.894148271408874</c:v>
                </c:pt>
                <c:pt idx="65">
                  <c:v>47.037633727397647</c:v>
                </c:pt>
                <c:pt idx="66">
                  <c:v>42.521773223099522</c:v>
                </c:pt>
                <c:pt idx="67">
                  <c:v>52.17121747504909</c:v>
                </c:pt>
                <c:pt idx="68">
                  <c:v>45.647504626217007</c:v>
                </c:pt>
                <c:pt idx="69">
                  <c:v>58.441583787091993</c:v>
                </c:pt>
                <c:pt idx="70">
                  <c:v>97.582352616331917</c:v>
                </c:pt>
                <c:pt idx="71">
                  <c:v>92.073217693833982</c:v>
                </c:pt>
                <c:pt idx="72">
                  <c:v>111.1945655985155</c:v>
                </c:pt>
                <c:pt idx="73">
                  <c:v>105.41315973788279</c:v>
                </c:pt>
                <c:pt idx="74">
                  <c:v>57.84566339627056</c:v>
                </c:pt>
                <c:pt idx="75">
                  <c:v>45.844395770687349</c:v>
                </c:pt>
                <c:pt idx="76">
                  <c:v>40.065667394009381</c:v>
                </c:pt>
                <c:pt idx="77">
                  <c:v>33.493381965196598</c:v>
                </c:pt>
                <c:pt idx="78">
                  <c:v>61.32224821093979</c:v>
                </c:pt>
                <c:pt idx="79">
                  <c:v>47.755824567457559</c:v>
                </c:pt>
                <c:pt idx="80">
                  <c:v>49.429094996057238</c:v>
                </c:pt>
                <c:pt idx="81">
                  <c:v>74.266634537895257</c:v>
                </c:pt>
                <c:pt idx="82">
                  <c:v>95.564531802521344</c:v>
                </c:pt>
                <c:pt idx="83">
                  <c:v>80.958034242780258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035-614F-A734-CE3F4D305039}"/>
            </c:ext>
          </c:extLst>
        </c:ser>
        <c:ser>
          <c:idx val="1"/>
          <c:order val="1"/>
          <c:tx>
            <c:strRef>
              <c:f>'Capture Price Inputs'!$I$1</c:f>
              <c:strCache>
                <c:ptCount val="1"/>
                <c:pt idx="0">
                  <c:v>DK2 Capture Price (EUR/MWh)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'Capture Price Inputs'!$I$2:$I$85</c:f>
              <c:numCache>
                <c:formatCode>General</c:formatCode>
                <c:ptCount val="84"/>
                <c:pt idx="12">
                  <c:v>29.86213642213642</c:v>
                </c:pt>
                <c:pt idx="13">
                  <c:v>23.555517829721889</c:v>
                </c:pt>
                <c:pt idx="14">
                  <c:v>17.149050692261021</c:v>
                </c:pt>
                <c:pt idx="15">
                  <c:v>13.252523128367081</c:v>
                </c:pt>
                <c:pt idx="16">
                  <c:v>18.594049382716051</c:v>
                </c:pt>
                <c:pt idx="17">
                  <c:v>35.21078005032583</c:v>
                </c:pt>
                <c:pt idx="18">
                  <c:v>26.450778046867001</c:v>
                </c:pt>
                <c:pt idx="19">
                  <c:v>44.113765015404859</c:v>
                </c:pt>
                <c:pt idx="20">
                  <c:v>41.853047880870562</c:v>
                </c:pt>
                <c:pt idx="21">
                  <c:v>33.600878372903331</c:v>
                </c:pt>
                <c:pt idx="22">
                  <c:v>37.749765625000002</c:v>
                </c:pt>
                <c:pt idx="23">
                  <c:v>44.191428571428567</c:v>
                </c:pt>
                <c:pt idx="24">
                  <c:v>57.072134410081453</c:v>
                </c:pt>
                <c:pt idx="25">
                  <c:v>52.285083654524577</c:v>
                </c:pt>
                <c:pt idx="26">
                  <c:v>47.422643011897812</c:v>
                </c:pt>
                <c:pt idx="27">
                  <c:v>45.901363748248833</c:v>
                </c:pt>
                <c:pt idx="28">
                  <c:v>50.258720231460799</c:v>
                </c:pt>
                <c:pt idx="29">
                  <c:v>69.469341653776226</c:v>
                </c:pt>
                <c:pt idx="30">
                  <c:v>77.933111551394319</c:v>
                </c:pt>
                <c:pt idx="31">
                  <c:v>84.512747690257029</c:v>
                </c:pt>
                <c:pt idx="32">
                  <c:v>118.7457227855615</c:v>
                </c:pt>
                <c:pt idx="33">
                  <c:v>122.3841235967906</c:v>
                </c:pt>
                <c:pt idx="34">
                  <c:v>153.62679427815749</c:v>
                </c:pt>
                <c:pt idx="35">
                  <c:v>244.48727859764409</c:v>
                </c:pt>
                <c:pt idx="36">
                  <c:v>129.67749023150819</c:v>
                </c:pt>
                <c:pt idx="37">
                  <c:v>108.80333899256409</c:v>
                </c:pt>
                <c:pt idx="38">
                  <c:v>186.0504424586062</c:v>
                </c:pt>
                <c:pt idx="39">
                  <c:v>143.53758886421849</c:v>
                </c:pt>
                <c:pt idx="40">
                  <c:v>146.25360234460331</c:v>
                </c:pt>
                <c:pt idx="41">
                  <c:v>192.2325905808319</c:v>
                </c:pt>
                <c:pt idx="42">
                  <c:v>212.3625858003895</c:v>
                </c:pt>
                <c:pt idx="43">
                  <c:v>397.17988485976059</c:v>
                </c:pt>
                <c:pt idx="44">
                  <c:v>315.92884279677901</c:v>
                </c:pt>
                <c:pt idx="45">
                  <c:v>120.1190076327392</c:v>
                </c:pt>
                <c:pt idx="46">
                  <c:v>134.0399027878758</c:v>
                </c:pt>
                <c:pt idx="47">
                  <c:v>303.26978481668573</c:v>
                </c:pt>
                <c:pt idx="48">
                  <c:v>120.8992864784306</c:v>
                </c:pt>
                <c:pt idx="49">
                  <c:v>103.112625406295</c:v>
                </c:pt>
                <c:pt idx="50">
                  <c:v>89.098468921641697</c:v>
                </c:pt>
                <c:pt idx="51">
                  <c:v>71.125099705594195</c:v>
                </c:pt>
                <c:pt idx="52">
                  <c:v>48.358083796456327</c:v>
                </c:pt>
                <c:pt idx="53">
                  <c:v>71.862090372222397</c:v>
                </c:pt>
                <c:pt idx="54">
                  <c:v>50.345966617092351</c:v>
                </c:pt>
                <c:pt idx="55">
                  <c:v>72.957992347987414</c:v>
                </c:pt>
                <c:pt idx="56">
                  <c:v>64.394484672464898</c:v>
                </c:pt>
                <c:pt idx="57">
                  <c:v>47.660255094286853</c:v>
                </c:pt>
                <c:pt idx="58">
                  <c:v>84.639978605265995</c:v>
                </c:pt>
                <c:pt idx="59">
                  <c:v>59.061746333079718</c:v>
                </c:pt>
                <c:pt idx="60">
                  <c:v>76.427202535219209</c:v>
                </c:pt>
                <c:pt idx="61">
                  <c:v>51.434379196547752</c:v>
                </c:pt>
                <c:pt idx="62">
                  <c:v>50.751163813053438</c:v>
                </c:pt>
                <c:pt idx="63">
                  <c:v>47.053967904827999</c:v>
                </c:pt>
                <c:pt idx="64">
                  <c:v>34.295794113692892</c:v>
                </c:pt>
                <c:pt idx="65">
                  <c:v>46.379384034583367</c:v>
                </c:pt>
                <c:pt idx="66">
                  <c:v>38.812821969471173</c:v>
                </c:pt>
                <c:pt idx="67">
                  <c:v>47.151863118292532</c:v>
                </c:pt>
                <c:pt idx="68">
                  <c:v>43.355946350842189</c:v>
                </c:pt>
                <c:pt idx="69">
                  <c:v>59.534937630286556</c:v>
                </c:pt>
                <c:pt idx="70">
                  <c:v>89.611277477917284</c:v>
                </c:pt>
                <c:pt idx="71">
                  <c:v>100.7961313991171</c:v>
                </c:pt>
                <c:pt idx="72">
                  <c:v>115.0822593270056</c:v>
                </c:pt>
                <c:pt idx="73">
                  <c:v>106.92318207316821</c:v>
                </c:pt>
                <c:pt idx="74">
                  <c:v>50.018062961268747</c:v>
                </c:pt>
                <c:pt idx="75">
                  <c:v>41.82584156307518</c:v>
                </c:pt>
                <c:pt idx="76">
                  <c:v>34.320660344591218</c:v>
                </c:pt>
                <c:pt idx="77">
                  <c:v>24.31568572006325</c:v>
                </c:pt>
                <c:pt idx="78">
                  <c:v>59.766943882147693</c:v>
                </c:pt>
                <c:pt idx="79">
                  <c:v>43.064604783544858</c:v>
                </c:pt>
                <c:pt idx="80">
                  <c:v>52.949405153808357</c:v>
                </c:pt>
                <c:pt idx="81">
                  <c:v>78.645730322406678</c:v>
                </c:pt>
                <c:pt idx="82">
                  <c:v>92.690454871532665</c:v>
                </c:pt>
                <c:pt idx="83">
                  <c:v>79.631228022083661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035-614F-A734-CE3F4D3050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Capture Price Ratio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Inputs'!$J$1</c:f>
              <c:strCache>
                <c:ptCount val="1"/>
                <c:pt idx="0">
                  <c:v>DK1 CPR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Inputs'!$J$2:$J$85</c:f>
              <c:numCache>
                <c:formatCode>General</c:formatCode>
                <c:ptCount val="84"/>
                <c:pt idx="12">
                  <c:v>1.0091486594474419</c:v>
                </c:pt>
                <c:pt idx="13">
                  <c:v>1.2985911686950511</c:v>
                </c:pt>
                <c:pt idx="14">
                  <c:v>0.8710146939215303</c:v>
                </c:pt>
                <c:pt idx="15">
                  <c:v>0.71315772558819213</c:v>
                </c:pt>
                <c:pt idx="16">
                  <c:v>0.96415576931205649</c:v>
                </c:pt>
                <c:pt idx="17">
                  <c:v>1.0394664137310941</c:v>
                </c:pt>
                <c:pt idx="18">
                  <c:v>1.0086181556608309</c:v>
                </c:pt>
                <c:pt idx="19">
                  <c:v>0.98082264407500741</c:v>
                </c:pt>
                <c:pt idx="20">
                  <c:v>1.0104044869130051</c:v>
                </c:pt>
                <c:pt idx="21">
                  <c:v>1.236802226812374</c:v>
                </c:pt>
                <c:pt idx="22">
                  <c:v>1.094777917215692</c:v>
                </c:pt>
                <c:pt idx="23">
                  <c:v>1.0082301641826621</c:v>
                </c:pt>
                <c:pt idx="24">
                  <c:v>1.103930861568265</c:v>
                </c:pt>
                <c:pt idx="25">
                  <c:v>1.0059479277054251</c:v>
                </c:pt>
                <c:pt idx="26">
                  <c:v>0.9871758725122356</c:v>
                </c:pt>
                <c:pt idx="27">
                  <c:v>0.90884647456650169</c:v>
                </c:pt>
                <c:pt idx="28">
                  <c:v>0.87751805187154364</c:v>
                </c:pt>
                <c:pt idx="29">
                  <c:v>0.95691427953473174</c:v>
                </c:pt>
                <c:pt idx="30">
                  <c:v>0.98211323715969778</c:v>
                </c:pt>
                <c:pt idx="31">
                  <c:v>0.99027147802450566</c:v>
                </c:pt>
                <c:pt idx="32">
                  <c:v>0.92690440483613579</c:v>
                </c:pt>
                <c:pt idx="33">
                  <c:v>1.0810885074134391</c:v>
                </c:pt>
                <c:pt idx="34">
                  <c:v>1.1338034085044659</c:v>
                </c:pt>
                <c:pt idx="35">
                  <c:v>1.2086769624549281</c:v>
                </c:pt>
                <c:pt idx="36">
                  <c:v>1.0441257304277269</c:v>
                </c:pt>
                <c:pt idx="37">
                  <c:v>1.04022281700981</c:v>
                </c:pt>
                <c:pt idx="38">
                  <c:v>0.81207759044207406</c:v>
                </c:pt>
                <c:pt idx="39">
                  <c:v>0.89039133384678326</c:v>
                </c:pt>
                <c:pt idx="40">
                  <c:v>0.86943016050498578</c:v>
                </c:pt>
                <c:pt idx="41">
                  <c:v>0.90803902012341908</c:v>
                </c:pt>
                <c:pt idx="42">
                  <c:v>0.87041791592949547</c:v>
                </c:pt>
                <c:pt idx="43">
                  <c:v>0.91908553046700026</c:v>
                </c:pt>
                <c:pt idx="44">
                  <c:v>0.90632901805683119</c:v>
                </c:pt>
                <c:pt idx="45">
                  <c:v>0.91612325253961768</c:v>
                </c:pt>
                <c:pt idx="46">
                  <c:v>0.94278612074660006</c:v>
                </c:pt>
                <c:pt idx="47">
                  <c:v>1.132810339248927</c:v>
                </c:pt>
                <c:pt idx="48">
                  <c:v>1.2309198691226539</c:v>
                </c:pt>
                <c:pt idx="49">
                  <c:v>0.93008781340266</c:v>
                </c:pt>
                <c:pt idx="50">
                  <c:v>0.94612539759598957</c:v>
                </c:pt>
                <c:pt idx="51">
                  <c:v>0.79203966120386338</c:v>
                </c:pt>
                <c:pt idx="52">
                  <c:v>0.68333610561519953</c:v>
                </c:pt>
                <c:pt idx="53">
                  <c:v>0.80965062086215667</c:v>
                </c:pt>
                <c:pt idx="54">
                  <c:v>0.80380421953260928</c:v>
                </c:pt>
                <c:pt idx="55">
                  <c:v>0.86289309777204071</c:v>
                </c:pt>
                <c:pt idx="56">
                  <c:v>0.8038389922187259</c:v>
                </c:pt>
                <c:pt idx="57">
                  <c:v>0.84083605560542263</c:v>
                </c:pt>
                <c:pt idx="58">
                  <c:v>1.028656893611996</c:v>
                </c:pt>
                <c:pt idx="59">
                  <c:v>0.91325607762876626</c:v>
                </c:pt>
                <c:pt idx="60">
                  <c:v>1.051614630458469</c:v>
                </c:pt>
                <c:pt idx="61">
                  <c:v>1.0144208291794441</c:v>
                </c:pt>
                <c:pt idx="62">
                  <c:v>0.8373818542217274</c:v>
                </c:pt>
                <c:pt idx="63">
                  <c:v>0.83468460161643787</c:v>
                </c:pt>
                <c:pt idx="64">
                  <c:v>0.61339845366508694</c:v>
                </c:pt>
                <c:pt idx="65">
                  <c:v>0.73781003223868646</c:v>
                </c:pt>
                <c:pt idx="66">
                  <c:v>0.68549949487061801</c:v>
                </c:pt>
                <c:pt idx="67">
                  <c:v>0.71512676219349525</c:v>
                </c:pt>
                <c:pt idx="68">
                  <c:v>0.63652522303957304</c:v>
                </c:pt>
                <c:pt idx="69">
                  <c:v>0.76175188075929667</c:v>
                </c:pt>
                <c:pt idx="70">
                  <c:v>1.0174940038611719</c:v>
                </c:pt>
                <c:pt idx="71">
                  <c:v>1.0025674160411211</c:v>
                </c:pt>
                <c:pt idx="72">
                  <c:v>1.135032584901597</c:v>
                </c:pt>
                <c:pt idx="73">
                  <c:v>0.93411665141872979</c:v>
                </c:pt>
                <c:pt idx="74">
                  <c:v>0.68579081688022481</c:v>
                </c:pt>
                <c:pt idx="75">
                  <c:v>0.60995353561832499</c:v>
                </c:pt>
                <c:pt idx="76">
                  <c:v>0.62375117423189408</c:v>
                </c:pt>
                <c:pt idx="77">
                  <c:v>0.56976432128633303</c:v>
                </c:pt>
                <c:pt idx="78">
                  <c:v>0.74058967108380014</c:v>
                </c:pt>
                <c:pt idx="79">
                  <c:v>0.64997112344594554</c:v>
                </c:pt>
                <c:pt idx="80">
                  <c:v>0.68273474898658593</c:v>
                </c:pt>
                <c:pt idx="81">
                  <c:v>0.94701517193480578</c:v>
                </c:pt>
                <c:pt idx="82">
                  <c:v>1.0289764309560969</c:v>
                </c:pt>
                <c:pt idx="83">
                  <c:v>0.98205388617926037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191-AE43-AB5B-C5547E93BBC6}"/>
            </c:ext>
          </c:extLst>
        </c:ser>
        <c:ser>
          <c:idx val="1"/>
          <c:order val="1"/>
          <c:tx>
            <c:strRef>
              <c:f>'Capture Price Inputs'!$K$1</c:f>
              <c:strCache>
                <c:ptCount val="1"/>
                <c:pt idx="0">
                  <c:v>DK2 CPR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'Capture Price Inputs'!$K$2:$K$85</c:f>
              <c:numCache>
                <c:formatCode>General</c:formatCode>
                <c:ptCount val="84"/>
                <c:pt idx="12">
                  <c:v>1.090446324793763</c:v>
                </c:pt>
                <c:pt idx="13">
                  <c:v>1.251821301318464</c:v>
                </c:pt>
                <c:pt idx="14">
                  <c:v>0.85520775851277109</c:v>
                </c:pt>
                <c:pt idx="15">
                  <c:v>0.76362023547871605</c:v>
                </c:pt>
                <c:pt idx="16">
                  <c:v>0.97636938233545278</c:v>
                </c:pt>
                <c:pt idx="17">
                  <c:v>1.180647007173951</c:v>
                </c:pt>
                <c:pt idx="18">
                  <c:v>1.021791049952987</c:v>
                </c:pt>
                <c:pt idx="19">
                  <c:v>1.077948442472481</c:v>
                </c:pt>
                <c:pt idx="20">
                  <c:v>1.0591890923358069</c:v>
                </c:pt>
                <c:pt idx="21">
                  <c:v>1.247549053102559</c:v>
                </c:pt>
                <c:pt idx="22">
                  <c:v>1.057080411727209</c:v>
                </c:pt>
                <c:pt idx="23">
                  <c:v>1.125691191699302</c:v>
                </c:pt>
                <c:pt idx="24">
                  <c:v>1.122164979814525</c:v>
                </c:pt>
                <c:pt idx="25">
                  <c:v>0.9585139857498034</c:v>
                </c:pt>
                <c:pt idx="26">
                  <c:v>1.0147741726503949</c:v>
                </c:pt>
                <c:pt idx="27">
                  <c:v>0.95901643664766134</c:v>
                </c:pt>
                <c:pt idx="28">
                  <c:v>0.91033887361171206</c:v>
                </c:pt>
                <c:pt idx="29">
                  <c:v>0.94404491874816343</c:v>
                </c:pt>
                <c:pt idx="30">
                  <c:v>0.95692856904650769</c:v>
                </c:pt>
                <c:pt idx="31">
                  <c:v>1.001768528067071</c:v>
                </c:pt>
                <c:pt idx="32">
                  <c:v>0.95838336990944806</c:v>
                </c:pt>
                <c:pt idx="33">
                  <c:v>1.1445012658471321</c:v>
                </c:pt>
                <c:pt idx="34">
                  <c:v>1.1264608571418011</c:v>
                </c:pt>
                <c:pt idx="35">
                  <c:v>1.279578427053047</c:v>
                </c:pt>
                <c:pt idx="36">
                  <c:v>1.1617546523412821</c:v>
                </c:pt>
                <c:pt idx="37">
                  <c:v>1.084871924613185</c:v>
                </c:pt>
                <c:pt idx="38">
                  <c:v>0.81629582758371144</c:v>
                </c:pt>
                <c:pt idx="39">
                  <c:v>0.93918048773921026</c:v>
                </c:pt>
                <c:pt idx="40">
                  <c:v>0.89914563143311954</c:v>
                </c:pt>
                <c:pt idx="41">
                  <c:v>0.90151367457475784</c:v>
                </c:pt>
                <c:pt idx="42">
                  <c:v>0.90956244496775596</c:v>
                </c:pt>
                <c:pt idx="43">
                  <c:v>0.8830756108422062</c:v>
                </c:pt>
                <c:pt idx="44">
                  <c:v>0.96085369829588263</c:v>
                </c:pt>
                <c:pt idx="45">
                  <c:v>0.87743541957368609</c:v>
                </c:pt>
                <c:pt idx="46">
                  <c:v>0.92404474391789948</c:v>
                </c:pt>
                <c:pt idx="47">
                  <c:v>1.2185280560697289</c:v>
                </c:pt>
                <c:pt idx="48">
                  <c:v>1.2118663236304299</c:v>
                </c:pt>
                <c:pt idx="49">
                  <c:v>1.0244781228159621</c:v>
                </c:pt>
                <c:pt idx="50">
                  <c:v>0.99223631219701203</c:v>
                </c:pt>
                <c:pt idx="51">
                  <c:v>0.85025873478203906</c:v>
                </c:pt>
                <c:pt idx="52">
                  <c:v>0.73101748270540212</c:v>
                </c:pt>
                <c:pt idx="53">
                  <c:v>0.78603819917365525</c:v>
                </c:pt>
                <c:pt idx="54">
                  <c:v>0.77170348712471282</c:v>
                </c:pt>
                <c:pt idx="55">
                  <c:v>0.84546104105698361</c:v>
                </c:pt>
                <c:pt idx="56">
                  <c:v>0.75329173308453345</c:v>
                </c:pt>
                <c:pt idx="57">
                  <c:v>0.83723449033464103</c:v>
                </c:pt>
                <c:pt idx="58">
                  <c:v>1.038705241708771</c:v>
                </c:pt>
                <c:pt idx="59">
                  <c:v>0.83326707575628478</c:v>
                </c:pt>
                <c:pt idx="60">
                  <c:v>0.97714487510792902</c:v>
                </c:pt>
                <c:pt idx="61">
                  <c:v>0.93991726033346112</c:v>
                </c:pt>
                <c:pt idx="62">
                  <c:v>0.8314293202728863</c:v>
                </c:pt>
                <c:pt idx="63">
                  <c:v>0.77805107456374178</c:v>
                </c:pt>
                <c:pt idx="64">
                  <c:v>0.59005563427075769</c:v>
                </c:pt>
                <c:pt idx="65">
                  <c:v>0.69439585691141426</c:v>
                </c:pt>
                <c:pt idx="66">
                  <c:v>0.61762838453946423</c:v>
                </c:pt>
                <c:pt idx="67">
                  <c:v>0.64934714792296455</c:v>
                </c:pt>
                <c:pt idx="68">
                  <c:v>0.61574801135475132</c:v>
                </c:pt>
                <c:pt idx="69">
                  <c:v>0.78000735067931948</c:v>
                </c:pt>
                <c:pt idx="70">
                  <c:v>0.94047799551015088</c:v>
                </c:pt>
                <c:pt idx="71">
                  <c:v>1.0870067185479459</c:v>
                </c:pt>
                <c:pt idx="72">
                  <c:v>1.1494003648079021</c:v>
                </c:pt>
                <c:pt idx="73">
                  <c:v>0.90662384271333907</c:v>
                </c:pt>
                <c:pt idx="74">
                  <c:v>0.60374116471580297</c:v>
                </c:pt>
                <c:pt idx="75">
                  <c:v>0.55174367988103734</c:v>
                </c:pt>
                <c:pt idx="76">
                  <c:v>0.54405946330729504</c:v>
                </c:pt>
                <c:pt idx="77">
                  <c:v>0.4307606652121766</c:v>
                </c:pt>
                <c:pt idx="78">
                  <c:v>0.74746341861966192</c:v>
                </c:pt>
                <c:pt idx="79">
                  <c:v>0.57178942343359873</c:v>
                </c:pt>
                <c:pt idx="80">
                  <c:v>0.63573160083367797</c:v>
                </c:pt>
                <c:pt idx="81">
                  <c:v>0.95480840081563045</c:v>
                </c:pt>
                <c:pt idx="82">
                  <c:v>0.98927251294969987</c:v>
                </c:pt>
                <c:pt idx="83">
                  <c:v>0.97014796253594149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191-AE43-AB5B-C5547E93BB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CPR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Solar Penetration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Inputs'!$F$1</c:f>
              <c:strCache>
                <c:ptCount val="1"/>
                <c:pt idx="0">
                  <c:v>DK1 Solar Penetration (%) — Primary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'Capture Price Inputs'!$F$2:$F$85</c:f>
              <c:numCache>
                <c:formatCode>General</c:formatCode>
                <c:ptCount val="84"/>
                <c:pt idx="12">
                  <c:v>2.2644478926294831E-3</c:v>
                </c:pt>
                <c:pt idx="13">
                  <c:v>5.2474520244822449E-3</c:v>
                </c:pt>
                <c:pt idx="14">
                  <c:v>2.020167759412729E-2</c:v>
                </c:pt>
                <c:pt idx="15">
                  <c:v>3.2427989612304697E-2</c:v>
                </c:pt>
                <c:pt idx="16">
                  <c:v>3.6080087237903569E-2</c:v>
                </c:pt>
                <c:pt idx="17">
                  <c:v>3.7413618831640891E-2</c:v>
                </c:pt>
                <c:pt idx="18">
                  <c:v>3.3998433859503921E-2</c:v>
                </c:pt>
                <c:pt idx="19">
                  <c:v>3.4224763142537661E-2</c:v>
                </c:pt>
                <c:pt idx="20">
                  <c:v>2.4330151939157239E-2</c:v>
                </c:pt>
                <c:pt idx="21">
                  <c:v>1.1490387549446779E-2</c:v>
                </c:pt>
                <c:pt idx="22">
                  <c:v>1.521101274151999E-4</c:v>
                </c:pt>
                <c:pt idx="23">
                  <c:v>1.472410662127807E-5</c:v>
                </c:pt>
                <c:pt idx="24">
                  <c:v>3.6313559990350909E-3</c:v>
                </c:pt>
                <c:pt idx="25">
                  <c:v>1.0868941718057299E-2</c:v>
                </c:pt>
                <c:pt idx="26">
                  <c:v>2.2382303907371628E-2</c:v>
                </c:pt>
                <c:pt idx="27">
                  <c:v>4.212837115783985E-2</c:v>
                </c:pt>
                <c:pt idx="28">
                  <c:v>3.3075052211960353E-2</c:v>
                </c:pt>
                <c:pt idx="29">
                  <c:v>4.9841661821819518E-2</c:v>
                </c:pt>
                <c:pt idx="30">
                  <c:v>4.85715434854639E-2</c:v>
                </c:pt>
                <c:pt idx="31">
                  <c:v>3.8876947944708702E-2</c:v>
                </c:pt>
                <c:pt idx="32">
                  <c:v>2.5932850179436289E-2</c:v>
                </c:pt>
                <c:pt idx="33">
                  <c:v>1.7460096431489061E-2</c:v>
                </c:pt>
                <c:pt idx="34">
                  <c:v>7.0293060058135041E-3</c:v>
                </c:pt>
                <c:pt idx="35">
                  <c:v>3.243365391886713E-3</c:v>
                </c:pt>
                <c:pt idx="36">
                  <c:v>6.6753155472480874E-3</c:v>
                </c:pt>
                <c:pt idx="37">
                  <c:v>1.7399571233002901E-2</c:v>
                </c:pt>
                <c:pt idx="38">
                  <c:v>6.1955070586442867E-2</c:v>
                </c:pt>
                <c:pt idx="39">
                  <c:v>8.404056603836467E-2</c:v>
                </c:pt>
                <c:pt idx="40">
                  <c:v>9.6876891420316108E-2</c:v>
                </c:pt>
                <c:pt idx="41">
                  <c:v>9.4962020744311482E-2</c:v>
                </c:pt>
                <c:pt idx="42">
                  <c:v>9.963556652585577E-2</c:v>
                </c:pt>
                <c:pt idx="43">
                  <c:v>8.9626978325266782E-2</c:v>
                </c:pt>
                <c:pt idx="44">
                  <c:v>6.6046498591704736E-2</c:v>
                </c:pt>
                <c:pt idx="45">
                  <c:v>3.7469414477654707E-2</c:v>
                </c:pt>
                <c:pt idx="46">
                  <c:v>1.046932675470221E-2</c:v>
                </c:pt>
                <c:pt idx="47">
                  <c:v>6.2291646451968653E-3</c:v>
                </c:pt>
                <c:pt idx="48">
                  <c:v>1.2460694276862919E-2</c:v>
                </c:pt>
                <c:pt idx="49">
                  <c:v>3.4376404191763639E-2</c:v>
                </c:pt>
                <c:pt idx="50">
                  <c:v>5.6477968577058592E-2</c:v>
                </c:pt>
                <c:pt idx="51">
                  <c:v>0.1509467292684683</c:v>
                </c:pt>
                <c:pt idx="52">
                  <c:v>0.18600333743842001</c:v>
                </c:pt>
                <c:pt idx="53">
                  <c:v>0.21892573712946101</c:v>
                </c:pt>
                <c:pt idx="54">
                  <c:v>0.18929524056345021</c:v>
                </c:pt>
                <c:pt idx="55">
                  <c:v>0.1493297980639493</c:v>
                </c:pt>
                <c:pt idx="56">
                  <c:v>0.13191654386548721</c:v>
                </c:pt>
                <c:pt idx="57">
                  <c:v>4.2864886456730103E-2</c:v>
                </c:pt>
                <c:pt idx="58">
                  <c:v>1.6003493537152379E-2</c:v>
                </c:pt>
                <c:pt idx="59">
                  <c:v>6.3905046726965339E-3</c:v>
                </c:pt>
                <c:pt idx="60">
                  <c:v>1.3417186050607519E-2</c:v>
                </c:pt>
                <c:pt idx="61">
                  <c:v>2.6436223837926501E-2</c:v>
                </c:pt>
                <c:pt idx="62">
                  <c:v>6.6233973400350477E-2</c:v>
                </c:pt>
                <c:pt idx="63">
                  <c:v>0.1084169878649764</c:v>
                </c:pt>
                <c:pt idx="64">
                  <c:v>0.18887031649880051</c:v>
                </c:pt>
                <c:pt idx="65">
                  <c:v>0.1715230569234828</c:v>
                </c:pt>
                <c:pt idx="66">
                  <c:v>0.1809062055635286</c:v>
                </c:pt>
                <c:pt idx="67">
                  <c:v>0.15512153111725799</c:v>
                </c:pt>
                <c:pt idx="68">
                  <c:v>0.1275567235314205</c:v>
                </c:pt>
                <c:pt idx="69">
                  <c:v>6.2873767847415107E-2</c:v>
                </c:pt>
                <c:pt idx="70">
                  <c:v>1.780902737610289E-2</c:v>
                </c:pt>
                <c:pt idx="71">
                  <c:v>6.7857975683456679E-3</c:v>
                </c:pt>
                <c:pt idx="72">
                  <c:v>1.366055484422285E-2</c:v>
                </c:pt>
                <c:pt idx="73">
                  <c:v>4.3419934817177687E-2</c:v>
                </c:pt>
                <c:pt idx="74">
                  <c:v>0.1120694547038418</c:v>
                </c:pt>
                <c:pt idx="75">
                  <c:v>0.14827548756052711</c:v>
                </c:pt>
                <c:pt idx="76">
                  <c:v>0.19244468175967161</c:v>
                </c:pt>
                <c:pt idx="77">
                  <c:v>0.18784829238523279</c:v>
                </c:pt>
                <c:pt idx="78">
                  <c:v>0.21828188848241209</c:v>
                </c:pt>
                <c:pt idx="79">
                  <c:v>0.19011684012808119</c:v>
                </c:pt>
                <c:pt idx="80">
                  <c:v>0.13816152724517919</c:v>
                </c:pt>
                <c:pt idx="81">
                  <c:v>6.9462071202051626E-2</c:v>
                </c:pt>
                <c:pt idx="82">
                  <c:v>2.6604970402147529E-2</c:v>
                </c:pt>
                <c:pt idx="83">
                  <c:v>1.40253486520015E-2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D85-8649-B0CE-BDA1C9D06506}"/>
            </c:ext>
          </c:extLst>
        </c:ser>
        <c:ser>
          <c:idx val="1"/>
          <c:order val="1"/>
          <c:tx>
            <c:strRef>
              <c:f>'Capture Price Inputs'!$G$1</c:f>
              <c:strCache>
                <c:ptCount val="1"/>
                <c:pt idx="0">
                  <c:v>DK2 Solar Penetration (%) — Robustness</c:v>
                </c:pt>
              </c:strCache>
            </c:strRef>
          </c:tx>
          <c:spPr>
            <a:ln>
              <a:solidFill>
                <a:srgbClr val="FFD700"/>
              </a:solidFill>
              <a:prstDash val="solid"/>
            </a:ln>
          </c:spPr>
          <c:marker>
            <c:symbol val="none"/>
          </c:marker>
          <c:val>
            <c:numRef>
              <c:f>'Capture Price Inputs'!$G$2:$G$85</c:f>
              <c:numCache>
                <c:formatCode>General</c:formatCode>
                <c:ptCount val="84"/>
                <c:pt idx="12">
                  <c:v>1.864323044087839E-3</c:v>
                </c:pt>
                <c:pt idx="13">
                  <c:v>4.9613393448072352E-3</c:v>
                </c:pt>
                <c:pt idx="14">
                  <c:v>1.532033335337761E-2</c:v>
                </c:pt>
                <c:pt idx="15">
                  <c:v>2.6180595134545931E-2</c:v>
                </c:pt>
                <c:pt idx="16">
                  <c:v>3.2240930774166239E-2</c:v>
                </c:pt>
                <c:pt idx="17">
                  <c:v>3.0651812088155841E-2</c:v>
                </c:pt>
                <c:pt idx="18">
                  <c:v>2.998206800974695E-2</c:v>
                </c:pt>
                <c:pt idx="19">
                  <c:v>2.8034713414307081E-2</c:v>
                </c:pt>
                <c:pt idx="20">
                  <c:v>2.1736479101595249E-2</c:v>
                </c:pt>
                <c:pt idx="21">
                  <c:v>1.107911770574695E-2</c:v>
                </c:pt>
                <c:pt idx="22">
                  <c:v>1.1044611578332841E-4</c:v>
                </c:pt>
                <c:pt idx="23">
                  <c:v>5.6352433584062588E-6</c:v>
                </c:pt>
                <c:pt idx="24">
                  <c:v>3.104474131982996E-3</c:v>
                </c:pt>
                <c:pt idx="25">
                  <c:v>9.2483369487723587E-3</c:v>
                </c:pt>
                <c:pt idx="26">
                  <c:v>1.8474517045212829E-2</c:v>
                </c:pt>
                <c:pt idx="27">
                  <c:v>3.2694407483312787E-2</c:v>
                </c:pt>
                <c:pt idx="28">
                  <c:v>3.2945829294540187E-2</c:v>
                </c:pt>
                <c:pt idx="29">
                  <c:v>4.4480133140056069E-2</c:v>
                </c:pt>
                <c:pt idx="30">
                  <c:v>3.7049542537302173E-2</c:v>
                </c:pt>
                <c:pt idx="31">
                  <c:v>3.1857768834261987E-2</c:v>
                </c:pt>
                <c:pt idx="32">
                  <c:v>2.23981137027396E-2</c:v>
                </c:pt>
                <c:pt idx="33">
                  <c:v>1.267326343754744E-2</c:v>
                </c:pt>
                <c:pt idx="34">
                  <c:v>4.0132810857910267E-3</c:v>
                </c:pt>
                <c:pt idx="35">
                  <c:v>1.8226295838260991E-3</c:v>
                </c:pt>
                <c:pt idx="36">
                  <c:v>4.939556742877535E-3</c:v>
                </c:pt>
                <c:pt idx="37">
                  <c:v>1.3248485586698279E-2</c:v>
                </c:pt>
                <c:pt idx="38">
                  <c:v>3.4089330349121053E-2</c:v>
                </c:pt>
                <c:pt idx="39">
                  <c:v>5.5254436099578648E-2</c:v>
                </c:pt>
                <c:pt idx="40">
                  <c:v>6.5811459960859395E-2</c:v>
                </c:pt>
                <c:pt idx="41">
                  <c:v>6.4528229045867816E-2</c:v>
                </c:pt>
                <c:pt idx="42">
                  <c:v>6.7025803801952916E-2</c:v>
                </c:pt>
                <c:pt idx="43">
                  <c:v>6.1299924397195817E-2</c:v>
                </c:pt>
                <c:pt idx="44">
                  <c:v>4.5784276103507021E-2</c:v>
                </c:pt>
                <c:pt idx="45">
                  <c:v>2.9809058027035401E-2</c:v>
                </c:pt>
                <c:pt idx="46">
                  <c:v>7.8652952619005494E-3</c:v>
                </c:pt>
                <c:pt idx="47">
                  <c:v>4.5323555529735481E-3</c:v>
                </c:pt>
                <c:pt idx="48">
                  <c:v>5.8626527231366082E-3</c:v>
                </c:pt>
                <c:pt idx="49">
                  <c:v>1.8877648418373551E-2</c:v>
                </c:pt>
                <c:pt idx="50">
                  <c:v>3.7096229392005707E-2</c:v>
                </c:pt>
                <c:pt idx="51">
                  <c:v>8.0269966033824955E-2</c:v>
                </c:pt>
                <c:pt idx="52">
                  <c:v>0.1080032082802261</c:v>
                </c:pt>
                <c:pt idx="53">
                  <c:v>0.1144244665352921</c:v>
                </c:pt>
                <c:pt idx="54">
                  <c:v>0.10203074507159759</c:v>
                </c:pt>
                <c:pt idx="55">
                  <c:v>7.7931010532967707E-2</c:v>
                </c:pt>
                <c:pt idx="56">
                  <c:v>8.0909954639318743E-2</c:v>
                </c:pt>
                <c:pt idx="57">
                  <c:v>2.9172340215594381E-2</c:v>
                </c:pt>
                <c:pt idx="58">
                  <c:v>1.04098691216888E-2</c:v>
                </c:pt>
                <c:pt idx="59">
                  <c:v>3.809030164374855E-3</c:v>
                </c:pt>
                <c:pt idx="60">
                  <c:v>6.1781830729755079E-3</c:v>
                </c:pt>
                <c:pt idx="61">
                  <c:v>1.667231366864759E-2</c:v>
                </c:pt>
                <c:pt idx="62">
                  <c:v>4.1112806367337662E-2</c:v>
                </c:pt>
                <c:pt idx="63">
                  <c:v>6.5123378744806448E-2</c:v>
                </c:pt>
                <c:pt idx="64">
                  <c:v>0.106315341440858</c:v>
                </c:pt>
                <c:pt idx="65">
                  <c:v>0.1072729076610999</c:v>
                </c:pt>
                <c:pt idx="66">
                  <c:v>0.1057942634887733</c:v>
                </c:pt>
                <c:pt idx="67">
                  <c:v>9.3690832268705199E-2</c:v>
                </c:pt>
                <c:pt idx="68">
                  <c:v>7.2463202820400169E-2</c:v>
                </c:pt>
                <c:pt idx="69">
                  <c:v>3.6145253892379881E-2</c:v>
                </c:pt>
                <c:pt idx="70">
                  <c:v>8.6028414054236078E-3</c:v>
                </c:pt>
                <c:pt idx="71">
                  <c:v>4.1714684657767577E-3</c:v>
                </c:pt>
                <c:pt idx="72">
                  <c:v>7.223240212576967E-3</c:v>
                </c:pt>
                <c:pt idx="73">
                  <c:v>2.010831138567791E-2</c:v>
                </c:pt>
                <c:pt idx="74">
                  <c:v>4.6547866447452589E-2</c:v>
                </c:pt>
                <c:pt idx="75">
                  <c:v>7.1689783649061992E-2</c:v>
                </c:pt>
                <c:pt idx="76">
                  <c:v>9.4714127256233946E-2</c:v>
                </c:pt>
                <c:pt idx="77">
                  <c:v>9.9826250015510765E-2</c:v>
                </c:pt>
                <c:pt idx="78">
                  <c:v>9.3996419418699143E-2</c:v>
                </c:pt>
                <c:pt idx="79">
                  <c:v>0.1057378118957395</c:v>
                </c:pt>
                <c:pt idx="80">
                  <c:v>9.0628879686523764E-2</c:v>
                </c:pt>
                <c:pt idx="81">
                  <c:v>3.9573125678626628E-2</c:v>
                </c:pt>
                <c:pt idx="82">
                  <c:v>1.454364344794783E-2</c:v>
                </c:pt>
                <c:pt idx="83">
                  <c:v>9.0694911608833299E-3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D85-8649-B0CE-BDA1C9D065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Solar Penetration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Capture Price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Inputs'!$H$1</c:f>
              <c:strCache>
                <c:ptCount val="1"/>
                <c:pt idx="0">
                  <c:v>DK1 Capture Price (EUR/MWh)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Inputs'!$H$2:$H$85</c:f>
              <c:numCache>
                <c:formatCode>General</c:formatCode>
                <c:ptCount val="84"/>
                <c:pt idx="12">
                  <c:v>25.22320957280251</c:v>
                </c:pt>
                <c:pt idx="13">
                  <c:v>22.83581899109792</c:v>
                </c:pt>
                <c:pt idx="14">
                  <c:v>15.94107348554973</c:v>
                </c:pt>
                <c:pt idx="15">
                  <c:v>10.36487590420421</c:v>
                </c:pt>
                <c:pt idx="16">
                  <c:v>15.478548945086001</c:v>
                </c:pt>
                <c:pt idx="17">
                  <c:v>27.313308227868689</c:v>
                </c:pt>
                <c:pt idx="18">
                  <c:v>24.831745178109159</c:v>
                </c:pt>
                <c:pt idx="19">
                  <c:v>33.876915422047851</c:v>
                </c:pt>
                <c:pt idx="20">
                  <c:v>38.935979003379593</c:v>
                </c:pt>
                <c:pt idx="21">
                  <c:v>31.927741533059191</c:v>
                </c:pt>
                <c:pt idx="22">
                  <c:v>26.005993265993261</c:v>
                </c:pt>
                <c:pt idx="23">
                  <c:v>34.795161290322582</c:v>
                </c:pt>
                <c:pt idx="24">
                  <c:v>55.422967607277918</c:v>
                </c:pt>
                <c:pt idx="25">
                  <c:v>47.542610979142587</c:v>
                </c:pt>
                <c:pt idx="26">
                  <c:v>44.550700915805493</c:v>
                </c:pt>
                <c:pt idx="27">
                  <c:v>43.594739828473003</c:v>
                </c:pt>
                <c:pt idx="28">
                  <c:v>47.655870575001217</c:v>
                </c:pt>
                <c:pt idx="29">
                  <c:v>70.543547911111062</c:v>
                </c:pt>
                <c:pt idx="30">
                  <c:v>78.568319747758608</c:v>
                </c:pt>
                <c:pt idx="31">
                  <c:v>81.983351136401794</c:v>
                </c:pt>
                <c:pt idx="32">
                  <c:v>116.20022495544841</c:v>
                </c:pt>
                <c:pt idx="33">
                  <c:v>126.53039520323949</c:v>
                </c:pt>
                <c:pt idx="34">
                  <c:v>160.77058330102949</c:v>
                </c:pt>
                <c:pt idx="35">
                  <c:v>228.8621705579358</c:v>
                </c:pt>
                <c:pt idx="36">
                  <c:v>123.20125067917191</c:v>
                </c:pt>
                <c:pt idx="37">
                  <c:v>117.67077903546</c:v>
                </c:pt>
                <c:pt idx="38">
                  <c:v>191.50807173506701</c:v>
                </c:pt>
                <c:pt idx="39">
                  <c:v>145.70138715926041</c:v>
                </c:pt>
                <c:pt idx="40">
                  <c:v>149.4185612445558</c:v>
                </c:pt>
                <c:pt idx="41">
                  <c:v>194.71103409481981</c:v>
                </c:pt>
                <c:pt idx="42">
                  <c:v>239.3981525107354</c:v>
                </c:pt>
                <c:pt idx="43">
                  <c:v>419.79263722660602</c:v>
                </c:pt>
                <c:pt idx="44">
                  <c:v>310.70739927266709</c:v>
                </c:pt>
                <c:pt idx="45">
                  <c:v>125.6295598680838</c:v>
                </c:pt>
                <c:pt idx="46">
                  <c:v>131.7111886265582</c:v>
                </c:pt>
                <c:pt idx="47">
                  <c:v>282.82379374207261</c:v>
                </c:pt>
                <c:pt idx="48">
                  <c:v>138.52998868426329</c:v>
                </c:pt>
                <c:pt idx="49">
                  <c:v>109.87697572135031</c:v>
                </c:pt>
                <c:pt idx="50">
                  <c:v>93.774190940695377</c:v>
                </c:pt>
                <c:pt idx="51">
                  <c:v>76.25042822265543</c:v>
                </c:pt>
                <c:pt idx="52">
                  <c:v>50.543487760082613</c:v>
                </c:pt>
                <c:pt idx="53">
                  <c:v>74.888982776218057</c:v>
                </c:pt>
                <c:pt idx="54">
                  <c:v>52.095599438463452</c:v>
                </c:pt>
                <c:pt idx="55">
                  <c:v>74.180426039978187</c:v>
                </c:pt>
                <c:pt idx="56">
                  <c:v>68.116869623396937</c:v>
                </c:pt>
                <c:pt idx="57">
                  <c:v>50.539090519702853</c:v>
                </c:pt>
                <c:pt idx="58">
                  <c:v>90.680805562425178</c:v>
                </c:pt>
                <c:pt idx="59">
                  <c:v>63.455327688788032</c:v>
                </c:pt>
                <c:pt idx="60">
                  <c:v>78.571316441678306</c:v>
                </c:pt>
                <c:pt idx="61">
                  <c:v>59.479486768055089</c:v>
                </c:pt>
                <c:pt idx="62">
                  <c:v>51.269783241554933</c:v>
                </c:pt>
                <c:pt idx="63">
                  <c:v>49.383940562011212</c:v>
                </c:pt>
                <c:pt idx="64">
                  <c:v>35.894148271408874</c:v>
                </c:pt>
                <c:pt idx="65">
                  <c:v>47.037633727397647</c:v>
                </c:pt>
                <c:pt idx="66">
                  <c:v>42.521773223099522</c:v>
                </c:pt>
                <c:pt idx="67">
                  <c:v>52.17121747504909</c:v>
                </c:pt>
                <c:pt idx="68">
                  <c:v>45.647504626217007</c:v>
                </c:pt>
                <c:pt idx="69">
                  <c:v>58.441583787091993</c:v>
                </c:pt>
                <c:pt idx="70">
                  <c:v>97.582352616331917</c:v>
                </c:pt>
                <c:pt idx="71">
                  <c:v>92.073217693833982</c:v>
                </c:pt>
                <c:pt idx="72">
                  <c:v>111.1945655985155</c:v>
                </c:pt>
                <c:pt idx="73">
                  <c:v>105.41315973788279</c:v>
                </c:pt>
                <c:pt idx="74">
                  <c:v>57.84566339627056</c:v>
                </c:pt>
                <c:pt idx="75">
                  <c:v>45.844395770687349</c:v>
                </c:pt>
                <c:pt idx="76">
                  <c:v>40.065667394009381</c:v>
                </c:pt>
                <c:pt idx="77">
                  <c:v>33.493381965196598</c:v>
                </c:pt>
                <c:pt idx="78">
                  <c:v>61.32224821093979</c:v>
                </c:pt>
                <c:pt idx="79">
                  <c:v>47.755824567457559</c:v>
                </c:pt>
                <c:pt idx="80">
                  <c:v>49.429094996057238</c:v>
                </c:pt>
                <c:pt idx="81">
                  <c:v>74.266634537895257</c:v>
                </c:pt>
                <c:pt idx="82">
                  <c:v>95.564531802521344</c:v>
                </c:pt>
                <c:pt idx="83">
                  <c:v>80.958034242780258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37E-2A41-B9AB-FBA3D0EEB2B0}"/>
            </c:ext>
          </c:extLst>
        </c:ser>
        <c:ser>
          <c:idx val="1"/>
          <c:order val="1"/>
          <c:tx>
            <c:strRef>
              <c:f>'Capture Price Inputs'!$I$1</c:f>
              <c:strCache>
                <c:ptCount val="1"/>
                <c:pt idx="0">
                  <c:v>DK2 Capture Price (EUR/MWh)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'Capture Price Inputs'!$I$2:$I$85</c:f>
              <c:numCache>
                <c:formatCode>General</c:formatCode>
                <c:ptCount val="84"/>
                <c:pt idx="12">
                  <c:v>29.86213642213642</c:v>
                </c:pt>
                <c:pt idx="13">
                  <c:v>23.555517829721889</c:v>
                </c:pt>
                <c:pt idx="14">
                  <c:v>17.149050692261021</c:v>
                </c:pt>
                <c:pt idx="15">
                  <c:v>13.252523128367081</c:v>
                </c:pt>
                <c:pt idx="16">
                  <c:v>18.594049382716051</c:v>
                </c:pt>
                <c:pt idx="17">
                  <c:v>35.21078005032583</c:v>
                </c:pt>
                <c:pt idx="18">
                  <c:v>26.450778046867001</c:v>
                </c:pt>
                <c:pt idx="19">
                  <c:v>44.113765015404859</c:v>
                </c:pt>
                <c:pt idx="20">
                  <c:v>41.853047880870562</c:v>
                </c:pt>
                <c:pt idx="21">
                  <c:v>33.600878372903331</c:v>
                </c:pt>
                <c:pt idx="22">
                  <c:v>37.749765625000002</c:v>
                </c:pt>
                <c:pt idx="23">
                  <c:v>44.191428571428567</c:v>
                </c:pt>
                <c:pt idx="24">
                  <c:v>57.072134410081453</c:v>
                </c:pt>
                <c:pt idx="25">
                  <c:v>52.285083654524577</c:v>
                </c:pt>
                <c:pt idx="26">
                  <c:v>47.422643011897812</c:v>
                </c:pt>
                <c:pt idx="27">
                  <c:v>45.901363748248833</c:v>
                </c:pt>
                <c:pt idx="28">
                  <c:v>50.258720231460799</c:v>
                </c:pt>
                <c:pt idx="29">
                  <c:v>69.469341653776226</c:v>
                </c:pt>
                <c:pt idx="30">
                  <c:v>77.933111551394319</c:v>
                </c:pt>
                <c:pt idx="31">
                  <c:v>84.512747690257029</c:v>
                </c:pt>
                <c:pt idx="32">
                  <c:v>118.7457227855615</c:v>
                </c:pt>
                <c:pt idx="33">
                  <c:v>122.3841235967906</c:v>
                </c:pt>
                <c:pt idx="34">
                  <c:v>153.62679427815749</c:v>
                </c:pt>
                <c:pt idx="35">
                  <c:v>244.48727859764409</c:v>
                </c:pt>
                <c:pt idx="36">
                  <c:v>129.67749023150819</c:v>
                </c:pt>
                <c:pt idx="37">
                  <c:v>108.80333899256409</c:v>
                </c:pt>
                <c:pt idx="38">
                  <c:v>186.0504424586062</c:v>
                </c:pt>
                <c:pt idx="39">
                  <c:v>143.53758886421849</c:v>
                </c:pt>
                <c:pt idx="40">
                  <c:v>146.25360234460331</c:v>
                </c:pt>
                <c:pt idx="41">
                  <c:v>192.2325905808319</c:v>
                </c:pt>
                <c:pt idx="42">
                  <c:v>212.3625858003895</c:v>
                </c:pt>
                <c:pt idx="43">
                  <c:v>397.17988485976059</c:v>
                </c:pt>
                <c:pt idx="44">
                  <c:v>315.92884279677901</c:v>
                </c:pt>
                <c:pt idx="45">
                  <c:v>120.1190076327392</c:v>
                </c:pt>
                <c:pt idx="46">
                  <c:v>134.0399027878758</c:v>
                </c:pt>
                <c:pt idx="47">
                  <c:v>303.26978481668573</c:v>
                </c:pt>
                <c:pt idx="48">
                  <c:v>120.8992864784306</c:v>
                </c:pt>
                <c:pt idx="49">
                  <c:v>103.112625406295</c:v>
                </c:pt>
                <c:pt idx="50">
                  <c:v>89.098468921641697</c:v>
                </c:pt>
                <c:pt idx="51">
                  <c:v>71.125099705594195</c:v>
                </c:pt>
                <c:pt idx="52">
                  <c:v>48.358083796456327</c:v>
                </c:pt>
                <c:pt idx="53">
                  <c:v>71.862090372222397</c:v>
                </c:pt>
                <c:pt idx="54">
                  <c:v>50.345966617092351</c:v>
                </c:pt>
                <c:pt idx="55">
                  <c:v>72.957992347987414</c:v>
                </c:pt>
                <c:pt idx="56">
                  <c:v>64.394484672464898</c:v>
                </c:pt>
                <c:pt idx="57">
                  <c:v>47.660255094286853</c:v>
                </c:pt>
                <c:pt idx="58">
                  <c:v>84.639978605265995</c:v>
                </c:pt>
                <c:pt idx="59">
                  <c:v>59.061746333079718</c:v>
                </c:pt>
                <c:pt idx="60">
                  <c:v>76.427202535219209</c:v>
                </c:pt>
                <c:pt idx="61">
                  <c:v>51.434379196547752</c:v>
                </c:pt>
                <c:pt idx="62">
                  <c:v>50.751163813053438</c:v>
                </c:pt>
                <c:pt idx="63">
                  <c:v>47.053967904827999</c:v>
                </c:pt>
                <c:pt idx="64">
                  <c:v>34.295794113692892</c:v>
                </c:pt>
                <c:pt idx="65">
                  <c:v>46.379384034583367</c:v>
                </c:pt>
                <c:pt idx="66">
                  <c:v>38.812821969471173</c:v>
                </c:pt>
                <c:pt idx="67">
                  <c:v>47.151863118292532</c:v>
                </c:pt>
                <c:pt idx="68">
                  <c:v>43.355946350842189</c:v>
                </c:pt>
                <c:pt idx="69">
                  <c:v>59.534937630286556</c:v>
                </c:pt>
                <c:pt idx="70">
                  <c:v>89.611277477917284</c:v>
                </c:pt>
                <c:pt idx="71">
                  <c:v>100.7961313991171</c:v>
                </c:pt>
                <c:pt idx="72">
                  <c:v>115.0822593270056</c:v>
                </c:pt>
                <c:pt idx="73">
                  <c:v>106.92318207316821</c:v>
                </c:pt>
                <c:pt idx="74">
                  <c:v>50.018062961268747</c:v>
                </c:pt>
                <c:pt idx="75">
                  <c:v>41.82584156307518</c:v>
                </c:pt>
                <c:pt idx="76">
                  <c:v>34.320660344591218</c:v>
                </c:pt>
                <c:pt idx="77">
                  <c:v>24.31568572006325</c:v>
                </c:pt>
                <c:pt idx="78">
                  <c:v>59.766943882147693</c:v>
                </c:pt>
                <c:pt idx="79">
                  <c:v>43.064604783544858</c:v>
                </c:pt>
                <c:pt idx="80">
                  <c:v>52.949405153808357</c:v>
                </c:pt>
                <c:pt idx="81">
                  <c:v>78.645730322406678</c:v>
                </c:pt>
                <c:pt idx="82">
                  <c:v>92.690454871532665</c:v>
                </c:pt>
                <c:pt idx="83">
                  <c:v>79.631228022083661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37E-2A41-B9AB-FBA3D0EEB2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Capture Price Ratio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Inputs'!$J$1</c:f>
              <c:strCache>
                <c:ptCount val="1"/>
                <c:pt idx="0">
                  <c:v>DK1 CPR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Inputs'!$J$2:$J$85</c:f>
              <c:numCache>
                <c:formatCode>General</c:formatCode>
                <c:ptCount val="84"/>
                <c:pt idx="12">
                  <c:v>1.0091486594474419</c:v>
                </c:pt>
                <c:pt idx="13">
                  <c:v>1.2985911686950511</c:v>
                </c:pt>
                <c:pt idx="14">
                  <c:v>0.8710146939215303</c:v>
                </c:pt>
                <c:pt idx="15">
                  <c:v>0.71315772558819213</c:v>
                </c:pt>
                <c:pt idx="16">
                  <c:v>0.96415576931205649</c:v>
                </c:pt>
                <c:pt idx="17">
                  <c:v>1.0394664137310941</c:v>
                </c:pt>
                <c:pt idx="18">
                  <c:v>1.0086181556608309</c:v>
                </c:pt>
                <c:pt idx="19">
                  <c:v>0.98082264407500741</c:v>
                </c:pt>
                <c:pt idx="20">
                  <c:v>1.0104044869130051</c:v>
                </c:pt>
                <c:pt idx="21">
                  <c:v>1.236802226812374</c:v>
                </c:pt>
                <c:pt idx="22">
                  <c:v>1.094777917215692</c:v>
                </c:pt>
                <c:pt idx="23">
                  <c:v>1.0082301641826621</c:v>
                </c:pt>
                <c:pt idx="24">
                  <c:v>1.103930861568265</c:v>
                </c:pt>
                <c:pt idx="25">
                  <c:v>1.0059479277054251</c:v>
                </c:pt>
                <c:pt idx="26">
                  <c:v>0.9871758725122356</c:v>
                </c:pt>
                <c:pt idx="27">
                  <c:v>0.90884647456650169</c:v>
                </c:pt>
                <c:pt idx="28">
                  <c:v>0.87751805187154364</c:v>
                </c:pt>
                <c:pt idx="29">
                  <c:v>0.95691427953473174</c:v>
                </c:pt>
                <c:pt idx="30">
                  <c:v>0.98211323715969778</c:v>
                </c:pt>
                <c:pt idx="31">
                  <c:v>0.99027147802450566</c:v>
                </c:pt>
                <c:pt idx="32">
                  <c:v>0.92690440483613579</c:v>
                </c:pt>
                <c:pt idx="33">
                  <c:v>1.0810885074134391</c:v>
                </c:pt>
                <c:pt idx="34">
                  <c:v>1.1338034085044659</c:v>
                </c:pt>
                <c:pt idx="35">
                  <c:v>1.2086769624549281</c:v>
                </c:pt>
                <c:pt idx="36">
                  <c:v>1.0441257304277269</c:v>
                </c:pt>
                <c:pt idx="37">
                  <c:v>1.04022281700981</c:v>
                </c:pt>
                <c:pt idx="38">
                  <c:v>0.81207759044207406</c:v>
                </c:pt>
                <c:pt idx="39">
                  <c:v>0.89039133384678326</c:v>
                </c:pt>
                <c:pt idx="40">
                  <c:v>0.86943016050498578</c:v>
                </c:pt>
                <c:pt idx="41">
                  <c:v>0.90803902012341908</c:v>
                </c:pt>
                <c:pt idx="42">
                  <c:v>0.87041791592949547</c:v>
                </c:pt>
                <c:pt idx="43">
                  <c:v>0.91908553046700026</c:v>
                </c:pt>
                <c:pt idx="44">
                  <c:v>0.90632901805683119</c:v>
                </c:pt>
                <c:pt idx="45">
                  <c:v>0.91612325253961768</c:v>
                </c:pt>
                <c:pt idx="46">
                  <c:v>0.94278612074660006</c:v>
                </c:pt>
                <c:pt idx="47">
                  <c:v>1.132810339248927</c:v>
                </c:pt>
                <c:pt idx="48">
                  <c:v>1.2309198691226539</c:v>
                </c:pt>
                <c:pt idx="49">
                  <c:v>0.93008781340266</c:v>
                </c:pt>
                <c:pt idx="50">
                  <c:v>0.94612539759598957</c:v>
                </c:pt>
                <c:pt idx="51">
                  <c:v>0.79203966120386338</c:v>
                </c:pt>
                <c:pt idx="52">
                  <c:v>0.68333610561519953</c:v>
                </c:pt>
                <c:pt idx="53">
                  <c:v>0.80965062086215667</c:v>
                </c:pt>
                <c:pt idx="54">
                  <c:v>0.80380421953260928</c:v>
                </c:pt>
                <c:pt idx="55">
                  <c:v>0.86289309777204071</c:v>
                </c:pt>
                <c:pt idx="56">
                  <c:v>0.8038389922187259</c:v>
                </c:pt>
                <c:pt idx="57">
                  <c:v>0.84083605560542263</c:v>
                </c:pt>
                <c:pt idx="58">
                  <c:v>1.028656893611996</c:v>
                </c:pt>
                <c:pt idx="59">
                  <c:v>0.91325607762876626</c:v>
                </c:pt>
                <c:pt idx="60">
                  <c:v>1.051614630458469</c:v>
                </c:pt>
                <c:pt idx="61">
                  <c:v>1.0144208291794441</c:v>
                </c:pt>
                <c:pt idx="62">
                  <c:v>0.8373818542217274</c:v>
                </c:pt>
                <c:pt idx="63">
                  <c:v>0.83468460161643787</c:v>
                </c:pt>
                <c:pt idx="64">
                  <c:v>0.61339845366508694</c:v>
                </c:pt>
                <c:pt idx="65">
                  <c:v>0.73781003223868646</c:v>
                </c:pt>
                <c:pt idx="66">
                  <c:v>0.68549949487061801</c:v>
                </c:pt>
                <c:pt idx="67">
                  <c:v>0.71512676219349525</c:v>
                </c:pt>
                <c:pt idx="68">
                  <c:v>0.63652522303957304</c:v>
                </c:pt>
                <c:pt idx="69">
                  <c:v>0.76175188075929667</c:v>
                </c:pt>
                <c:pt idx="70">
                  <c:v>1.0174940038611719</c:v>
                </c:pt>
                <c:pt idx="71">
                  <c:v>1.0025674160411211</c:v>
                </c:pt>
                <c:pt idx="72">
                  <c:v>1.135032584901597</c:v>
                </c:pt>
                <c:pt idx="73">
                  <c:v>0.93411665141872979</c:v>
                </c:pt>
                <c:pt idx="74">
                  <c:v>0.68579081688022481</c:v>
                </c:pt>
                <c:pt idx="75">
                  <c:v>0.60995353561832499</c:v>
                </c:pt>
                <c:pt idx="76">
                  <c:v>0.62375117423189408</c:v>
                </c:pt>
                <c:pt idx="77">
                  <c:v>0.56976432128633303</c:v>
                </c:pt>
                <c:pt idx="78">
                  <c:v>0.74058967108380014</c:v>
                </c:pt>
                <c:pt idx="79">
                  <c:v>0.64997112344594554</c:v>
                </c:pt>
                <c:pt idx="80">
                  <c:v>0.68273474898658593</c:v>
                </c:pt>
                <c:pt idx="81">
                  <c:v>0.94701517193480578</c:v>
                </c:pt>
                <c:pt idx="82">
                  <c:v>1.0289764309560969</c:v>
                </c:pt>
                <c:pt idx="83">
                  <c:v>0.98205388617926037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1C9-F541-9F90-5FA95B672C5D}"/>
            </c:ext>
          </c:extLst>
        </c:ser>
        <c:ser>
          <c:idx val="1"/>
          <c:order val="1"/>
          <c:tx>
            <c:strRef>
              <c:f>'Capture Price Inputs'!$K$1</c:f>
              <c:strCache>
                <c:ptCount val="1"/>
                <c:pt idx="0">
                  <c:v>DK2 CPR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'Capture Price Inputs'!$K$2:$K$85</c:f>
              <c:numCache>
                <c:formatCode>General</c:formatCode>
                <c:ptCount val="84"/>
                <c:pt idx="12">
                  <c:v>1.090446324793763</c:v>
                </c:pt>
                <c:pt idx="13">
                  <c:v>1.251821301318464</c:v>
                </c:pt>
                <c:pt idx="14">
                  <c:v>0.85520775851277109</c:v>
                </c:pt>
                <c:pt idx="15">
                  <c:v>0.76362023547871605</c:v>
                </c:pt>
                <c:pt idx="16">
                  <c:v>0.97636938233545278</c:v>
                </c:pt>
                <c:pt idx="17">
                  <c:v>1.180647007173951</c:v>
                </c:pt>
                <c:pt idx="18">
                  <c:v>1.021791049952987</c:v>
                </c:pt>
                <c:pt idx="19">
                  <c:v>1.077948442472481</c:v>
                </c:pt>
                <c:pt idx="20">
                  <c:v>1.0591890923358069</c:v>
                </c:pt>
                <c:pt idx="21">
                  <c:v>1.247549053102559</c:v>
                </c:pt>
                <c:pt idx="22">
                  <c:v>1.057080411727209</c:v>
                </c:pt>
                <c:pt idx="23">
                  <c:v>1.125691191699302</c:v>
                </c:pt>
                <c:pt idx="24">
                  <c:v>1.122164979814525</c:v>
                </c:pt>
                <c:pt idx="25">
                  <c:v>0.9585139857498034</c:v>
                </c:pt>
                <c:pt idx="26">
                  <c:v>1.0147741726503949</c:v>
                </c:pt>
                <c:pt idx="27">
                  <c:v>0.95901643664766134</c:v>
                </c:pt>
                <c:pt idx="28">
                  <c:v>0.91033887361171206</c:v>
                </c:pt>
                <c:pt idx="29">
                  <c:v>0.94404491874816343</c:v>
                </c:pt>
                <c:pt idx="30">
                  <c:v>0.95692856904650769</c:v>
                </c:pt>
                <c:pt idx="31">
                  <c:v>1.001768528067071</c:v>
                </c:pt>
                <c:pt idx="32">
                  <c:v>0.95838336990944806</c:v>
                </c:pt>
                <c:pt idx="33">
                  <c:v>1.1445012658471321</c:v>
                </c:pt>
                <c:pt idx="34">
                  <c:v>1.1264608571418011</c:v>
                </c:pt>
                <c:pt idx="35">
                  <c:v>1.279578427053047</c:v>
                </c:pt>
                <c:pt idx="36">
                  <c:v>1.1617546523412821</c:v>
                </c:pt>
                <c:pt idx="37">
                  <c:v>1.084871924613185</c:v>
                </c:pt>
                <c:pt idx="38">
                  <c:v>0.81629582758371144</c:v>
                </c:pt>
                <c:pt idx="39">
                  <c:v>0.93918048773921026</c:v>
                </c:pt>
                <c:pt idx="40">
                  <c:v>0.89914563143311954</c:v>
                </c:pt>
                <c:pt idx="41">
                  <c:v>0.90151367457475784</c:v>
                </c:pt>
                <c:pt idx="42">
                  <c:v>0.90956244496775596</c:v>
                </c:pt>
                <c:pt idx="43">
                  <c:v>0.8830756108422062</c:v>
                </c:pt>
                <c:pt idx="44">
                  <c:v>0.96085369829588263</c:v>
                </c:pt>
                <c:pt idx="45">
                  <c:v>0.87743541957368609</c:v>
                </c:pt>
                <c:pt idx="46">
                  <c:v>0.92404474391789948</c:v>
                </c:pt>
                <c:pt idx="47">
                  <c:v>1.2185280560697289</c:v>
                </c:pt>
                <c:pt idx="48">
                  <c:v>1.2118663236304299</c:v>
                </c:pt>
                <c:pt idx="49">
                  <c:v>1.0244781228159621</c:v>
                </c:pt>
                <c:pt idx="50">
                  <c:v>0.99223631219701203</c:v>
                </c:pt>
                <c:pt idx="51">
                  <c:v>0.85025873478203906</c:v>
                </c:pt>
                <c:pt idx="52">
                  <c:v>0.73101748270540212</c:v>
                </c:pt>
                <c:pt idx="53">
                  <c:v>0.78603819917365525</c:v>
                </c:pt>
                <c:pt idx="54">
                  <c:v>0.77170348712471282</c:v>
                </c:pt>
                <c:pt idx="55">
                  <c:v>0.84546104105698361</c:v>
                </c:pt>
                <c:pt idx="56">
                  <c:v>0.75329173308453345</c:v>
                </c:pt>
                <c:pt idx="57">
                  <c:v>0.83723449033464103</c:v>
                </c:pt>
                <c:pt idx="58">
                  <c:v>1.038705241708771</c:v>
                </c:pt>
                <c:pt idx="59">
                  <c:v>0.83326707575628478</c:v>
                </c:pt>
                <c:pt idx="60">
                  <c:v>0.97714487510792902</c:v>
                </c:pt>
                <c:pt idx="61">
                  <c:v>0.93991726033346112</c:v>
                </c:pt>
                <c:pt idx="62">
                  <c:v>0.8314293202728863</c:v>
                </c:pt>
                <c:pt idx="63">
                  <c:v>0.77805107456374178</c:v>
                </c:pt>
                <c:pt idx="64">
                  <c:v>0.59005563427075769</c:v>
                </c:pt>
                <c:pt idx="65">
                  <c:v>0.69439585691141426</c:v>
                </c:pt>
                <c:pt idx="66">
                  <c:v>0.61762838453946423</c:v>
                </c:pt>
                <c:pt idx="67">
                  <c:v>0.64934714792296455</c:v>
                </c:pt>
                <c:pt idx="68">
                  <c:v>0.61574801135475132</c:v>
                </c:pt>
                <c:pt idx="69">
                  <c:v>0.78000735067931948</c:v>
                </c:pt>
                <c:pt idx="70">
                  <c:v>0.94047799551015088</c:v>
                </c:pt>
                <c:pt idx="71">
                  <c:v>1.0870067185479459</c:v>
                </c:pt>
                <c:pt idx="72">
                  <c:v>1.1494003648079021</c:v>
                </c:pt>
                <c:pt idx="73">
                  <c:v>0.90662384271333907</c:v>
                </c:pt>
                <c:pt idx="74">
                  <c:v>0.60374116471580297</c:v>
                </c:pt>
                <c:pt idx="75">
                  <c:v>0.55174367988103734</c:v>
                </c:pt>
                <c:pt idx="76">
                  <c:v>0.54405946330729504</c:v>
                </c:pt>
                <c:pt idx="77">
                  <c:v>0.4307606652121766</c:v>
                </c:pt>
                <c:pt idx="78">
                  <c:v>0.74746341861966192</c:v>
                </c:pt>
                <c:pt idx="79">
                  <c:v>0.57178942343359873</c:v>
                </c:pt>
                <c:pt idx="80">
                  <c:v>0.63573160083367797</c:v>
                </c:pt>
                <c:pt idx="81">
                  <c:v>0.95480840081563045</c:v>
                </c:pt>
                <c:pt idx="82">
                  <c:v>0.98927251294969987</c:v>
                </c:pt>
                <c:pt idx="83">
                  <c:v>0.97014796253594149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1C9-F541-9F90-5FA95B672C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CPR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Solar Penetration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Inputs'!$F$1</c:f>
              <c:strCache>
                <c:ptCount val="1"/>
                <c:pt idx="0">
                  <c:v>DK1 Solar Penetration (%) — Primary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'Capture Price Inputs'!$F$2:$F$85</c:f>
              <c:numCache>
                <c:formatCode>General</c:formatCode>
                <c:ptCount val="84"/>
                <c:pt idx="12">
                  <c:v>2.2644478926294831E-3</c:v>
                </c:pt>
                <c:pt idx="13">
                  <c:v>5.2474520244822449E-3</c:v>
                </c:pt>
                <c:pt idx="14">
                  <c:v>2.020167759412729E-2</c:v>
                </c:pt>
                <c:pt idx="15">
                  <c:v>3.2427989612304697E-2</c:v>
                </c:pt>
                <c:pt idx="16">
                  <c:v>3.6080087237903569E-2</c:v>
                </c:pt>
                <c:pt idx="17">
                  <c:v>3.7413618831640891E-2</c:v>
                </c:pt>
                <c:pt idx="18">
                  <c:v>3.3998433859503921E-2</c:v>
                </c:pt>
                <c:pt idx="19">
                  <c:v>3.4224763142537661E-2</c:v>
                </c:pt>
                <c:pt idx="20">
                  <c:v>2.4330151939157239E-2</c:v>
                </c:pt>
                <c:pt idx="21">
                  <c:v>1.1490387549446779E-2</c:v>
                </c:pt>
                <c:pt idx="22">
                  <c:v>1.521101274151999E-4</c:v>
                </c:pt>
                <c:pt idx="23">
                  <c:v>1.472410662127807E-5</c:v>
                </c:pt>
                <c:pt idx="24">
                  <c:v>3.6313559990350909E-3</c:v>
                </c:pt>
                <c:pt idx="25">
                  <c:v>1.0868941718057299E-2</c:v>
                </c:pt>
                <c:pt idx="26">
                  <c:v>2.2382303907371628E-2</c:v>
                </c:pt>
                <c:pt idx="27">
                  <c:v>4.212837115783985E-2</c:v>
                </c:pt>
                <c:pt idx="28">
                  <c:v>3.3075052211960353E-2</c:v>
                </c:pt>
                <c:pt idx="29">
                  <c:v>4.9841661821819518E-2</c:v>
                </c:pt>
                <c:pt idx="30">
                  <c:v>4.85715434854639E-2</c:v>
                </c:pt>
                <c:pt idx="31">
                  <c:v>3.8876947944708702E-2</c:v>
                </c:pt>
                <c:pt idx="32">
                  <c:v>2.5932850179436289E-2</c:v>
                </c:pt>
                <c:pt idx="33">
                  <c:v>1.7460096431489061E-2</c:v>
                </c:pt>
                <c:pt idx="34">
                  <c:v>7.0293060058135041E-3</c:v>
                </c:pt>
                <c:pt idx="35">
                  <c:v>3.243365391886713E-3</c:v>
                </c:pt>
                <c:pt idx="36">
                  <c:v>6.6753155472480874E-3</c:v>
                </c:pt>
                <c:pt idx="37">
                  <c:v>1.7399571233002901E-2</c:v>
                </c:pt>
                <c:pt idx="38">
                  <c:v>6.1955070586442867E-2</c:v>
                </c:pt>
                <c:pt idx="39">
                  <c:v>8.404056603836467E-2</c:v>
                </c:pt>
                <c:pt idx="40">
                  <c:v>9.6876891420316108E-2</c:v>
                </c:pt>
                <c:pt idx="41">
                  <c:v>9.4962020744311482E-2</c:v>
                </c:pt>
                <c:pt idx="42">
                  <c:v>9.963556652585577E-2</c:v>
                </c:pt>
                <c:pt idx="43">
                  <c:v>8.9626978325266782E-2</c:v>
                </c:pt>
                <c:pt idx="44">
                  <c:v>6.6046498591704736E-2</c:v>
                </c:pt>
                <c:pt idx="45">
                  <c:v>3.7469414477654707E-2</c:v>
                </c:pt>
                <c:pt idx="46">
                  <c:v>1.046932675470221E-2</c:v>
                </c:pt>
                <c:pt idx="47">
                  <c:v>6.2291646451968653E-3</c:v>
                </c:pt>
                <c:pt idx="48">
                  <c:v>1.2460694276862919E-2</c:v>
                </c:pt>
                <c:pt idx="49">
                  <c:v>3.4376404191763639E-2</c:v>
                </c:pt>
                <c:pt idx="50">
                  <c:v>5.6477968577058592E-2</c:v>
                </c:pt>
                <c:pt idx="51">
                  <c:v>0.1509467292684683</c:v>
                </c:pt>
                <c:pt idx="52">
                  <c:v>0.18600333743842001</c:v>
                </c:pt>
                <c:pt idx="53">
                  <c:v>0.21892573712946101</c:v>
                </c:pt>
                <c:pt idx="54">
                  <c:v>0.18929524056345021</c:v>
                </c:pt>
                <c:pt idx="55">
                  <c:v>0.1493297980639493</c:v>
                </c:pt>
                <c:pt idx="56">
                  <c:v>0.13191654386548721</c:v>
                </c:pt>
                <c:pt idx="57">
                  <c:v>4.2864886456730103E-2</c:v>
                </c:pt>
                <c:pt idx="58">
                  <c:v>1.6003493537152379E-2</c:v>
                </c:pt>
                <c:pt idx="59">
                  <c:v>6.3905046726965339E-3</c:v>
                </c:pt>
                <c:pt idx="60">
                  <c:v>1.3417186050607519E-2</c:v>
                </c:pt>
                <c:pt idx="61">
                  <c:v>2.6436223837926501E-2</c:v>
                </c:pt>
                <c:pt idx="62">
                  <c:v>6.6233973400350477E-2</c:v>
                </c:pt>
                <c:pt idx="63">
                  <c:v>0.1084169878649764</c:v>
                </c:pt>
                <c:pt idx="64">
                  <c:v>0.18887031649880051</c:v>
                </c:pt>
                <c:pt idx="65">
                  <c:v>0.1715230569234828</c:v>
                </c:pt>
                <c:pt idx="66">
                  <c:v>0.1809062055635286</c:v>
                </c:pt>
                <c:pt idx="67">
                  <c:v>0.15512153111725799</c:v>
                </c:pt>
                <c:pt idx="68">
                  <c:v>0.1275567235314205</c:v>
                </c:pt>
                <c:pt idx="69">
                  <c:v>6.2873767847415107E-2</c:v>
                </c:pt>
                <c:pt idx="70">
                  <c:v>1.780902737610289E-2</c:v>
                </c:pt>
                <c:pt idx="71">
                  <c:v>6.7857975683456679E-3</c:v>
                </c:pt>
                <c:pt idx="72">
                  <c:v>1.366055484422285E-2</c:v>
                </c:pt>
                <c:pt idx="73">
                  <c:v>4.3419934817177687E-2</c:v>
                </c:pt>
                <c:pt idx="74">
                  <c:v>0.1120694547038418</c:v>
                </c:pt>
                <c:pt idx="75">
                  <c:v>0.14827548756052711</c:v>
                </c:pt>
                <c:pt idx="76">
                  <c:v>0.19244468175967161</c:v>
                </c:pt>
                <c:pt idx="77">
                  <c:v>0.18784829238523279</c:v>
                </c:pt>
                <c:pt idx="78">
                  <c:v>0.21828188848241209</c:v>
                </c:pt>
                <c:pt idx="79">
                  <c:v>0.19011684012808119</c:v>
                </c:pt>
                <c:pt idx="80">
                  <c:v>0.13816152724517919</c:v>
                </c:pt>
                <c:pt idx="81">
                  <c:v>6.9462071202051626E-2</c:v>
                </c:pt>
                <c:pt idx="82">
                  <c:v>2.6604970402147529E-2</c:v>
                </c:pt>
                <c:pt idx="83">
                  <c:v>1.40253486520015E-2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BB3-494E-A8C1-EB8B778C495C}"/>
            </c:ext>
          </c:extLst>
        </c:ser>
        <c:ser>
          <c:idx val="1"/>
          <c:order val="1"/>
          <c:tx>
            <c:strRef>
              <c:f>'Capture Price Inputs'!$G$1</c:f>
              <c:strCache>
                <c:ptCount val="1"/>
                <c:pt idx="0">
                  <c:v>DK2 Solar Penetration (%) — Robustness</c:v>
                </c:pt>
              </c:strCache>
            </c:strRef>
          </c:tx>
          <c:spPr>
            <a:ln>
              <a:solidFill>
                <a:srgbClr val="FFD700"/>
              </a:solidFill>
              <a:prstDash val="solid"/>
            </a:ln>
          </c:spPr>
          <c:marker>
            <c:symbol val="none"/>
          </c:marker>
          <c:val>
            <c:numRef>
              <c:f>'Capture Price Inputs'!$G$2:$G$85</c:f>
              <c:numCache>
                <c:formatCode>General</c:formatCode>
                <c:ptCount val="84"/>
                <c:pt idx="12">
                  <c:v>1.864323044087839E-3</c:v>
                </c:pt>
                <c:pt idx="13">
                  <c:v>4.9613393448072352E-3</c:v>
                </c:pt>
                <c:pt idx="14">
                  <c:v>1.532033335337761E-2</c:v>
                </c:pt>
                <c:pt idx="15">
                  <c:v>2.6180595134545931E-2</c:v>
                </c:pt>
                <c:pt idx="16">
                  <c:v>3.2240930774166239E-2</c:v>
                </c:pt>
                <c:pt idx="17">
                  <c:v>3.0651812088155841E-2</c:v>
                </c:pt>
                <c:pt idx="18">
                  <c:v>2.998206800974695E-2</c:v>
                </c:pt>
                <c:pt idx="19">
                  <c:v>2.8034713414307081E-2</c:v>
                </c:pt>
                <c:pt idx="20">
                  <c:v>2.1736479101595249E-2</c:v>
                </c:pt>
                <c:pt idx="21">
                  <c:v>1.107911770574695E-2</c:v>
                </c:pt>
                <c:pt idx="22">
                  <c:v>1.1044611578332841E-4</c:v>
                </c:pt>
                <c:pt idx="23">
                  <c:v>5.6352433584062588E-6</c:v>
                </c:pt>
                <c:pt idx="24">
                  <c:v>3.104474131982996E-3</c:v>
                </c:pt>
                <c:pt idx="25">
                  <c:v>9.2483369487723587E-3</c:v>
                </c:pt>
                <c:pt idx="26">
                  <c:v>1.8474517045212829E-2</c:v>
                </c:pt>
                <c:pt idx="27">
                  <c:v>3.2694407483312787E-2</c:v>
                </c:pt>
                <c:pt idx="28">
                  <c:v>3.2945829294540187E-2</c:v>
                </c:pt>
                <c:pt idx="29">
                  <c:v>4.4480133140056069E-2</c:v>
                </c:pt>
                <c:pt idx="30">
                  <c:v>3.7049542537302173E-2</c:v>
                </c:pt>
                <c:pt idx="31">
                  <c:v>3.1857768834261987E-2</c:v>
                </c:pt>
                <c:pt idx="32">
                  <c:v>2.23981137027396E-2</c:v>
                </c:pt>
                <c:pt idx="33">
                  <c:v>1.267326343754744E-2</c:v>
                </c:pt>
                <c:pt idx="34">
                  <c:v>4.0132810857910267E-3</c:v>
                </c:pt>
                <c:pt idx="35">
                  <c:v>1.8226295838260991E-3</c:v>
                </c:pt>
                <c:pt idx="36">
                  <c:v>4.939556742877535E-3</c:v>
                </c:pt>
                <c:pt idx="37">
                  <c:v>1.3248485586698279E-2</c:v>
                </c:pt>
                <c:pt idx="38">
                  <c:v>3.4089330349121053E-2</c:v>
                </c:pt>
                <c:pt idx="39">
                  <c:v>5.5254436099578648E-2</c:v>
                </c:pt>
                <c:pt idx="40">
                  <c:v>6.5811459960859395E-2</c:v>
                </c:pt>
                <c:pt idx="41">
                  <c:v>6.4528229045867816E-2</c:v>
                </c:pt>
                <c:pt idx="42">
                  <c:v>6.7025803801952916E-2</c:v>
                </c:pt>
                <c:pt idx="43">
                  <c:v>6.1299924397195817E-2</c:v>
                </c:pt>
                <c:pt idx="44">
                  <c:v>4.5784276103507021E-2</c:v>
                </c:pt>
                <c:pt idx="45">
                  <c:v>2.9809058027035401E-2</c:v>
                </c:pt>
                <c:pt idx="46">
                  <c:v>7.8652952619005494E-3</c:v>
                </c:pt>
                <c:pt idx="47">
                  <c:v>4.5323555529735481E-3</c:v>
                </c:pt>
                <c:pt idx="48">
                  <c:v>5.8626527231366082E-3</c:v>
                </c:pt>
                <c:pt idx="49">
                  <c:v>1.8877648418373551E-2</c:v>
                </c:pt>
                <c:pt idx="50">
                  <c:v>3.7096229392005707E-2</c:v>
                </c:pt>
                <c:pt idx="51">
                  <c:v>8.0269966033824955E-2</c:v>
                </c:pt>
                <c:pt idx="52">
                  <c:v>0.1080032082802261</c:v>
                </c:pt>
                <c:pt idx="53">
                  <c:v>0.1144244665352921</c:v>
                </c:pt>
                <c:pt idx="54">
                  <c:v>0.10203074507159759</c:v>
                </c:pt>
                <c:pt idx="55">
                  <c:v>7.7931010532967707E-2</c:v>
                </c:pt>
                <c:pt idx="56">
                  <c:v>8.0909954639318743E-2</c:v>
                </c:pt>
                <c:pt idx="57">
                  <c:v>2.9172340215594381E-2</c:v>
                </c:pt>
                <c:pt idx="58">
                  <c:v>1.04098691216888E-2</c:v>
                </c:pt>
                <c:pt idx="59">
                  <c:v>3.809030164374855E-3</c:v>
                </c:pt>
                <c:pt idx="60">
                  <c:v>6.1781830729755079E-3</c:v>
                </c:pt>
                <c:pt idx="61">
                  <c:v>1.667231366864759E-2</c:v>
                </c:pt>
                <c:pt idx="62">
                  <c:v>4.1112806367337662E-2</c:v>
                </c:pt>
                <c:pt idx="63">
                  <c:v>6.5123378744806448E-2</c:v>
                </c:pt>
                <c:pt idx="64">
                  <c:v>0.106315341440858</c:v>
                </c:pt>
                <c:pt idx="65">
                  <c:v>0.1072729076610999</c:v>
                </c:pt>
                <c:pt idx="66">
                  <c:v>0.1057942634887733</c:v>
                </c:pt>
                <c:pt idx="67">
                  <c:v>9.3690832268705199E-2</c:v>
                </c:pt>
                <c:pt idx="68">
                  <c:v>7.2463202820400169E-2</c:v>
                </c:pt>
                <c:pt idx="69">
                  <c:v>3.6145253892379881E-2</c:v>
                </c:pt>
                <c:pt idx="70">
                  <c:v>8.6028414054236078E-3</c:v>
                </c:pt>
                <c:pt idx="71">
                  <c:v>4.1714684657767577E-3</c:v>
                </c:pt>
                <c:pt idx="72">
                  <c:v>7.223240212576967E-3</c:v>
                </c:pt>
                <c:pt idx="73">
                  <c:v>2.010831138567791E-2</c:v>
                </c:pt>
                <c:pt idx="74">
                  <c:v>4.6547866447452589E-2</c:v>
                </c:pt>
                <c:pt idx="75">
                  <c:v>7.1689783649061992E-2</c:v>
                </c:pt>
                <c:pt idx="76">
                  <c:v>9.4714127256233946E-2</c:v>
                </c:pt>
                <c:pt idx="77">
                  <c:v>9.9826250015510765E-2</c:v>
                </c:pt>
                <c:pt idx="78">
                  <c:v>9.3996419418699143E-2</c:v>
                </c:pt>
                <c:pt idx="79">
                  <c:v>0.1057378118957395</c:v>
                </c:pt>
                <c:pt idx="80">
                  <c:v>9.0628879686523764E-2</c:v>
                </c:pt>
                <c:pt idx="81">
                  <c:v>3.9573125678626628E-2</c:v>
                </c:pt>
                <c:pt idx="82">
                  <c:v>1.454364344794783E-2</c:v>
                </c:pt>
                <c:pt idx="83">
                  <c:v>9.0694911608833299E-3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BB3-494E-A8C1-EB8B778C49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Solar Penetration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Capture Price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Inputs'!$H$1</c:f>
              <c:strCache>
                <c:ptCount val="1"/>
                <c:pt idx="0">
                  <c:v>DK1 Capture Price (EUR/MWh)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Inputs'!$H$2:$H$85</c:f>
              <c:numCache>
                <c:formatCode>General</c:formatCode>
                <c:ptCount val="84"/>
                <c:pt idx="12">
                  <c:v>25.22320957280251</c:v>
                </c:pt>
                <c:pt idx="13">
                  <c:v>22.83581899109792</c:v>
                </c:pt>
                <c:pt idx="14">
                  <c:v>15.94107348554973</c:v>
                </c:pt>
                <c:pt idx="15">
                  <c:v>10.36487590420421</c:v>
                </c:pt>
                <c:pt idx="16">
                  <c:v>15.478548945086001</c:v>
                </c:pt>
                <c:pt idx="17">
                  <c:v>27.313308227868689</c:v>
                </c:pt>
                <c:pt idx="18">
                  <c:v>24.831745178109159</c:v>
                </c:pt>
                <c:pt idx="19">
                  <c:v>33.876915422047851</c:v>
                </c:pt>
                <c:pt idx="20">
                  <c:v>38.935979003379593</c:v>
                </c:pt>
                <c:pt idx="21">
                  <c:v>31.927741533059191</c:v>
                </c:pt>
                <c:pt idx="22">
                  <c:v>26.005993265993261</c:v>
                </c:pt>
                <c:pt idx="23">
                  <c:v>34.795161290322582</c:v>
                </c:pt>
                <c:pt idx="24">
                  <c:v>55.422967607277918</c:v>
                </c:pt>
                <c:pt idx="25">
                  <c:v>47.542610979142587</c:v>
                </c:pt>
                <c:pt idx="26">
                  <c:v>44.550700915805493</c:v>
                </c:pt>
                <c:pt idx="27">
                  <c:v>43.594739828473003</c:v>
                </c:pt>
                <c:pt idx="28">
                  <c:v>47.655870575001217</c:v>
                </c:pt>
                <c:pt idx="29">
                  <c:v>70.543547911111062</c:v>
                </c:pt>
                <c:pt idx="30">
                  <c:v>78.568319747758608</c:v>
                </c:pt>
                <c:pt idx="31">
                  <c:v>81.983351136401794</c:v>
                </c:pt>
                <c:pt idx="32">
                  <c:v>116.20022495544841</c:v>
                </c:pt>
                <c:pt idx="33">
                  <c:v>126.53039520323949</c:v>
                </c:pt>
                <c:pt idx="34">
                  <c:v>160.77058330102949</c:v>
                </c:pt>
                <c:pt idx="35">
                  <c:v>228.8621705579358</c:v>
                </c:pt>
                <c:pt idx="36">
                  <c:v>123.20125067917191</c:v>
                </c:pt>
                <c:pt idx="37">
                  <c:v>117.67077903546</c:v>
                </c:pt>
                <c:pt idx="38">
                  <c:v>191.50807173506701</c:v>
                </c:pt>
                <c:pt idx="39">
                  <c:v>145.70138715926041</c:v>
                </c:pt>
                <c:pt idx="40">
                  <c:v>149.4185612445558</c:v>
                </c:pt>
                <c:pt idx="41">
                  <c:v>194.71103409481981</c:v>
                </c:pt>
                <c:pt idx="42">
                  <c:v>239.3981525107354</c:v>
                </c:pt>
                <c:pt idx="43">
                  <c:v>419.79263722660602</c:v>
                </c:pt>
                <c:pt idx="44">
                  <c:v>310.70739927266709</c:v>
                </c:pt>
                <c:pt idx="45">
                  <c:v>125.6295598680838</c:v>
                </c:pt>
                <c:pt idx="46">
                  <c:v>131.7111886265582</c:v>
                </c:pt>
                <c:pt idx="47">
                  <c:v>282.82379374207261</c:v>
                </c:pt>
                <c:pt idx="48">
                  <c:v>138.52998868426329</c:v>
                </c:pt>
                <c:pt idx="49">
                  <c:v>109.87697572135031</c:v>
                </c:pt>
                <c:pt idx="50">
                  <c:v>93.774190940695377</c:v>
                </c:pt>
                <c:pt idx="51">
                  <c:v>76.25042822265543</c:v>
                </c:pt>
                <c:pt idx="52">
                  <c:v>50.543487760082613</c:v>
                </c:pt>
                <c:pt idx="53">
                  <c:v>74.888982776218057</c:v>
                </c:pt>
                <c:pt idx="54">
                  <c:v>52.095599438463452</c:v>
                </c:pt>
                <c:pt idx="55">
                  <c:v>74.180426039978187</c:v>
                </c:pt>
                <c:pt idx="56">
                  <c:v>68.116869623396937</c:v>
                </c:pt>
                <c:pt idx="57">
                  <c:v>50.539090519702853</c:v>
                </c:pt>
                <c:pt idx="58">
                  <c:v>90.680805562425178</c:v>
                </c:pt>
                <c:pt idx="59">
                  <c:v>63.455327688788032</c:v>
                </c:pt>
                <c:pt idx="60">
                  <c:v>78.571316441678306</c:v>
                </c:pt>
                <c:pt idx="61">
                  <c:v>59.479486768055089</c:v>
                </c:pt>
                <c:pt idx="62">
                  <c:v>51.269783241554933</c:v>
                </c:pt>
                <c:pt idx="63">
                  <c:v>49.383940562011212</c:v>
                </c:pt>
                <c:pt idx="64">
                  <c:v>35.894148271408874</c:v>
                </c:pt>
                <c:pt idx="65">
                  <c:v>47.037633727397647</c:v>
                </c:pt>
                <c:pt idx="66">
                  <c:v>42.521773223099522</c:v>
                </c:pt>
                <c:pt idx="67">
                  <c:v>52.17121747504909</c:v>
                </c:pt>
                <c:pt idx="68">
                  <c:v>45.647504626217007</c:v>
                </c:pt>
                <c:pt idx="69">
                  <c:v>58.441583787091993</c:v>
                </c:pt>
                <c:pt idx="70">
                  <c:v>97.582352616331917</c:v>
                </c:pt>
                <c:pt idx="71">
                  <c:v>92.073217693833982</c:v>
                </c:pt>
                <c:pt idx="72">
                  <c:v>111.1945655985155</c:v>
                </c:pt>
                <c:pt idx="73">
                  <c:v>105.41315973788279</c:v>
                </c:pt>
                <c:pt idx="74">
                  <c:v>57.84566339627056</c:v>
                </c:pt>
                <c:pt idx="75">
                  <c:v>45.844395770687349</c:v>
                </c:pt>
                <c:pt idx="76">
                  <c:v>40.065667394009381</c:v>
                </c:pt>
                <c:pt idx="77">
                  <c:v>33.493381965196598</c:v>
                </c:pt>
                <c:pt idx="78">
                  <c:v>61.32224821093979</c:v>
                </c:pt>
                <c:pt idx="79">
                  <c:v>47.755824567457559</c:v>
                </c:pt>
                <c:pt idx="80">
                  <c:v>49.429094996057238</c:v>
                </c:pt>
                <c:pt idx="81">
                  <c:v>74.266634537895257</c:v>
                </c:pt>
                <c:pt idx="82">
                  <c:v>95.564531802521344</c:v>
                </c:pt>
                <c:pt idx="83">
                  <c:v>80.958034242780258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C82-7D42-A943-882A4C922DCC}"/>
            </c:ext>
          </c:extLst>
        </c:ser>
        <c:ser>
          <c:idx val="1"/>
          <c:order val="1"/>
          <c:tx>
            <c:strRef>
              <c:f>'Capture Price Inputs'!$I$1</c:f>
              <c:strCache>
                <c:ptCount val="1"/>
                <c:pt idx="0">
                  <c:v>DK2 Capture Price (EUR/MWh)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'Capture Price Inputs'!$I$2:$I$85</c:f>
              <c:numCache>
                <c:formatCode>General</c:formatCode>
                <c:ptCount val="84"/>
                <c:pt idx="12">
                  <c:v>29.86213642213642</c:v>
                </c:pt>
                <c:pt idx="13">
                  <c:v>23.555517829721889</c:v>
                </c:pt>
                <c:pt idx="14">
                  <c:v>17.149050692261021</c:v>
                </c:pt>
                <c:pt idx="15">
                  <c:v>13.252523128367081</c:v>
                </c:pt>
                <c:pt idx="16">
                  <c:v>18.594049382716051</c:v>
                </c:pt>
                <c:pt idx="17">
                  <c:v>35.21078005032583</c:v>
                </c:pt>
                <c:pt idx="18">
                  <c:v>26.450778046867001</c:v>
                </c:pt>
                <c:pt idx="19">
                  <c:v>44.113765015404859</c:v>
                </c:pt>
                <c:pt idx="20">
                  <c:v>41.853047880870562</c:v>
                </c:pt>
                <c:pt idx="21">
                  <c:v>33.600878372903331</c:v>
                </c:pt>
                <c:pt idx="22">
                  <c:v>37.749765625000002</c:v>
                </c:pt>
                <c:pt idx="23">
                  <c:v>44.191428571428567</c:v>
                </c:pt>
                <c:pt idx="24">
                  <c:v>57.072134410081453</c:v>
                </c:pt>
                <c:pt idx="25">
                  <c:v>52.285083654524577</c:v>
                </c:pt>
                <c:pt idx="26">
                  <c:v>47.422643011897812</c:v>
                </c:pt>
                <c:pt idx="27">
                  <c:v>45.901363748248833</c:v>
                </c:pt>
                <c:pt idx="28">
                  <c:v>50.258720231460799</c:v>
                </c:pt>
                <c:pt idx="29">
                  <c:v>69.469341653776226</c:v>
                </c:pt>
                <c:pt idx="30">
                  <c:v>77.933111551394319</c:v>
                </c:pt>
                <c:pt idx="31">
                  <c:v>84.512747690257029</c:v>
                </c:pt>
                <c:pt idx="32">
                  <c:v>118.7457227855615</c:v>
                </c:pt>
                <c:pt idx="33">
                  <c:v>122.3841235967906</c:v>
                </c:pt>
                <c:pt idx="34">
                  <c:v>153.62679427815749</c:v>
                </c:pt>
                <c:pt idx="35">
                  <c:v>244.48727859764409</c:v>
                </c:pt>
                <c:pt idx="36">
                  <c:v>129.67749023150819</c:v>
                </c:pt>
                <c:pt idx="37">
                  <c:v>108.80333899256409</c:v>
                </c:pt>
                <c:pt idx="38">
                  <c:v>186.0504424586062</c:v>
                </c:pt>
                <c:pt idx="39">
                  <c:v>143.53758886421849</c:v>
                </c:pt>
                <c:pt idx="40">
                  <c:v>146.25360234460331</c:v>
                </c:pt>
                <c:pt idx="41">
                  <c:v>192.2325905808319</c:v>
                </c:pt>
                <c:pt idx="42">
                  <c:v>212.3625858003895</c:v>
                </c:pt>
                <c:pt idx="43">
                  <c:v>397.17988485976059</c:v>
                </c:pt>
                <c:pt idx="44">
                  <c:v>315.92884279677901</c:v>
                </c:pt>
                <c:pt idx="45">
                  <c:v>120.1190076327392</c:v>
                </c:pt>
                <c:pt idx="46">
                  <c:v>134.0399027878758</c:v>
                </c:pt>
                <c:pt idx="47">
                  <c:v>303.26978481668573</c:v>
                </c:pt>
                <c:pt idx="48">
                  <c:v>120.8992864784306</c:v>
                </c:pt>
                <c:pt idx="49">
                  <c:v>103.112625406295</c:v>
                </c:pt>
                <c:pt idx="50">
                  <c:v>89.098468921641697</c:v>
                </c:pt>
                <c:pt idx="51">
                  <c:v>71.125099705594195</c:v>
                </c:pt>
                <c:pt idx="52">
                  <c:v>48.358083796456327</c:v>
                </c:pt>
                <c:pt idx="53">
                  <c:v>71.862090372222397</c:v>
                </c:pt>
                <c:pt idx="54">
                  <c:v>50.345966617092351</c:v>
                </c:pt>
                <c:pt idx="55">
                  <c:v>72.957992347987414</c:v>
                </c:pt>
                <c:pt idx="56">
                  <c:v>64.394484672464898</c:v>
                </c:pt>
                <c:pt idx="57">
                  <c:v>47.660255094286853</c:v>
                </c:pt>
                <c:pt idx="58">
                  <c:v>84.639978605265995</c:v>
                </c:pt>
                <c:pt idx="59">
                  <c:v>59.061746333079718</c:v>
                </c:pt>
                <c:pt idx="60">
                  <c:v>76.427202535219209</c:v>
                </c:pt>
                <c:pt idx="61">
                  <c:v>51.434379196547752</c:v>
                </c:pt>
                <c:pt idx="62">
                  <c:v>50.751163813053438</c:v>
                </c:pt>
                <c:pt idx="63">
                  <c:v>47.053967904827999</c:v>
                </c:pt>
                <c:pt idx="64">
                  <c:v>34.295794113692892</c:v>
                </c:pt>
                <c:pt idx="65">
                  <c:v>46.379384034583367</c:v>
                </c:pt>
                <c:pt idx="66">
                  <c:v>38.812821969471173</c:v>
                </c:pt>
                <c:pt idx="67">
                  <c:v>47.151863118292532</c:v>
                </c:pt>
                <c:pt idx="68">
                  <c:v>43.355946350842189</c:v>
                </c:pt>
                <c:pt idx="69">
                  <c:v>59.534937630286556</c:v>
                </c:pt>
                <c:pt idx="70">
                  <c:v>89.611277477917284</c:v>
                </c:pt>
                <c:pt idx="71">
                  <c:v>100.7961313991171</c:v>
                </c:pt>
                <c:pt idx="72">
                  <c:v>115.0822593270056</c:v>
                </c:pt>
                <c:pt idx="73">
                  <c:v>106.92318207316821</c:v>
                </c:pt>
                <c:pt idx="74">
                  <c:v>50.018062961268747</c:v>
                </c:pt>
                <c:pt idx="75">
                  <c:v>41.82584156307518</c:v>
                </c:pt>
                <c:pt idx="76">
                  <c:v>34.320660344591218</c:v>
                </c:pt>
                <c:pt idx="77">
                  <c:v>24.31568572006325</c:v>
                </c:pt>
                <c:pt idx="78">
                  <c:v>59.766943882147693</c:v>
                </c:pt>
                <c:pt idx="79">
                  <c:v>43.064604783544858</c:v>
                </c:pt>
                <c:pt idx="80">
                  <c:v>52.949405153808357</c:v>
                </c:pt>
                <c:pt idx="81">
                  <c:v>78.645730322406678</c:v>
                </c:pt>
                <c:pt idx="82">
                  <c:v>92.690454871532665</c:v>
                </c:pt>
                <c:pt idx="83">
                  <c:v>79.631228022083661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C82-7D42-A943-882A4C922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Capture Price Ratio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Inputs'!$J$1</c:f>
              <c:strCache>
                <c:ptCount val="1"/>
                <c:pt idx="0">
                  <c:v>DK1 CPR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Inputs'!$J$2:$J$85</c:f>
              <c:numCache>
                <c:formatCode>General</c:formatCode>
                <c:ptCount val="84"/>
                <c:pt idx="12">
                  <c:v>1.0091486594474419</c:v>
                </c:pt>
                <c:pt idx="13">
                  <c:v>1.2985911686950511</c:v>
                </c:pt>
                <c:pt idx="14">
                  <c:v>0.8710146939215303</c:v>
                </c:pt>
                <c:pt idx="15">
                  <c:v>0.71315772558819213</c:v>
                </c:pt>
                <c:pt idx="16">
                  <c:v>0.96415576931205649</c:v>
                </c:pt>
                <c:pt idx="17">
                  <c:v>1.0394664137310941</c:v>
                </c:pt>
                <c:pt idx="18">
                  <c:v>1.0086181556608309</c:v>
                </c:pt>
                <c:pt idx="19">
                  <c:v>0.98082264407500741</c:v>
                </c:pt>
                <c:pt idx="20">
                  <c:v>1.0104044869130051</c:v>
                </c:pt>
                <c:pt idx="21">
                  <c:v>1.236802226812374</c:v>
                </c:pt>
                <c:pt idx="22">
                  <c:v>1.094777917215692</c:v>
                </c:pt>
                <c:pt idx="23">
                  <c:v>1.0082301641826621</c:v>
                </c:pt>
                <c:pt idx="24">
                  <c:v>1.103930861568265</c:v>
                </c:pt>
                <c:pt idx="25">
                  <c:v>1.0059479277054251</c:v>
                </c:pt>
                <c:pt idx="26">
                  <c:v>0.9871758725122356</c:v>
                </c:pt>
                <c:pt idx="27">
                  <c:v>0.90884647456650169</c:v>
                </c:pt>
                <c:pt idx="28">
                  <c:v>0.87751805187154364</c:v>
                </c:pt>
                <c:pt idx="29">
                  <c:v>0.95691427953473174</c:v>
                </c:pt>
                <c:pt idx="30">
                  <c:v>0.98211323715969778</c:v>
                </c:pt>
                <c:pt idx="31">
                  <c:v>0.99027147802450566</c:v>
                </c:pt>
                <c:pt idx="32">
                  <c:v>0.92690440483613579</c:v>
                </c:pt>
                <c:pt idx="33">
                  <c:v>1.0810885074134391</c:v>
                </c:pt>
                <c:pt idx="34">
                  <c:v>1.1338034085044659</c:v>
                </c:pt>
                <c:pt idx="35">
                  <c:v>1.2086769624549281</c:v>
                </c:pt>
                <c:pt idx="36">
                  <c:v>1.0441257304277269</c:v>
                </c:pt>
                <c:pt idx="37">
                  <c:v>1.04022281700981</c:v>
                </c:pt>
                <c:pt idx="38">
                  <c:v>0.81207759044207406</c:v>
                </c:pt>
                <c:pt idx="39">
                  <c:v>0.89039133384678326</c:v>
                </c:pt>
                <c:pt idx="40">
                  <c:v>0.86943016050498578</c:v>
                </c:pt>
                <c:pt idx="41">
                  <c:v>0.90803902012341908</c:v>
                </c:pt>
                <c:pt idx="42">
                  <c:v>0.87041791592949547</c:v>
                </c:pt>
                <c:pt idx="43">
                  <c:v>0.91908553046700026</c:v>
                </c:pt>
                <c:pt idx="44">
                  <c:v>0.90632901805683119</c:v>
                </c:pt>
                <c:pt idx="45">
                  <c:v>0.91612325253961768</c:v>
                </c:pt>
                <c:pt idx="46">
                  <c:v>0.94278612074660006</c:v>
                </c:pt>
                <c:pt idx="47">
                  <c:v>1.132810339248927</c:v>
                </c:pt>
                <c:pt idx="48">
                  <c:v>1.2309198691226539</c:v>
                </c:pt>
                <c:pt idx="49">
                  <c:v>0.93008781340266</c:v>
                </c:pt>
                <c:pt idx="50">
                  <c:v>0.94612539759598957</c:v>
                </c:pt>
                <c:pt idx="51">
                  <c:v>0.79203966120386338</c:v>
                </c:pt>
                <c:pt idx="52">
                  <c:v>0.68333610561519953</c:v>
                </c:pt>
                <c:pt idx="53">
                  <c:v>0.80965062086215667</c:v>
                </c:pt>
                <c:pt idx="54">
                  <c:v>0.80380421953260928</c:v>
                </c:pt>
                <c:pt idx="55">
                  <c:v>0.86289309777204071</c:v>
                </c:pt>
                <c:pt idx="56">
                  <c:v>0.8038389922187259</c:v>
                </c:pt>
                <c:pt idx="57">
                  <c:v>0.84083605560542263</c:v>
                </c:pt>
                <c:pt idx="58">
                  <c:v>1.028656893611996</c:v>
                </c:pt>
                <c:pt idx="59">
                  <c:v>0.91325607762876626</c:v>
                </c:pt>
                <c:pt idx="60">
                  <c:v>1.051614630458469</c:v>
                </c:pt>
                <c:pt idx="61">
                  <c:v>1.0144208291794441</c:v>
                </c:pt>
                <c:pt idx="62">
                  <c:v>0.8373818542217274</c:v>
                </c:pt>
                <c:pt idx="63">
                  <c:v>0.83468460161643787</c:v>
                </c:pt>
                <c:pt idx="64">
                  <c:v>0.61339845366508694</c:v>
                </c:pt>
                <c:pt idx="65">
                  <c:v>0.73781003223868646</c:v>
                </c:pt>
                <c:pt idx="66">
                  <c:v>0.68549949487061801</c:v>
                </c:pt>
                <c:pt idx="67">
                  <c:v>0.71512676219349525</c:v>
                </c:pt>
                <c:pt idx="68">
                  <c:v>0.63652522303957304</c:v>
                </c:pt>
                <c:pt idx="69">
                  <c:v>0.76175188075929667</c:v>
                </c:pt>
                <c:pt idx="70">
                  <c:v>1.0174940038611719</c:v>
                </c:pt>
                <c:pt idx="71">
                  <c:v>1.0025674160411211</c:v>
                </c:pt>
                <c:pt idx="72">
                  <c:v>1.135032584901597</c:v>
                </c:pt>
                <c:pt idx="73">
                  <c:v>0.93411665141872979</c:v>
                </c:pt>
                <c:pt idx="74">
                  <c:v>0.68579081688022481</c:v>
                </c:pt>
                <c:pt idx="75">
                  <c:v>0.60995353561832499</c:v>
                </c:pt>
                <c:pt idx="76">
                  <c:v>0.62375117423189408</c:v>
                </c:pt>
                <c:pt idx="77">
                  <c:v>0.56976432128633303</c:v>
                </c:pt>
                <c:pt idx="78">
                  <c:v>0.74058967108380014</c:v>
                </c:pt>
                <c:pt idx="79">
                  <c:v>0.64997112344594554</c:v>
                </c:pt>
                <c:pt idx="80">
                  <c:v>0.68273474898658593</c:v>
                </c:pt>
                <c:pt idx="81">
                  <c:v>0.94701517193480578</c:v>
                </c:pt>
                <c:pt idx="82">
                  <c:v>1.0289764309560969</c:v>
                </c:pt>
                <c:pt idx="83">
                  <c:v>0.98205388617926037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45D-8C4A-BC03-E0310846CDB0}"/>
            </c:ext>
          </c:extLst>
        </c:ser>
        <c:ser>
          <c:idx val="1"/>
          <c:order val="1"/>
          <c:tx>
            <c:strRef>
              <c:f>'Capture Price Inputs'!$K$1</c:f>
              <c:strCache>
                <c:ptCount val="1"/>
                <c:pt idx="0">
                  <c:v>DK2 CPR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'Capture Price Inputs'!$K$2:$K$85</c:f>
              <c:numCache>
                <c:formatCode>General</c:formatCode>
                <c:ptCount val="84"/>
                <c:pt idx="12">
                  <c:v>1.090446324793763</c:v>
                </c:pt>
                <c:pt idx="13">
                  <c:v>1.251821301318464</c:v>
                </c:pt>
                <c:pt idx="14">
                  <c:v>0.85520775851277109</c:v>
                </c:pt>
                <c:pt idx="15">
                  <c:v>0.76362023547871605</c:v>
                </c:pt>
                <c:pt idx="16">
                  <c:v>0.97636938233545278</c:v>
                </c:pt>
                <c:pt idx="17">
                  <c:v>1.180647007173951</c:v>
                </c:pt>
                <c:pt idx="18">
                  <c:v>1.021791049952987</c:v>
                </c:pt>
                <c:pt idx="19">
                  <c:v>1.077948442472481</c:v>
                </c:pt>
                <c:pt idx="20">
                  <c:v>1.0591890923358069</c:v>
                </c:pt>
                <c:pt idx="21">
                  <c:v>1.247549053102559</c:v>
                </c:pt>
                <c:pt idx="22">
                  <c:v>1.057080411727209</c:v>
                </c:pt>
                <c:pt idx="23">
                  <c:v>1.125691191699302</c:v>
                </c:pt>
                <c:pt idx="24">
                  <c:v>1.122164979814525</c:v>
                </c:pt>
                <c:pt idx="25">
                  <c:v>0.9585139857498034</c:v>
                </c:pt>
                <c:pt idx="26">
                  <c:v>1.0147741726503949</c:v>
                </c:pt>
                <c:pt idx="27">
                  <c:v>0.95901643664766134</c:v>
                </c:pt>
                <c:pt idx="28">
                  <c:v>0.91033887361171206</c:v>
                </c:pt>
                <c:pt idx="29">
                  <c:v>0.94404491874816343</c:v>
                </c:pt>
                <c:pt idx="30">
                  <c:v>0.95692856904650769</c:v>
                </c:pt>
                <c:pt idx="31">
                  <c:v>1.001768528067071</c:v>
                </c:pt>
                <c:pt idx="32">
                  <c:v>0.95838336990944806</c:v>
                </c:pt>
                <c:pt idx="33">
                  <c:v>1.1445012658471321</c:v>
                </c:pt>
                <c:pt idx="34">
                  <c:v>1.1264608571418011</c:v>
                </c:pt>
                <c:pt idx="35">
                  <c:v>1.279578427053047</c:v>
                </c:pt>
                <c:pt idx="36">
                  <c:v>1.1617546523412821</c:v>
                </c:pt>
                <c:pt idx="37">
                  <c:v>1.084871924613185</c:v>
                </c:pt>
                <c:pt idx="38">
                  <c:v>0.81629582758371144</c:v>
                </c:pt>
                <c:pt idx="39">
                  <c:v>0.93918048773921026</c:v>
                </c:pt>
                <c:pt idx="40">
                  <c:v>0.89914563143311954</c:v>
                </c:pt>
                <c:pt idx="41">
                  <c:v>0.90151367457475784</c:v>
                </c:pt>
                <c:pt idx="42">
                  <c:v>0.90956244496775596</c:v>
                </c:pt>
                <c:pt idx="43">
                  <c:v>0.8830756108422062</c:v>
                </c:pt>
                <c:pt idx="44">
                  <c:v>0.96085369829588263</c:v>
                </c:pt>
                <c:pt idx="45">
                  <c:v>0.87743541957368609</c:v>
                </c:pt>
                <c:pt idx="46">
                  <c:v>0.92404474391789948</c:v>
                </c:pt>
                <c:pt idx="47">
                  <c:v>1.2185280560697289</c:v>
                </c:pt>
                <c:pt idx="48">
                  <c:v>1.2118663236304299</c:v>
                </c:pt>
                <c:pt idx="49">
                  <c:v>1.0244781228159621</c:v>
                </c:pt>
                <c:pt idx="50">
                  <c:v>0.99223631219701203</c:v>
                </c:pt>
                <c:pt idx="51">
                  <c:v>0.85025873478203906</c:v>
                </c:pt>
                <c:pt idx="52">
                  <c:v>0.73101748270540212</c:v>
                </c:pt>
                <c:pt idx="53">
                  <c:v>0.78603819917365525</c:v>
                </c:pt>
                <c:pt idx="54">
                  <c:v>0.77170348712471282</c:v>
                </c:pt>
                <c:pt idx="55">
                  <c:v>0.84546104105698361</c:v>
                </c:pt>
                <c:pt idx="56">
                  <c:v>0.75329173308453345</c:v>
                </c:pt>
                <c:pt idx="57">
                  <c:v>0.83723449033464103</c:v>
                </c:pt>
                <c:pt idx="58">
                  <c:v>1.038705241708771</c:v>
                </c:pt>
                <c:pt idx="59">
                  <c:v>0.83326707575628478</c:v>
                </c:pt>
                <c:pt idx="60">
                  <c:v>0.97714487510792902</c:v>
                </c:pt>
                <c:pt idx="61">
                  <c:v>0.93991726033346112</c:v>
                </c:pt>
                <c:pt idx="62">
                  <c:v>0.8314293202728863</c:v>
                </c:pt>
                <c:pt idx="63">
                  <c:v>0.77805107456374178</c:v>
                </c:pt>
                <c:pt idx="64">
                  <c:v>0.59005563427075769</c:v>
                </c:pt>
                <c:pt idx="65">
                  <c:v>0.69439585691141426</c:v>
                </c:pt>
                <c:pt idx="66">
                  <c:v>0.61762838453946423</c:v>
                </c:pt>
                <c:pt idx="67">
                  <c:v>0.64934714792296455</c:v>
                </c:pt>
                <c:pt idx="68">
                  <c:v>0.61574801135475132</c:v>
                </c:pt>
                <c:pt idx="69">
                  <c:v>0.78000735067931948</c:v>
                </c:pt>
                <c:pt idx="70">
                  <c:v>0.94047799551015088</c:v>
                </c:pt>
                <c:pt idx="71">
                  <c:v>1.0870067185479459</c:v>
                </c:pt>
                <c:pt idx="72">
                  <c:v>1.1494003648079021</c:v>
                </c:pt>
                <c:pt idx="73">
                  <c:v>0.90662384271333907</c:v>
                </c:pt>
                <c:pt idx="74">
                  <c:v>0.60374116471580297</c:v>
                </c:pt>
                <c:pt idx="75">
                  <c:v>0.55174367988103734</c:v>
                </c:pt>
                <c:pt idx="76">
                  <c:v>0.54405946330729504</c:v>
                </c:pt>
                <c:pt idx="77">
                  <c:v>0.4307606652121766</c:v>
                </c:pt>
                <c:pt idx="78">
                  <c:v>0.74746341861966192</c:v>
                </c:pt>
                <c:pt idx="79">
                  <c:v>0.57178942343359873</c:v>
                </c:pt>
                <c:pt idx="80">
                  <c:v>0.63573160083367797</c:v>
                </c:pt>
                <c:pt idx="81">
                  <c:v>0.95480840081563045</c:v>
                </c:pt>
                <c:pt idx="82">
                  <c:v>0.98927251294969987</c:v>
                </c:pt>
                <c:pt idx="83">
                  <c:v>0.97014796253594149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45D-8C4A-BC03-E0310846CD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CPR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Solar Penetration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Inputs'!$F$1</c:f>
              <c:strCache>
                <c:ptCount val="1"/>
                <c:pt idx="0">
                  <c:v>DK1 Solar Penetration (%) — Primary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'Capture Price Inputs'!$F$2:$F$85</c:f>
              <c:numCache>
                <c:formatCode>General</c:formatCode>
                <c:ptCount val="84"/>
                <c:pt idx="12">
                  <c:v>2.2644478926294831E-3</c:v>
                </c:pt>
                <c:pt idx="13">
                  <c:v>5.2474520244822449E-3</c:v>
                </c:pt>
                <c:pt idx="14">
                  <c:v>2.020167759412729E-2</c:v>
                </c:pt>
                <c:pt idx="15">
                  <c:v>3.2427989612304697E-2</c:v>
                </c:pt>
                <c:pt idx="16">
                  <c:v>3.6080087237903569E-2</c:v>
                </c:pt>
                <c:pt idx="17">
                  <c:v>3.7413618831640891E-2</c:v>
                </c:pt>
                <c:pt idx="18">
                  <c:v>3.3998433859503921E-2</c:v>
                </c:pt>
                <c:pt idx="19">
                  <c:v>3.4224763142537661E-2</c:v>
                </c:pt>
                <c:pt idx="20">
                  <c:v>2.4330151939157239E-2</c:v>
                </c:pt>
                <c:pt idx="21">
                  <c:v>1.1490387549446779E-2</c:v>
                </c:pt>
                <c:pt idx="22">
                  <c:v>1.521101274151999E-4</c:v>
                </c:pt>
                <c:pt idx="23">
                  <c:v>1.472410662127807E-5</c:v>
                </c:pt>
                <c:pt idx="24">
                  <c:v>3.6313559990350909E-3</c:v>
                </c:pt>
                <c:pt idx="25">
                  <c:v>1.0868941718057299E-2</c:v>
                </c:pt>
                <c:pt idx="26">
                  <c:v>2.2382303907371628E-2</c:v>
                </c:pt>
                <c:pt idx="27">
                  <c:v>4.212837115783985E-2</c:v>
                </c:pt>
                <c:pt idx="28">
                  <c:v>3.3075052211960353E-2</c:v>
                </c:pt>
                <c:pt idx="29">
                  <c:v>4.9841661821819518E-2</c:v>
                </c:pt>
                <c:pt idx="30">
                  <c:v>4.85715434854639E-2</c:v>
                </c:pt>
                <c:pt idx="31">
                  <c:v>3.8876947944708702E-2</c:v>
                </c:pt>
                <c:pt idx="32">
                  <c:v>2.5932850179436289E-2</c:v>
                </c:pt>
                <c:pt idx="33">
                  <c:v>1.7460096431489061E-2</c:v>
                </c:pt>
                <c:pt idx="34">
                  <c:v>7.0293060058135041E-3</c:v>
                </c:pt>
                <c:pt idx="35">
                  <c:v>3.243365391886713E-3</c:v>
                </c:pt>
                <c:pt idx="36">
                  <c:v>6.6753155472480874E-3</c:v>
                </c:pt>
                <c:pt idx="37">
                  <c:v>1.7399571233002901E-2</c:v>
                </c:pt>
                <c:pt idx="38">
                  <c:v>6.1955070586442867E-2</c:v>
                </c:pt>
                <c:pt idx="39">
                  <c:v>8.404056603836467E-2</c:v>
                </c:pt>
                <c:pt idx="40">
                  <c:v>9.6876891420316108E-2</c:v>
                </c:pt>
                <c:pt idx="41">
                  <c:v>9.4962020744311482E-2</c:v>
                </c:pt>
                <c:pt idx="42">
                  <c:v>9.963556652585577E-2</c:v>
                </c:pt>
                <c:pt idx="43">
                  <c:v>8.9626978325266782E-2</c:v>
                </c:pt>
                <c:pt idx="44">
                  <c:v>6.6046498591704736E-2</c:v>
                </c:pt>
                <c:pt idx="45">
                  <c:v>3.7469414477654707E-2</c:v>
                </c:pt>
                <c:pt idx="46">
                  <c:v>1.046932675470221E-2</c:v>
                </c:pt>
                <c:pt idx="47">
                  <c:v>6.2291646451968653E-3</c:v>
                </c:pt>
                <c:pt idx="48">
                  <c:v>1.2460694276862919E-2</c:v>
                </c:pt>
                <c:pt idx="49">
                  <c:v>3.4376404191763639E-2</c:v>
                </c:pt>
                <c:pt idx="50">
                  <c:v>5.6477968577058592E-2</c:v>
                </c:pt>
                <c:pt idx="51">
                  <c:v>0.1509467292684683</c:v>
                </c:pt>
                <c:pt idx="52">
                  <c:v>0.18600333743842001</c:v>
                </c:pt>
                <c:pt idx="53">
                  <c:v>0.21892573712946101</c:v>
                </c:pt>
                <c:pt idx="54">
                  <c:v>0.18929524056345021</c:v>
                </c:pt>
                <c:pt idx="55">
                  <c:v>0.1493297980639493</c:v>
                </c:pt>
                <c:pt idx="56">
                  <c:v>0.13191654386548721</c:v>
                </c:pt>
                <c:pt idx="57">
                  <c:v>4.2864886456730103E-2</c:v>
                </c:pt>
                <c:pt idx="58">
                  <c:v>1.6003493537152379E-2</c:v>
                </c:pt>
                <c:pt idx="59">
                  <c:v>6.3905046726965339E-3</c:v>
                </c:pt>
                <c:pt idx="60">
                  <c:v>1.3417186050607519E-2</c:v>
                </c:pt>
                <c:pt idx="61">
                  <c:v>2.6436223837926501E-2</c:v>
                </c:pt>
                <c:pt idx="62">
                  <c:v>6.6233973400350477E-2</c:v>
                </c:pt>
                <c:pt idx="63">
                  <c:v>0.1084169878649764</c:v>
                </c:pt>
                <c:pt idx="64">
                  <c:v>0.18887031649880051</c:v>
                </c:pt>
                <c:pt idx="65">
                  <c:v>0.1715230569234828</c:v>
                </c:pt>
                <c:pt idx="66">
                  <c:v>0.1809062055635286</c:v>
                </c:pt>
                <c:pt idx="67">
                  <c:v>0.15512153111725799</c:v>
                </c:pt>
                <c:pt idx="68">
                  <c:v>0.1275567235314205</c:v>
                </c:pt>
                <c:pt idx="69">
                  <c:v>6.2873767847415107E-2</c:v>
                </c:pt>
                <c:pt idx="70">
                  <c:v>1.780902737610289E-2</c:v>
                </c:pt>
                <c:pt idx="71">
                  <c:v>6.7857975683456679E-3</c:v>
                </c:pt>
                <c:pt idx="72">
                  <c:v>1.366055484422285E-2</c:v>
                </c:pt>
                <c:pt idx="73">
                  <c:v>4.3419934817177687E-2</c:v>
                </c:pt>
                <c:pt idx="74">
                  <c:v>0.1120694547038418</c:v>
                </c:pt>
                <c:pt idx="75">
                  <c:v>0.14827548756052711</c:v>
                </c:pt>
                <c:pt idx="76">
                  <c:v>0.19244468175967161</c:v>
                </c:pt>
                <c:pt idx="77">
                  <c:v>0.18784829238523279</c:v>
                </c:pt>
                <c:pt idx="78">
                  <c:v>0.21828188848241209</c:v>
                </c:pt>
                <c:pt idx="79">
                  <c:v>0.19011684012808119</c:v>
                </c:pt>
                <c:pt idx="80">
                  <c:v>0.13816152724517919</c:v>
                </c:pt>
                <c:pt idx="81">
                  <c:v>6.9462071202051626E-2</c:v>
                </c:pt>
                <c:pt idx="82">
                  <c:v>2.6604970402147529E-2</c:v>
                </c:pt>
                <c:pt idx="83">
                  <c:v>1.40253486520015E-2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109-4447-A0A2-AA8DD1BEED17}"/>
            </c:ext>
          </c:extLst>
        </c:ser>
        <c:ser>
          <c:idx val="1"/>
          <c:order val="1"/>
          <c:tx>
            <c:strRef>
              <c:f>'Capture Price Inputs'!$G$1</c:f>
              <c:strCache>
                <c:ptCount val="1"/>
                <c:pt idx="0">
                  <c:v>DK2 Solar Penetration (%) — Robustness</c:v>
                </c:pt>
              </c:strCache>
            </c:strRef>
          </c:tx>
          <c:spPr>
            <a:ln>
              <a:solidFill>
                <a:srgbClr val="FFD700"/>
              </a:solidFill>
              <a:prstDash val="solid"/>
            </a:ln>
          </c:spPr>
          <c:marker>
            <c:symbol val="none"/>
          </c:marker>
          <c:val>
            <c:numRef>
              <c:f>'Capture Price Inputs'!$G$2:$G$85</c:f>
              <c:numCache>
                <c:formatCode>General</c:formatCode>
                <c:ptCount val="84"/>
                <c:pt idx="12">
                  <c:v>1.864323044087839E-3</c:v>
                </c:pt>
                <c:pt idx="13">
                  <c:v>4.9613393448072352E-3</c:v>
                </c:pt>
                <c:pt idx="14">
                  <c:v>1.532033335337761E-2</c:v>
                </c:pt>
                <c:pt idx="15">
                  <c:v>2.6180595134545931E-2</c:v>
                </c:pt>
                <c:pt idx="16">
                  <c:v>3.2240930774166239E-2</c:v>
                </c:pt>
                <c:pt idx="17">
                  <c:v>3.0651812088155841E-2</c:v>
                </c:pt>
                <c:pt idx="18">
                  <c:v>2.998206800974695E-2</c:v>
                </c:pt>
                <c:pt idx="19">
                  <c:v>2.8034713414307081E-2</c:v>
                </c:pt>
                <c:pt idx="20">
                  <c:v>2.1736479101595249E-2</c:v>
                </c:pt>
                <c:pt idx="21">
                  <c:v>1.107911770574695E-2</c:v>
                </c:pt>
                <c:pt idx="22">
                  <c:v>1.1044611578332841E-4</c:v>
                </c:pt>
                <c:pt idx="23">
                  <c:v>5.6352433584062588E-6</c:v>
                </c:pt>
                <c:pt idx="24">
                  <c:v>3.104474131982996E-3</c:v>
                </c:pt>
                <c:pt idx="25">
                  <c:v>9.2483369487723587E-3</c:v>
                </c:pt>
                <c:pt idx="26">
                  <c:v>1.8474517045212829E-2</c:v>
                </c:pt>
                <c:pt idx="27">
                  <c:v>3.2694407483312787E-2</c:v>
                </c:pt>
                <c:pt idx="28">
                  <c:v>3.2945829294540187E-2</c:v>
                </c:pt>
                <c:pt idx="29">
                  <c:v>4.4480133140056069E-2</c:v>
                </c:pt>
                <c:pt idx="30">
                  <c:v>3.7049542537302173E-2</c:v>
                </c:pt>
                <c:pt idx="31">
                  <c:v>3.1857768834261987E-2</c:v>
                </c:pt>
                <c:pt idx="32">
                  <c:v>2.23981137027396E-2</c:v>
                </c:pt>
                <c:pt idx="33">
                  <c:v>1.267326343754744E-2</c:v>
                </c:pt>
                <c:pt idx="34">
                  <c:v>4.0132810857910267E-3</c:v>
                </c:pt>
                <c:pt idx="35">
                  <c:v>1.8226295838260991E-3</c:v>
                </c:pt>
                <c:pt idx="36">
                  <c:v>4.939556742877535E-3</c:v>
                </c:pt>
                <c:pt idx="37">
                  <c:v>1.3248485586698279E-2</c:v>
                </c:pt>
                <c:pt idx="38">
                  <c:v>3.4089330349121053E-2</c:v>
                </c:pt>
                <c:pt idx="39">
                  <c:v>5.5254436099578648E-2</c:v>
                </c:pt>
                <c:pt idx="40">
                  <c:v>6.5811459960859395E-2</c:v>
                </c:pt>
                <c:pt idx="41">
                  <c:v>6.4528229045867816E-2</c:v>
                </c:pt>
                <c:pt idx="42">
                  <c:v>6.7025803801952916E-2</c:v>
                </c:pt>
                <c:pt idx="43">
                  <c:v>6.1299924397195817E-2</c:v>
                </c:pt>
                <c:pt idx="44">
                  <c:v>4.5784276103507021E-2</c:v>
                </c:pt>
                <c:pt idx="45">
                  <c:v>2.9809058027035401E-2</c:v>
                </c:pt>
                <c:pt idx="46">
                  <c:v>7.8652952619005494E-3</c:v>
                </c:pt>
                <c:pt idx="47">
                  <c:v>4.5323555529735481E-3</c:v>
                </c:pt>
                <c:pt idx="48">
                  <c:v>5.8626527231366082E-3</c:v>
                </c:pt>
                <c:pt idx="49">
                  <c:v>1.8877648418373551E-2</c:v>
                </c:pt>
                <c:pt idx="50">
                  <c:v>3.7096229392005707E-2</c:v>
                </c:pt>
                <c:pt idx="51">
                  <c:v>8.0269966033824955E-2</c:v>
                </c:pt>
                <c:pt idx="52">
                  <c:v>0.1080032082802261</c:v>
                </c:pt>
                <c:pt idx="53">
                  <c:v>0.1144244665352921</c:v>
                </c:pt>
                <c:pt idx="54">
                  <c:v>0.10203074507159759</c:v>
                </c:pt>
                <c:pt idx="55">
                  <c:v>7.7931010532967707E-2</c:v>
                </c:pt>
                <c:pt idx="56">
                  <c:v>8.0909954639318743E-2</c:v>
                </c:pt>
                <c:pt idx="57">
                  <c:v>2.9172340215594381E-2</c:v>
                </c:pt>
                <c:pt idx="58">
                  <c:v>1.04098691216888E-2</c:v>
                </c:pt>
                <c:pt idx="59">
                  <c:v>3.809030164374855E-3</c:v>
                </c:pt>
                <c:pt idx="60">
                  <c:v>6.1781830729755079E-3</c:v>
                </c:pt>
                <c:pt idx="61">
                  <c:v>1.667231366864759E-2</c:v>
                </c:pt>
                <c:pt idx="62">
                  <c:v>4.1112806367337662E-2</c:v>
                </c:pt>
                <c:pt idx="63">
                  <c:v>6.5123378744806448E-2</c:v>
                </c:pt>
                <c:pt idx="64">
                  <c:v>0.106315341440858</c:v>
                </c:pt>
                <c:pt idx="65">
                  <c:v>0.1072729076610999</c:v>
                </c:pt>
                <c:pt idx="66">
                  <c:v>0.1057942634887733</c:v>
                </c:pt>
                <c:pt idx="67">
                  <c:v>9.3690832268705199E-2</c:v>
                </c:pt>
                <c:pt idx="68">
                  <c:v>7.2463202820400169E-2</c:v>
                </c:pt>
                <c:pt idx="69">
                  <c:v>3.6145253892379881E-2</c:v>
                </c:pt>
                <c:pt idx="70">
                  <c:v>8.6028414054236078E-3</c:v>
                </c:pt>
                <c:pt idx="71">
                  <c:v>4.1714684657767577E-3</c:v>
                </c:pt>
                <c:pt idx="72">
                  <c:v>7.223240212576967E-3</c:v>
                </c:pt>
                <c:pt idx="73">
                  <c:v>2.010831138567791E-2</c:v>
                </c:pt>
                <c:pt idx="74">
                  <c:v>4.6547866447452589E-2</c:v>
                </c:pt>
                <c:pt idx="75">
                  <c:v>7.1689783649061992E-2</c:v>
                </c:pt>
                <c:pt idx="76">
                  <c:v>9.4714127256233946E-2</c:v>
                </c:pt>
                <c:pt idx="77">
                  <c:v>9.9826250015510765E-2</c:v>
                </c:pt>
                <c:pt idx="78">
                  <c:v>9.3996419418699143E-2</c:v>
                </c:pt>
                <c:pt idx="79">
                  <c:v>0.1057378118957395</c:v>
                </c:pt>
                <c:pt idx="80">
                  <c:v>9.0628879686523764E-2</c:v>
                </c:pt>
                <c:pt idx="81">
                  <c:v>3.9573125678626628E-2</c:v>
                </c:pt>
                <c:pt idx="82">
                  <c:v>1.454364344794783E-2</c:v>
                </c:pt>
                <c:pt idx="83">
                  <c:v>9.0694911608833299E-3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109-4447-A0A2-AA8DD1BEED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Solar Penetration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Capture Price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Inputs'!$H$1</c:f>
              <c:strCache>
                <c:ptCount val="1"/>
                <c:pt idx="0">
                  <c:v>DK1 Capture Price (EUR/MWh)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Inputs'!$H$2:$H$85</c:f>
              <c:numCache>
                <c:formatCode>General</c:formatCode>
                <c:ptCount val="84"/>
                <c:pt idx="12">
                  <c:v>25.22320957280251</c:v>
                </c:pt>
                <c:pt idx="13">
                  <c:v>22.83581899109792</c:v>
                </c:pt>
                <c:pt idx="14">
                  <c:v>15.94107348554973</c:v>
                </c:pt>
                <c:pt idx="15">
                  <c:v>10.36487590420421</c:v>
                </c:pt>
                <c:pt idx="16">
                  <c:v>15.478548945086001</c:v>
                </c:pt>
                <c:pt idx="17">
                  <c:v>27.313308227868689</c:v>
                </c:pt>
                <c:pt idx="18">
                  <c:v>24.831745178109159</c:v>
                </c:pt>
                <c:pt idx="19">
                  <c:v>33.876915422047851</c:v>
                </c:pt>
                <c:pt idx="20">
                  <c:v>38.935979003379593</c:v>
                </c:pt>
                <c:pt idx="21">
                  <c:v>31.927741533059191</c:v>
                </c:pt>
                <c:pt idx="22">
                  <c:v>26.005993265993261</c:v>
                </c:pt>
                <c:pt idx="23">
                  <c:v>34.795161290322582</c:v>
                </c:pt>
                <c:pt idx="24">
                  <c:v>55.422967607277918</c:v>
                </c:pt>
                <c:pt idx="25">
                  <c:v>47.542610979142587</c:v>
                </c:pt>
                <c:pt idx="26">
                  <c:v>44.550700915805493</c:v>
                </c:pt>
                <c:pt idx="27">
                  <c:v>43.594739828473003</c:v>
                </c:pt>
                <c:pt idx="28">
                  <c:v>47.655870575001217</c:v>
                </c:pt>
                <c:pt idx="29">
                  <c:v>70.543547911111062</c:v>
                </c:pt>
                <c:pt idx="30">
                  <c:v>78.568319747758608</c:v>
                </c:pt>
                <c:pt idx="31">
                  <c:v>81.983351136401794</c:v>
                </c:pt>
                <c:pt idx="32">
                  <c:v>116.20022495544841</c:v>
                </c:pt>
                <c:pt idx="33">
                  <c:v>126.53039520323949</c:v>
                </c:pt>
                <c:pt idx="34">
                  <c:v>160.77058330102949</c:v>
                </c:pt>
                <c:pt idx="35">
                  <c:v>228.8621705579358</c:v>
                </c:pt>
                <c:pt idx="36">
                  <c:v>123.20125067917191</c:v>
                </c:pt>
                <c:pt idx="37">
                  <c:v>117.67077903546</c:v>
                </c:pt>
                <c:pt idx="38">
                  <c:v>191.50807173506701</c:v>
                </c:pt>
                <c:pt idx="39">
                  <c:v>145.70138715926041</c:v>
                </c:pt>
                <c:pt idx="40">
                  <c:v>149.4185612445558</c:v>
                </c:pt>
                <c:pt idx="41">
                  <c:v>194.71103409481981</c:v>
                </c:pt>
                <c:pt idx="42">
                  <c:v>239.3981525107354</c:v>
                </c:pt>
                <c:pt idx="43">
                  <c:v>419.79263722660602</c:v>
                </c:pt>
                <c:pt idx="44">
                  <c:v>310.70739927266709</c:v>
                </c:pt>
                <c:pt idx="45">
                  <c:v>125.6295598680838</c:v>
                </c:pt>
                <c:pt idx="46">
                  <c:v>131.7111886265582</c:v>
                </c:pt>
                <c:pt idx="47">
                  <c:v>282.82379374207261</c:v>
                </c:pt>
                <c:pt idx="48">
                  <c:v>138.52998868426329</c:v>
                </c:pt>
                <c:pt idx="49">
                  <c:v>109.87697572135031</c:v>
                </c:pt>
                <c:pt idx="50">
                  <c:v>93.774190940695377</c:v>
                </c:pt>
                <c:pt idx="51">
                  <c:v>76.25042822265543</c:v>
                </c:pt>
                <c:pt idx="52">
                  <c:v>50.543487760082613</c:v>
                </c:pt>
                <c:pt idx="53">
                  <c:v>74.888982776218057</c:v>
                </c:pt>
                <c:pt idx="54">
                  <c:v>52.095599438463452</c:v>
                </c:pt>
                <c:pt idx="55">
                  <c:v>74.180426039978187</c:v>
                </c:pt>
                <c:pt idx="56">
                  <c:v>68.116869623396937</c:v>
                </c:pt>
                <c:pt idx="57">
                  <c:v>50.539090519702853</c:v>
                </c:pt>
                <c:pt idx="58">
                  <c:v>90.680805562425178</c:v>
                </c:pt>
                <c:pt idx="59">
                  <c:v>63.455327688788032</c:v>
                </c:pt>
                <c:pt idx="60">
                  <c:v>78.571316441678306</c:v>
                </c:pt>
                <c:pt idx="61">
                  <c:v>59.479486768055089</c:v>
                </c:pt>
                <c:pt idx="62">
                  <c:v>51.269783241554933</c:v>
                </c:pt>
                <c:pt idx="63">
                  <c:v>49.383940562011212</c:v>
                </c:pt>
                <c:pt idx="64">
                  <c:v>35.894148271408874</c:v>
                </c:pt>
                <c:pt idx="65">
                  <c:v>47.037633727397647</c:v>
                </c:pt>
                <c:pt idx="66">
                  <c:v>42.521773223099522</c:v>
                </c:pt>
                <c:pt idx="67">
                  <c:v>52.17121747504909</c:v>
                </c:pt>
                <c:pt idx="68">
                  <c:v>45.647504626217007</c:v>
                </c:pt>
                <c:pt idx="69">
                  <c:v>58.441583787091993</c:v>
                </c:pt>
                <c:pt idx="70">
                  <c:v>97.582352616331917</c:v>
                </c:pt>
                <c:pt idx="71">
                  <c:v>92.073217693833982</c:v>
                </c:pt>
                <c:pt idx="72">
                  <c:v>111.1945655985155</c:v>
                </c:pt>
                <c:pt idx="73">
                  <c:v>105.41315973788279</c:v>
                </c:pt>
                <c:pt idx="74">
                  <c:v>57.84566339627056</c:v>
                </c:pt>
                <c:pt idx="75">
                  <c:v>45.844395770687349</c:v>
                </c:pt>
                <c:pt idx="76">
                  <c:v>40.065667394009381</c:v>
                </c:pt>
                <c:pt idx="77">
                  <c:v>33.493381965196598</c:v>
                </c:pt>
                <c:pt idx="78">
                  <c:v>61.32224821093979</c:v>
                </c:pt>
                <c:pt idx="79">
                  <c:v>47.755824567457559</c:v>
                </c:pt>
                <c:pt idx="80">
                  <c:v>49.429094996057238</c:v>
                </c:pt>
                <c:pt idx="81">
                  <c:v>74.266634537895257</c:v>
                </c:pt>
                <c:pt idx="82">
                  <c:v>95.564531802521344</c:v>
                </c:pt>
                <c:pt idx="83">
                  <c:v>80.958034242780258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2F-0044-A5FD-F8A495D06F42}"/>
            </c:ext>
          </c:extLst>
        </c:ser>
        <c:ser>
          <c:idx val="1"/>
          <c:order val="1"/>
          <c:tx>
            <c:strRef>
              <c:f>'Capture Price Inputs'!$I$1</c:f>
              <c:strCache>
                <c:ptCount val="1"/>
                <c:pt idx="0">
                  <c:v>DK2 Capture Price (EUR/MWh)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'Capture Price Inputs'!$I$2:$I$85</c:f>
              <c:numCache>
                <c:formatCode>General</c:formatCode>
                <c:ptCount val="84"/>
                <c:pt idx="12">
                  <c:v>29.86213642213642</c:v>
                </c:pt>
                <c:pt idx="13">
                  <c:v>23.555517829721889</c:v>
                </c:pt>
                <c:pt idx="14">
                  <c:v>17.149050692261021</c:v>
                </c:pt>
                <c:pt idx="15">
                  <c:v>13.252523128367081</c:v>
                </c:pt>
                <c:pt idx="16">
                  <c:v>18.594049382716051</c:v>
                </c:pt>
                <c:pt idx="17">
                  <c:v>35.21078005032583</c:v>
                </c:pt>
                <c:pt idx="18">
                  <c:v>26.450778046867001</c:v>
                </c:pt>
                <c:pt idx="19">
                  <c:v>44.113765015404859</c:v>
                </c:pt>
                <c:pt idx="20">
                  <c:v>41.853047880870562</c:v>
                </c:pt>
                <c:pt idx="21">
                  <c:v>33.600878372903331</c:v>
                </c:pt>
                <c:pt idx="22">
                  <c:v>37.749765625000002</c:v>
                </c:pt>
                <c:pt idx="23">
                  <c:v>44.191428571428567</c:v>
                </c:pt>
                <c:pt idx="24">
                  <c:v>57.072134410081453</c:v>
                </c:pt>
                <c:pt idx="25">
                  <c:v>52.285083654524577</c:v>
                </c:pt>
                <c:pt idx="26">
                  <c:v>47.422643011897812</c:v>
                </c:pt>
                <c:pt idx="27">
                  <c:v>45.901363748248833</c:v>
                </c:pt>
                <c:pt idx="28">
                  <c:v>50.258720231460799</c:v>
                </c:pt>
                <c:pt idx="29">
                  <c:v>69.469341653776226</c:v>
                </c:pt>
                <c:pt idx="30">
                  <c:v>77.933111551394319</c:v>
                </c:pt>
                <c:pt idx="31">
                  <c:v>84.512747690257029</c:v>
                </c:pt>
                <c:pt idx="32">
                  <c:v>118.7457227855615</c:v>
                </c:pt>
                <c:pt idx="33">
                  <c:v>122.3841235967906</c:v>
                </c:pt>
                <c:pt idx="34">
                  <c:v>153.62679427815749</c:v>
                </c:pt>
                <c:pt idx="35">
                  <c:v>244.48727859764409</c:v>
                </c:pt>
                <c:pt idx="36">
                  <c:v>129.67749023150819</c:v>
                </c:pt>
                <c:pt idx="37">
                  <c:v>108.80333899256409</c:v>
                </c:pt>
                <c:pt idx="38">
                  <c:v>186.0504424586062</c:v>
                </c:pt>
                <c:pt idx="39">
                  <c:v>143.53758886421849</c:v>
                </c:pt>
                <c:pt idx="40">
                  <c:v>146.25360234460331</c:v>
                </c:pt>
                <c:pt idx="41">
                  <c:v>192.2325905808319</c:v>
                </c:pt>
                <c:pt idx="42">
                  <c:v>212.3625858003895</c:v>
                </c:pt>
                <c:pt idx="43">
                  <c:v>397.17988485976059</c:v>
                </c:pt>
                <c:pt idx="44">
                  <c:v>315.92884279677901</c:v>
                </c:pt>
                <c:pt idx="45">
                  <c:v>120.1190076327392</c:v>
                </c:pt>
                <c:pt idx="46">
                  <c:v>134.0399027878758</c:v>
                </c:pt>
                <c:pt idx="47">
                  <c:v>303.26978481668573</c:v>
                </c:pt>
                <c:pt idx="48">
                  <c:v>120.8992864784306</c:v>
                </c:pt>
                <c:pt idx="49">
                  <c:v>103.112625406295</c:v>
                </c:pt>
                <c:pt idx="50">
                  <c:v>89.098468921641697</c:v>
                </c:pt>
                <c:pt idx="51">
                  <c:v>71.125099705594195</c:v>
                </c:pt>
                <c:pt idx="52">
                  <c:v>48.358083796456327</c:v>
                </c:pt>
                <c:pt idx="53">
                  <c:v>71.862090372222397</c:v>
                </c:pt>
                <c:pt idx="54">
                  <c:v>50.345966617092351</c:v>
                </c:pt>
                <c:pt idx="55">
                  <c:v>72.957992347987414</c:v>
                </c:pt>
                <c:pt idx="56">
                  <c:v>64.394484672464898</c:v>
                </c:pt>
                <c:pt idx="57">
                  <c:v>47.660255094286853</c:v>
                </c:pt>
                <c:pt idx="58">
                  <c:v>84.639978605265995</c:v>
                </c:pt>
                <c:pt idx="59">
                  <c:v>59.061746333079718</c:v>
                </c:pt>
                <c:pt idx="60">
                  <c:v>76.427202535219209</c:v>
                </c:pt>
                <c:pt idx="61">
                  <c:v>51.434379196547752</c:v>
                </c:pt>
                <c:pt idx="62">
                  <c:v>50.751163813053438</c:v>
                </c:pt>
                <c:pt idx="63">
                  <c:v>47.053967904827999</c:v>
                </c:pt>
                <c:pt idx="64">
                  <c:v>34.295794113692892</c:v>
                </c:pt>
                <c:pt idx="65">
                  <c:v>46.379384034583367</c:v>
                </c:pt>
                <c:pt idx="66">
                  <c:v>38.812821969471173</c:v>
                </c:pt>
                <c:pt idx="67">
                  <c:v>47.151863118292532</c:v>
                </c:pt>
                <c:pt idx="68">
                  <c:v>43.355946350842189</c:v>
                </c:pt>
                <c:pt idx="69">
                  <c:v>59.534937630286556</c:v>
                </c:pt>
                <c:pt idx="70">
                  <c:v>89.611277477917284</c:v>
                </c:pt>
                <c:pt idx="71">
                  <c:v>100.7961313991171</c:v>
                </c:pt>
                <c:pt idx="72">
                  <c:v>115.0822593270056</c:v>
                </c:pt>
                <c:pt idx="73">
                  <c:v>106.92318207316821</c:v>
                </c:pt>
                <c:pt idx="74">
                  <c:v>50.018062961268747</c:v>
                </c:pt>
                <c:pt idx="75">
                  <c:v>41.82584156307518</c:v>
                </c:pt>
                <c:pt idx="76">
                  <c:v>34.320660344591218</c:v>
                </c:pt>
                <c:pt idx="77">
                  <c:v>24.31568572006325</c:v>
                </c:pt>
                <c:pt idx="78">
                  <c:v>59.766943882147693</c:v>
                </c:pt>
                <c:pt idx="79">
                  <c:v>43.064604783544858</c:v>
                </c:pt>
                <c:pt idx="80">
                  <c:v>52.949405153808357</c:v>
                </c:pt>
                <c:pt idx="81">
                  <c:v>78.645730322406678</c:v>
                </c:pt>
                <c:pt idx="82">
                  <c:v>92.690454871532665</c:v>
                </c:pt>
                <c:pt idx="83">
                  <c:v>79.631228022083661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C2F-0044-A5FD-F8A495D06F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Capture Price Ratio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Inputs'!$J$1</c:f>
              <c:strCache>
                <c:ptCount val="1"/>
                <c:pt idx="0">
                  <c:v>DK1 CPR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Inputs'!$J$2:$J$85</c:f>
              <c:numCache>
                <c:formatCode>General</c:formatCode>
                <c:ptCount val="84"/>
                <c:pt idx="12">
                  <c:v>1.0091486594474419</c:v>
                </c:pt>
                <c:pt idx="13">
                  <c:v>1.2985911686950511</c:v>
                </c:pt>
                <c:pt idx="14">
                  <c:v>0.8710146939215303</c:v>
                </c:pt>
                <c:pt idx="15">
                  <c:v>0.71315772558819213</c:v>
                </c:pt>
                <c:pt idx="16">
                  <c:v>0.96415576931205649</c:v>
                </c:pt>
                <c:pt idx="17">
                  <c:v>1.0394664137310941</c:v>
                </c:pt>
                <c:pt idx="18">
                  <c:v>1.0086181556608309</c:v>
                </c:pt>
                <c:pt idx="19">
                  <c:v>0.98082264407500741</c:v>
                </c:pt>
                <c:pt idx="20">
                  <c:v>1.0104044869130051</c:v>
                </c:pt>
                <c:pt idx="21">
                  <c:v>1.236802226812374</c:v>
                </c:pt>
                <c:pt idx="22">
                  <c:v>1.094777917215692</c:v>
                </c:pt>
                <c:pt idx="23">
                  <c:v>1.0082301641826621</c:v>
                </c:pt>
                <c:pt idx="24">
                  <c:v>1.103930861568265</c:v>
                </c:pt>
                <c:pt idx="25">
                  <c:v>1.0059479277054251</c:v>
                </c:pt>
                <c:pt idx="26">
                  <c:v>0.9871758725122356</c:v>
                </c:pt>
                <c:pt idx="27">
                  <c:v>0.90884647456650169</c:v>
                </c:pt>
                <c:pt idx="28">
                  <c:v>0.87751805187154364</c:v>
                </c:pt>
                <c:pt idx="29">
                  <c:v>0.95691427953473174</c:v>
                </c:pt>
                <c:pt idx="30">
                  <c:v>0.98211323715969778</c:v>
                </c:pt>
                <c:pt idx="31">
                  <c:v>0.99027147802450566</c:v>
                </c:pt>
                <c:pt idx="32">
                  <c:v>0.92690440483613579</c:v>
                </c:pt>
                <c:pt idx="33">
                  <c:v>1.0810885074134391</c:v>
                </c:pt>
                <c:pt idx="34">
                  <c:v>1.1338034085044659</c:v>
                </c:pt>
                <c:pt idx="35">
                  <c:v>1.2086769624549281</c:v>
                </c:pt>
                <c:pt idx="36">
                  <c:v>1.0441257304277269</c:v>
                </c:pt>
                <c:pt idx="37">
                  <c:v>1.04022281700981</c:v>
                </c:pt>
                <c:pt idx="38">
                  <c:v>0.81207759044207406</c:v>
                </c:pt>
                <c:pt idx="39">
                  <c:v>0.89039133384678326</c:v>
                </c:pt>
                <c:pt idx="40">
                  <c:v>0.86943016050498578</c:v>
                </c:pt>
                <c:pt idx="41">
                  <c:v>0.90803902012341908</c:v>
                </c:pt>
                <c:pt idx="42">
                  <c:v>0.87041791592949547</c:v>
                </c:pt>
                <c:pt idx="43">
                  <c:v>0.91908553046700026</c:v>
                </c:pt>
                <c:pt idx="44">
                  <c:v>0.90632901805683119</c:v>
                </c:pt>
                <c:pt idx="45">
                  <c:v>0.91612325253961768</c:v>
                </c:pt>
                <c:pt idx="46">
                  <c:v>0.94278612074660006</c:v>
                </c:pt>
                <c:pt idx="47">
                  <c:v>1.132810339248927</c:v>
                </c:pt>
                <c:pt idx="48">
                  <c:v>1.2309198691226539</c:v>
                </c:pt>
                <c:pt idx="49">
                  <c:v>0.93008781340266</c:v>
                </c:pt>
                <c:pt idx="50">
                  <c:v>0.94612539759598957</c:v>
                </c:pt>
                <c:pt idx="51">
                  <c:v>0.79203966120386338</c:v>
                </c:pt>
                <c:pt idx="52">
                  <c:v>0.68333610561519953</c:v>
                </c:pt>
                <c:pt idx="53">
                  <c:v>0.80965062086215667</c:v>
                </c:pt>
                <c:pt idx="54">
                  <c:v>0.80380421953260928</c:v>
                </c:pt>
                <c:pt idx="55">
                  <c:v>0.86289309777204071</c:v>
                </c:pt>
                <c:pt idx="56">
                  <c:v>0.8038389922187259</c:v>
                </c:pt>
                <c:pt idx="57">
                  <c:v>0.84083605560542263</c:v>
                </c:pt>
                <c:pt idx="58">
                  <c:v>1.028656893611996</c:v>
                </c:pt>
                <c:pt idx="59">
                  <c:v>0.91325607762876626</c:v>
                </c:pt>
                <c:pt idx="60">
                  <c:v>1.051614630458469</c:v>
                </c:pt>
                <c:pt idx="61">
                  <c:v>1.0144208291794441</c:v>
                </c:pt>
                <c:pt idx="62">
                  <c:v>0.8373818542217274</c:v>
                </c:pt>
                <c:pt idx="63">
                  <c:v>0.83468460161643787</c:v>
                </c:pt>
                <c:pt idx="64">
                  <c:v>0.61339845366508694</c:v>
                </c:pt>
                <c:pt idx="65">
                  <c:v>0.73781003223868646</c:v>
                </c:pt>
                <c:pt idx="66">
                  <c:v>0.68549949487061801</c:v>
                </c:pt>
                <c:pt idx="67">
                  <c:v>0.71512676219349525</c:v>
                </c:pt>
                <c:pt idx="68">
                  <c:v>0.63652522303957304</c:v>
                </c:pt>
                <c:pt idx="69">
                  <c:v>0.76175188075929667</c:v>
                </c:pt>
                <c:pt idx="70">
                  <c:v>1.0174940038611719</c:v>
                </c:pt>
                <c:pt idx="71">
                  <c:v>1.0025674160411211</c:v>
                </c:pt>
                <c:pt idx="72">
                  <c:v>1.135032584901597</c:v>
                </c:pt>
                <c:pt idx="73">
                  <c:v>0.93411665141872979</c:v>
                </c:pt>
                <c:pt idx="74">
                  <c:v>0.68579081688022481</c:v>
                </c:pt>
                <c:pt idx="75">
                  <c:v>0.60995353561832499</c:v>
                </c:pt>
                <c:pt idx="76">
                  <c:v>0.62375117423189408</c:v>
                </c:pt>
                <c:pt idx="77">
                  <c:v>0.56976432128633303</c:v>
                </c:pt>
                <c:pt idx="78">
                  <c:v>0.74058967108380014</c:v>
                </c:pt>
                <c:pt idx="79">
                  <c:v>0.64997112344594554</c:v>
                </c:pt>
                <c:pt idx="80">
                  <c:v>0.68273474898658593</c:v>
                </c:pt>
                <c:pt idx="81">
                  <c:v>0.94701517193480578</c:v>
                </c:pt>
                <c:pt idx="82">
                  <c:v>1.0289764309560969</c:v>
                </c:pt>
                <c:pt idx="83">
                  <c:v>0.98205388617926037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019-7149-A67A-7E0D926FFFAD}"/>
            </c:ext>
          </c:extLst>
        </c:ser>
        <c:ser>
          <c:idx val="1"/>
          <c:order val="1"/>
          <c:tx>
            <c:strRef>
              <c:f>'Capture Price Inputs'!$K$1</c:f>
              <c:strCache>
                <c:ptCount val="1"/>
                <c:pt idx="0">
                  <c:v>DK2 CPR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'Capture Price Inputs'!$K$2:$K$85</c:f>
              <c:numCache>
                <c:formatCode>General</c:formatCode>
                <c:ptCount val="84"/>
                <c:pt idx="12">
                  <c:v>1.090446324793763</c:v>
                </c:pt>
                <c:pt idx="13">
                  <c:v>1.251821301318464</c:v>
                </c:pt>
                <c:pt idx="14">
                  <c:v>0.85520775851277109</c:v>
                </c:pt>
                <c:pt idx="15">
                  <c:v>0.76362023547871605</c:v>
                </c:pt>
                <c:pt idx="16">
                  <c:v>0.97636938233545278</c:v>
                </c:pt>
                <c:pt idx="17">
                  <c:v>1.180647007173951</c:v>
                </c:pt>
                <c:pt idx="18">
                  <c:v>1.021791049952987</c:v>
                </c:pt>
                <c:pt idx="19">
                  <c:v>1.077948442472481</c:v>
                </c:pt>
                <c:pt idx="20">
                  <c:v>1.0591890923358069</c:v>
                </c:pt>
                <c:pt idx="21">
                  <c:v>1.247549053102559</c:v>
                </c:pt>
                <c:pt idx="22">
                  <c:v>1.057080411727209</c:v>
                </c:pt>
                <c:pt idx="23">
                  <c:v>1.125691191699302</c:v>
                </c:pt>
                <c:pt idx="24">
                  <c:v>1.122164979814525</c:v>
                </c:pt>
                <c:pt idx="25">
                  <c:v>0.9585139857498034</c:v>
                </c:pt>
                <c:pt idx="26">
                  <c:v>1.0147741726503949</c:v>
                </c:pt>
                <c:pt idx="27">
                  <c:v>0.95901643664766134</c:v>
                </c:pt>
                <c:pt idx="28">
                  <c:v>0.91033887361171206</c:v>
                </c:pt>
                <c:pt idx="29">
                  <c:v>0.94404491874816343</c:v>
                </c:pt>
                <c:pt idx="30">
                  <c:v>0.95692856904650769</c:v>
                </c:pt>
                <c:pt idx="31">
                  <c:v>1.001768528067071</c:v>
                </c:pt>
                <c:pt idx="32">
                  <c:v>0.95838336990944806</c:v>
                </c:pt>
                <c:pt idx="33">
                  <c:v>1.1445012658471321</c:v>
                </c:pt>
                <c:pt idx="34">
                  <c:v>1.1264608571418011</c:v>
                </c:pt>
                <c:pt idx="35">
                  <c:v>1.279578427053047</c:v>
                </c:pt>
                <c:pt idx="36">
                  <c:v>1.1617546523412821</c:v>
                </c:pt>
                <c:pt idx="37">
                  <c:v>1.084871924613185</c:v>
                </c:pt>
                <c:pt idx="38">
                  <c:v>0.81629582758371144</c:v>
                </c:pt>
                <c:pt idx="39">
                  <c:v>0.93918048773921026</c:v>
                </c:pt>
                <c:pt idx="40">
                  <c:v>0.89914563143311954</c:v>
                </c:pt>
                <c:pt idx="41">
                  <c:v>0.90151367457475784</c:v>
                </c:pt>
                <c:pt idx="42">
                  <c:v>0.90956244496775596</c:v>
                </c:pt>
                <c:pt idx="43">
                  <c:v>0.8830756108422062</c:v>
                </c:pt>
                <c:pt idx="44">
                  <c:v>0.96085369829588263</c:v>
                </c:pt>
                <c:pt idx="45">
                  <c:v>0.87743541957368609</c:v>
                </c:pt>
                <c:pt idx="46">
                  <c:v>0.92404474391789948</c:v>
                </c:pt>
                <c:pt idx="47">
                  <c:v>1.2185280560697289</c:v>
                </c:pt>
                <c:pt idx="48">
                  <c:v>1.2118663236304299</c:v>
                </c:pt>
                <c:pt idx="49">
                  <c:v>1.0244781228159621</c:v>
                </c:pt>
                <c:pt idx="50">
                  <c:v>0.99223631219701203</c:v>
                </c:pt>
                <c:pt idx="51">
                  <c:v>0.85025873478203906</c:v>
                </c:pt>
                <c:pt idx="52">
                  <c:v>0.73101748270540212</c:v>
                </c:pt>
                <c:pt idx="53">
                  <c:v>0.78603819917365525</c:v>
                </c:pt>
                <c:pt idx="54">
                  <c:v>0.77170348712471282</c:v>
                </c:pt>
                <c:pt idx="55">
                  <c:v>0.84546104105698361</c:v>
                </c:pt>
                <c:pt idx="56">
                  <c:v>0.75329173308453345</c:v>
                </c:pt>
                <c:pt idx="57">
                  <c:v>0.83723449033464103</c:v>
                </c:pt>
                <c:pt idx="58">
                  <c:v>1.038705241708771</c:v>
                </c:pt>
                <c:pt idx="59">
                  <c:v>0.83326707575628478</c:v>
                </c:pt>
                <c:pt idx="60">
                  <c:v>0.97714487510792902</c:v>
                </c:pt>
                <c:pt idx="61">
                  <c:v>0.93991726033346112</c:v>
                </c:pt>
                <c:pt idx="62">
                  <c:v>0.8314293202728863</c:v>
                </c:pt>
                <c:pt idx="63">
                  <c:v>0.77805107456374178</c:v>
                </c:pt>
                <c:pt idx="64">
                  <c:v>0.59005563427075769</c:v>
                </c:pt>
                <c:pt idx="65">
                  <c:v>0.69439585691141426</c:v>
                </c:pt>
                <c:pt idx="66">
                  <c:v>0.61762838453946423</c:v>
                </c:pt>
                <c:pt idx="67">
                  <c:v>0.64934714792296455</c:v>
                </c:pt>
                <c:pt idx="68">
                  <c:v>0.61574801135475132</c:v>
                </c:pt>
                <c:pt idx="69">
                  <c:v>0.78000735067931948</c:v>
                </c:pt>
                <c:pt idx="70">
                  <c:v>0.94047799551015088</c:v>
                </c:pt>
                <c:pt idx="71">
                  <c:v>1.0870067185479459</c:v>
                </c:pt>
                <c:pt idx="72">
                  <c:v>1.1494003648079021</c:v>
                </c:pt>
                <c:pt idx="73">
                  <c:v>0.90662384271333907</c:v>
                </c:pt>
                <c:pt idx="74">
                  <c:v>0.60374116471580297</c:v>
                </c:pt>
                <c:pt idx="75">
                  <c:v>0.55174367988103734</c:v>
                </c:pt>
                <c:pt idx="76">
                  <c:v>0.54405946330729504</c:v>
                </c:pt>
                <c:pt idx="77">
                  <c:v>0.4307606652121766</c:v>
                </c:pt>
                <c:pt idx="78">
                  <c:v>0.74746341861966192</c:v>
                </c:pt>
                <c:pt idx="79">
                  <c:v>0.57178942343359873</c:v>
                </c:pt>
                <c:pt idx="80">
                  <c:v>0.63573160083367797</c:v>
                </c:pt>
                <c:pt idx="81">
                  <c:v>0.95480840081563045</c:v>
                </c:pt>
                <c:pt idx="82">
                  <c:v>0.98927251294969987</c:v>
                </c:pt>
                <c:pt idx="83">
                  <c:v>0.97014796253594149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019-7149-A67A-7E0D926FFF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CPR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Solar Penetration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Inputs'!$F$1</c:f>
              <c:strCache>
                <c:ptCount val="1"/>
                <c:pt idx="0">
                  <c:v>DK1 Solar Penetration (%) — Primary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'Capture Price Inputs'!$F$2:$F$85</c:f>
              <c:numCache>
                <c:formatCode>General</c:formatCode>
                <c:ptCount val="84"/>
                <c:pt idx="12">
                  <c:v>2.2644478926294831E-3</c:v>
                </c:pt>
                <c:pt idx="13">
                  <c:v>5.2474520244822449E-3</c:v>
                </c:pt>
                <c:pt idx="14">
                  <c:v>2.020167759412729E-2</c:v>
                </c:pt>
                <c:pt idx="15">
                  <c:v>3.2427989612304697E-2</c:v>
                </c:pt>
                <c:pt idx="16">
                  <c:v>3.6080087237903569E-2</c:v>
                </c:pt>
                <c:pt idx="17">
                  <c:v>3.7413618831640891E-2</c:v>
                </c:pt>
                <c:pt idx="18">
                  <c:v>3.3998433859503921E-2</c:v>
                </c:pt>
                <c:pt idx="19">
                  <c:v>3.4224763142537661E-2</c:v>
                </c:pt>
                <c:pt idx="20">
                  <c:v>2.4330151939157239E-2</c:v>
                </c:pt>
                <c:pt idx="21">
                  <c:v>1.1490387549446779E-2</c:v>
                </c:pt>
                <c:pt idx="22">
                  <c:v>1.521101274151999E-4</c:v>
                </c:pt>
                <c:pt idx="23">
                  <c:v>1.472410662127807E-5</c:v>
                </c:pt>
                <c:pt idx="24">
                  <c:v>3.6313559990350909E-3</c:v>
                </c:pt>
                <c:pt idx="25">
                  <c:v>1.0868941718057299E-2</c:v>
                </c:pt>
                <c:pt idx="26">
                  <c:v>2.2382303907371628E-2</c:v>
                </c:pt>
                <c:pt idx="27">
                  <c:v>4.212837115783985E-2</c:v>
                </c:pt>
                <c:pt idx="28">
                  <c:v>3.3075052211960353E-2</c:v>
                </c:pt>
                <c:pt idx="29">
                  <c:v>4.9841661821819518E-2</c:v>
                </c:pt>
                <c:pt idx="30">
                  <c:v>4.85715434854639E-2</c:v>
                </c:pt>
                <c:pt idx="31">
                  <c:v>3.8876947944708702E-2</c:v>
                </c:pt>
                <c:pt idx="32">
                  <c:v>2.5932850179436289E-2</c:v>
                </c:pt>
                <c:pt idx="33">
                  <c:v>1.7460096431489061E-2</c:v>
                </c:pt>
                <c:pt idx="34">
                  <c:v>7.0293060058135041E-3</c:v>
                </c:pt>
                <c:pt idx="35">
                  <c:v>3.243365391886713E-3</c:v>
                </c:pt>
                <c:pt idx="36">
                  <c:v>6.6753155472480874E-3</c:v>
                </c:pt>
                <c:pt idx="37">
                  <c:v>1.7399571233002901E-2</c:v>
                </c:pt>
                <c:pt idx="38">
                  <c:v>6.1955070586442867E-2</c:v>
                </c:pt>
                <c:pt idx="39">
                  <c:v>8.404056603836467E-2</c:v>
                </c:pt>
                <c:pt idx="40">
                  <c:v>9.6876891420316108E-2</c:v>
                </c:pt>
                <c:pt idx="41">
                  <c:v>9.4962020744311482E-2</c:v>
                </c:pt>
                <c:pt idx="42">
                  <c:v>9.963556652585577E-2</c:v>
                </c:pt>
                <c:pt idx="43">
                  <c:v>8.9626978325266782E-2</c:v>
                </c:pt>
                <c:pt idx="44">
                  <c:v>6.6046498591704736E-2</c:v>
                </c:pt>
                <c:pt idx="45">
                  <c:v>3.7469414477654707E-2</c:v>
                </c:pt>
                <c:pt idx="46">
                  <c:v>1.046932675470221E-2</c:v>
                </c:pt>
                <c:pt idx="47">
                  <c:v>6.2291646451968653E-3</c:v>
                </c:pt>
                <c:pt idx="48">
                  <c:v>1.2460694276862919E-2</c:v>
                </c:pt>
                <c:pt idx="49">
                  <c:v>3.4376404191763639E-2</c:v>
                </c:pt>
                <c:pt idx="50">
                  <c:v>5.6477968577058592E-2</c:v>
                </c:pt>
                <c:pt idx="51">
                  <c:v>0.1509467292684683</c:v>
                </c:pt>
                <c:pt idx="52">
                  <c:v>0.18600333743842001</c:v>
                </c:pt>
                <c:pt idx="53">
                  <c:v>0.21892573712946101</c:v>
                </c:pt>
                <c:pt idx="54">
                  <c:v>0.18929524056345021</c:v>
                </c:pt>
                <c:pt idx="55">
                  <c:v>0.1493297980639493</c:v>
                </c:pt>
                <c:pt idx="56">
                  <c:v>0.13191654386548721</c:v>
                </c:pt>
                <c:pt idx="57">
                  <c:v>4.2864886456730103E-2</c:v>
                </c:pt>
                <c:pt idx="58">
                  <c:v>1.6003493537152379E-2</c:v>
                </c:pt>
                <c:pt idx="59">
                  <c:v>6.3905046726965339E-3</c:v>
                </c:pt>
                <c:pt idx="60">
                  <c:v>1.3417186050607519E-2</c:v>
                </c:pt>
                <c:pt idx="61">
                  <c:v>2.6436223837926501E-2</c:v>
                </c:pt>
                <c:pt idx="62">
                  <c:v>6.6233973400350477E-2</c:v>
                </c:pt>
                <c:pt idx="63">
                  <c:v>0.1084169878649764</c:v>
                </c:pt>
                <c:pt idx="64">
                  <c:v>0.18887031649880051</c:v>
                </c:pt>
                <c:pt idx="65">
                  <c:v>0.1715230569234828</c:v>
                </c:pt>
                <c:pt idx="66">
                  <c:v>0.1809062055635286</c:v>
                </c:pt>
                <c:pt idx="67">
                  <c:v>0.15512153111725799</c:v>
                </c:pt>
                <c:pt idx="68">
                  <c:v>0.1275567235314205</c:v>
                </c:pt>
                <c:pt idx="69">
                  <c:v>6.2873767847415107E-2</c:v>
                </c:pt>
                <c:pt idx="70">
                  <c:v>1.780902737610289E-2</c:v>
                </c:pt>
                <c:pt idx="71">
                  <c:v>6.7857975683456679E-3</c:v>
                </c:pt>
                <c:pt idx="72">
                  <c:v>1.366055484422285E-2</c:v>
                </c:pt>
                <c:pt idx="73">
                  <c:v>4.3419934817177687E-2</c:v>
                </c:pt>
                <c:pt idx="74">
                  <c:v>0.1120694547038418</c:v>
                </c:pt>
                <c:pt idx="75">
                  <c:v>0.14827548756052711</c:v>
                </c:pt>
                <c:pt idx="76">
                  <c:v>0.19244468175967161</c:v>
                </c:pt>
                <c:pt idx="77">
                  <c:v>0.18784829238523279</c:v>
                </c:pt>
                <c:pt idx="78">
                  <c:v>0.21828188848241209</c:v>
                </c:pt>
                <c:pt idx="79">
                  <c:v>0.19011684012808119</c:v>
                </c:pt>
                <c:pt idx="80">
                  <c:v>0.13816152724517919</c:v>
                </c:pt>
                <c:pt idx="81">
                  <c:v>6.9462071202051626E-2</c:v>
                </c:pt>
                <c:pt idx="82">
                  <c:v>2.6604970402147529E-2</c:v>
                </c:pt>
                <c:pt idx="83">
                  <c:v>1.40253486520015E-2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CC-5242-BCB3-202BC3A615B5}"/>
            </c:ext>
          </c:extLst>
        </c:ser>
        <c:ser>
          <c:idx val="1"/>
          <c:order val="1"/>
          <c:tx>
            <c:strRef>
              <c:f>'Capture Price Inputs'!$G$1</c:f>
              <c:strCache>
                <c:ptCount val="1"/>
                <c:pt idx="0">
                  <c:v>DK2 Solar Penetration (%) — Robustness</c:v>
                </c:pt>
              </c:strCache>
            </c:strRef>
          </c:tx>
          <c:spPr>
            <a:ln>
              <a:solidFill>
                <a:srgbClr val="FFD700"/>
              </a:solidFill>
              <a:prstDash val="solid"/>
            </a:ln>
          </c:spPr>
          <c:marker>
            <c:symbol val="none"/>
          </c:marker>
          <c:val>
            <c:numRef>
              <c:f>'Capture Price Inputs'!$G$2:$G$85</c:f>
              <c:numCache>
                <c:formatCode>General</c:formatCode>
                <c:ptCount val="84"/>
                <c:pt idx="12">
                  <c:v>1.864323044087839E-3</c:v>
                </c:pt>
                <c:pt idx="13">
                  <c:v>4.9613393448072352E-3</c:v>
                </c:pt>
                <c:pt idx="14">
                  <c:v>1.532033335337761E-2</c:v>
                </c:pt>
                <c:pt idx="15">
                  <c:v>2.6180595134545931E-2</c:v>
                </c:pt>
                <c:pt idx="16">
                  <c:v>3.2240930774166239E-2</c:v>
                </c:pt>
                <c:pt idx="17">
                  <c:v>3.0651812088155841E-2</c:v>
                </c:pt>
                <c:pt idx="18">
                  <c:v>2.998206800974695E-2</c:v>
                </c:pt>
                <c:pt idx="19">
                  <c:v>2.8034713414307081E-2</c:v>
                </c:pt>
                <c:pt idx="20">
                  <c:v>2.1736479101595249E-2</c:v>
                </c:pt>
                <c:pt idx="21">
                  <c:v>1.107911770574695E-2</c:v>
                </c:pt>
                <c:pt idx="22">
                  <c:v>1.1044611578332841E-4</c:v>
                </c:pt>
                <c:pt idx="23">
                  <c:v>5.6352433584062588E-6</c:v>
                </c:pt>
                <c:pt idx="24">
                  <c:v>3.104474131982996E-3</c:v>
                </c:pt>
                <c:pt idx="25">
                  <c:v>9.2483369487723587E-3</c:v>
                </c:pt>
                <c:pt idx="26">
                  <c:v>1.8474517045212829E-2</c:v>
                </c:pt>
                <c:pt idx="27">
                  <c:v>3.2694407483312787E-2</c:v>
                </c:pt>
                <c:pt idx="28">
                  <c:v>3.2945829294540187E-2</c:v>
                </c:pt>
                <c:pt idx="29">
                  <c:v>4.4480133140056069E-2</c:v>
                </c:pt>
                <c:pt idx="30">
                  <c:v>3.7049542537302173E-2</c:v>
                </c:pt>
                <c:pt idx="31">
                  <c:v>3.1857768834261987E-2</c:v>
                </c:pt>
                <c:pt idx="32">
                  <c:v>2.23981137027396E-2</c:v>
                </c:pt>
                <c:pt idx="33">
                  <c:v>1.267326343754744E-2</c:v>
                </c:pt>
                <c:pt idx="34">
                  <c:v>4.0132810857910267E-3</c:v>
                </c:pt>
                <c:pt idx="35">
                  <c:v>1.8226295838260991E-3</c:v>
                </c:pt>
                <c:pt idx="36">
                  <c:v>4.939556742877535E-3</c:v>
                </c:pt>
                <c:pt idx="37">
                  <c:v>1.3248485586698279E-2</c:v>
                </c:pt>
                <c:pt idx="38">
                  <c:v>3.4089330349121053E-2</c:v>
                </c:pt>
                <c:pt idx="39">
                  <c:v>5.5254436099578648E-2</c:v>
                </c:pt>
                <c:pt idx="40">
                  <c:v>6.5811459960859395E-2</c:v>
                </c:pt>
                <c:pt idx="41">
                  <c:v>6.4528229045867816E-2</c:v>
                </c:pt>
                <c:pt idx="42">
                  <c:v>6.7025803801952916E-2</c:v>
                </c:pt>
                <c:pt idx="43">
                  <c:v>6.1299924397195817E-2</c:v>
                </c:pt>
                <c:pt idx="44">
                  <c:v>4.5784276103507021E-2</c:v>
                </c:pt>
                <c:pt idx="45">
                  <c:v>2.9809058027035401E-2</c:v>
                </c:pt>
                <c:pt idx="46">
                  <c:v>7.8652952619005494E-3</c:v>
                </c:pt>
                <c:pt idx="47">
                  <c:v>4.5323555529735481E-3</c:v>
                </c:pt>
                <c:pt idx="48">
                  <c:v>5.8626527231366082E-3</c:v>
                </c:pt>
                <c:pt idx="49">
                  <c:v>1.8877648418373551E-2</c:v>
                </c:pt>
                <c:pt idx="50">
                  <c:v>3.7096229392005707E-2</c:v>
                </c:pt>
                <c:pt idx="51">
                  <c:v>8.0269966033824955E-2</c:v>
                </c:pt>
                <c:pt idx="52">
                  <c:v>0.1080032082802261</c:v>
                </c:pt>
                <c:pt idx="53">
                  <c:v>0.1144244665352921</c:v>
                </c:pt>
                <c:pt idx="54">
                  <c:v>0.10203074507159759</c:v>
                </c:pt>
                <c:pt idx="55">
                  <c:v>7.7931010532967707E-2</c:v>
                </c:pt>
                <c:pt idx="56">
                  <c:v>8.0909954639318743E-2</c:v>
                </c:pt>
                <c:pt idx="57">
                  <c:v>2.9172340215594381E-2</c:v>
                </c:pt>
                <c:pt idx="58">
                  <c:v>1.04098691216888E-2</c:v>
                </c:pt>
                <c:pt idx="59">
                  <c:v>3.809030164374855E-3</c:v>
                </c:pt>
                <c:pt idx="60">
                  <c:v>6.1781830729755079E-3</c:v>
                </c:pt>
                <c:pt idx="61">
                  <c:v>1.667231366864759E-2</c:v>
                </c:pt>
                <c:pt idx="62">
                  <c:v>4.1112806367337662E-2</c:v>
                </c:pt>
                <c:pt idx="63">
                  <c:v>6.5123378744806448E-2</c:v>
                </c:pt>
                <c:pt idx="64">
                  <c:v>0.106315341440858</c:v>
                </c:pt>
                <c:pt idx="65">
                  <c:v>0.1072729076610999</c:v>
                </c:pt>
                <c:pt idx="66">
                  <c:v>0.1057942634887733</c:v>
                </c:pt>
                <c:pt idx="67">
                  <c:v>9.3690832268705199E-2</c:v>
                </c:pt>
                <c:pt idx="68">
                  <c:v>7.2463202820400169E-2</c:v>
                </c:pt>
                <c:pt idx="69">
                  <c:v>3.6145253892379881E-2</c:v>
                </c:pt>
                <c:pt idx="70">
                  <c:v>8.6028414054236078E-3</c:v>
                </c:pt>
                <c:pt idx="71">
                  <c:v>4.1714684657767577E-3</c:v>
                </c:pt>
                <c:pt idx="72">
                  <c:v>7.223240212576967E-3</c:v>
                </c:pt>
                <c:pt idx="73">
                  <c:v>2.010831138567791E-2</c:v>
                </c:pt>
                <c:pt idx="74">
                  <c:v>4.6547866447452589E-2</c:v>
                </c:pt>
                <c:pt idx="75">
                  <c:v>7.1689783649061992E-2</c:v>
                </c:pt>
                <c:pt idx="76">
                  <c:v>9.4714127256233946E-2</c:v>
                </c:pt>
                <c:pt idx="77">
                  <c:v>9.9826250015510765E-2</c:v>
                </c:pt>
                <c:pt idx="78">
                  <c:v>9.3996419418699143E-2</c:v>
                </c:pt>
                <c:pt idx="79">
                  <c:v>0.1057378118957395</c:v>
                </c:pt>
                <c:pt idx="80">
                  <c:v>9.0628879686523764E-2</c:v>
                </c:pt>
                <c:pt idx="81">
                  <c:v>3.9573125678626628E-2</c:v>
                </c:pt>
                <c:pt idx="82">
                  <c:v>1.454364344794783E-2</c:v>
                </c:pt>
                <c:pt idx="83">
                  <c:v>9.0694911608833299E-3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CC-5242-BCB3-202BC3A61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Solar Penetration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Capture Price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Inputs'!$H$1</c:f>
              <c:strCache>
                <c:ptCount val="1"/>
                <c:pt idx="0">
                  <c:v>DK1 Capture Price (EUR/MWh)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Inputs'!$H$2:$H$85</c:f>
              <c:numCache>
                <c:formatCode>General</c:formatCode>
                <c:ptCount val="84"/>
                <c:pt idx="12">
                  <c:v>25.22320957280251</c:v>
                </c:pt>
                <c:pt idx="13">
                  <c:v>22.83581899109792</c:v>
                </c:pt>
                <c:pt idx="14">
                  <c:v>15.94107348554973</c:v>
                </c:pt>
                <c:pt idx="15">
                  <c:v>10.36487590420421</c:v>
                </c:pt>
                <c:pt idx="16">
                  <c:v>15.478548945086001</c:v>
                </c:pt>
                <c:pt idx="17">
                  <c:v>27.313308227868689</c:v>
                </c:pt>
                <c:pt idx="18">
                  <c:v>24.831745178109159</c:v>
                </c:pt>
                <c:pt idx="19">
                  <c:v>33.876915422047851</c:v>
                </c:pt>
                <c:pt idx="20">
                  <c:v>38.935979003379593</c:v>
                </c:pt>
                <c:pt idx="21">
                  <c:v>31.927741533059191</c:v>
                </c:pt>
                <c:pt idx="22">
                  <c:v>26.005993265993261</c:v>
                </c:pt>
                <c:pt idx="23">
                  <c:v>34.795161290322582</c:v>
                </c:pt>
                <c:pt idx="24">
                  <c:v>55.422967607277918</c:v>
                </c:pt>
                <c:pt idx="25">
                  <c:v>47.542610979142587</c:v>
                </c:pt>
                <c:pt idx="26">
                  <c:v>44.550700915805493</c:v>
                </c:pt>
                <c:pt idx="27">
                  <c:v>43.594739828473003</c:v>
                </c:pt>
                <c:pt idx="28">
                  <c:v>47.655870575001217</c:v>
                </c:pt>
                <c:pt idx="29">
                  <c:v>70.543547911111062</c:v>
                </c:pt>
                <c:pt idx="30">
                  <c:v>78.568319747758608</c:v>
                </c:pt>
                <c:pt idx="31">
                  <c:v>81.983351136401794</c:v>
                </c:pt>
                <c:pt idx="32">
                  <c:v>116.20022495544841</c:v>
                </c:pt>
                <c:pt idx="33">
                  <c:v>126.53039520323949</c:v>
                </c:pt>
                <c:pt idx="34">
                  <c:v>160.77058330102949</c:v>
                </c:pt>
                <c:pt idx="35">
                  <c:v>228.8621705579358</c:v>
                </c:pt>
                <c:pt idx="36">
                  <c:v>123.20125067917191</c:v>
                </c:pt>
                <c:pt idx="37">
                  <c:v>117.67077903546</c:v>
                </c:pt>
                <c:pt idx="38">
                  <c:v>191.50807173506701</c:v>
                </c:pt>
                <c:pt idx="39">
                  <c:v>145.70138715926041</c:v>
                </c:pt>
                <c:pt idx="40">
                  <c:v>149.4185612445558</c:v>
                </c:pt>
                <c:pt idx="41">
                  <c:v>194.71103409481981</c:v>
                </c:pt>
                <c:pt idx="42">
                  <c:v>239.3981525107354</c:v>
                </c:pt>
                <c:pt idx="43">
                  <c:v>419.79263722660602</c:v>
                </c:pt>
                <c:pt idx="44">
                  <c:v>310.70739927266709</c:v>
                </c:pt>
                <c:pt idx="45">
                  <c:v>125.6295598680838</c:v>
                </c:pt>
                <c:pt idx="46">
                  <c:v>131.7111886265582</c:v>
                </c:pt>
                <c:pt idx="47">
                  <c:v>282.82379374207261</c:v>
                </c:pt>
                <c:pt idx="48">
                  <c:v>138.52998868426329</c:v>
                </c:pt>
                <c:pt idx="49">
                  <c:v>109.87697572135031</c:v>
                </c:pt>
                <c:pt idx="50">
                  <c:v>93.774190940695377</c:v>
                </c:pt>
                <c:pt idx="51">
                  <c:v>76.25042822265543</c:v>
                </c:pt>
                <c:pt idx="52">
                  <c:v>50.543487760082613</c:v>
                </c:pt>
                <c:pt idx="53">
                  <c:v>74.888982776218057</c:v>
                </c:pt>
                <c:pt idx="54">
                  <c:v>52.095599438463452</c:v>
                </c:pt>
                <c:pt idx="55">
                  <c:v>74.180426039978187</c:v>
                </c:pt>
                <c:pt idx="56">
                  <c:v>68.116869623396937</c:v>
                </c:pt>
                <c:pt idx="57">
                  <c:v>50.539090519702853</c:v>
                </c:pt>
                <c:pt idx="58">
                  <c:v>90.680805562425178</c:v>
                </c:pt>
                <c:pt idx="59">
                  <c:v>63.455327688788032</c:v>
                </c:pt>
                <c:pt idx="60">
                  <c:v>78.571316441678306</c:v>
                </c:pt>
                <c:pt idx="61">
                  <c:v>59.479486768055089</c:v>
                </c:pt>
                <c:pt idx="62">
                  <c:v>51.269783241554933</c:v>
                </c:pt>
                <c:pt idx="63">
                  <c:v>49.383940562011212</c:v>
                </c:pt>
                <c:pt idx="64">
                  <c:v>35.894148271408874</c:v>
                </c:pt>
                <c:pt idx="65">
                  <c:v>47.037633727397647</c:v>
                </c:pt>
                <c:pt idx="66">
                  <c:v>42.521773223099522</c:v>
                </c:pt>
                <c:pt idx="67">
                  <c:v>52.17121747504909</c:v>
                </c:pt>
                <c:pt idx="68">
                  <c:v>45.647504626217007</c:v>
                </c:pt>
                <c:pt idx="69">
                  <c:v>58.441583787091993</c:v>
                </c:pt>
                <c:pt idx="70">
                  <c:v>97.582352616331917</c:v>
                </c:pt>
                <c:pt idx="71">
                  <c:v>92.073217693833982</c:v>
                </c:pt>
                <c:pt idx="72">
                  <c:v>111.1945655985155</c:v>
                </c:pt>
                <c:pt idx="73">
                  <c:v>105.41315973788279</c:v>
                </c:pt>
                <c:pt idx="74">
                  <c:v>57.84566339627056</c:v>
                </c:pt>
                <c:pt idx="75">
                  <c:v>45.844395770687349</c:v>
                </c:pt>
                <c:pt idx="76">
                  <c:v>40.065667394009381</c:v>
                </c:pt>
                <c:pt idx="77">
                  <c:v>33.493381965196598</c:v>
                </c:pt>
                <c:pt idx="78">
                  <c:v>61.32224821093979</c:v>
                </c:pt>
                <c:pt idx="79">
                  <c:v>47.755824567457559</c:v>
                </c:pt>
                <c:pt idx="80">
                  <c:v>49.429094996057238</c:v>
                </c:pt>
                <c:pt idx="81">
                  <c:v>74.266634537895257</c:v>
                </c:pt>
                <c:pt idx="82">
                  <c:v>95.564531802521344</c:v>
                </c:pt>
                <c:pt idx="83">
                  <c:v>80.958034242780258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C59-444D-ABDE-E6908358F1D3}"/>
            </c:ext>
          </c:extLst>
        </c:ser>
        <c:ser>
          <c:idx val="1"/>
          <c:order val="1"/>
          <c:tx>
            <c:strRef>
              <c:f>'Capture Price Inputs'!$I$1</c:f>
              <c:strCache>
                <c:ptCount val="1"/>
                <c:pt idx="0">
                  <c:v>DK2 Capture Price (EUR/MWh)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'Capture Price Inputs'!$I$2:$I$85</c:f>
              <c:numCache>
                <c:formatCode>General</c:formatCode>
                <c:ptCount val="84"/>
                <c:pt idx="12">
                  <c:v>29.86213642213642</c:v>
                </c:pt>
                <c:pt idx="13">
                  <c:v>23.555517829721889</c:v>
                </c:pt>
                <c:pt idx="14">
                  <c:v>17.149050692261021</c:v>
                </c:pt>
                <c:pt idx="15">
                  <c:v>13.252523128367081</c:v>
                </c:pt>
                <c:pt idx="16">
                  <c:v>18.594049382716051</c:v>
                </c:pt>
                <c:pt idx="17">
                  <c:v>35.21078005032583</c:v>
                </c:pt>
                <c:pt idx="18">
                  <c:v>26.450778046867001</c:v>
                </c:pt>
                <c:pt idx="19">
                  <c:v>44.113765015404859</c:v>
                </c:pt>
                <c:pt idx="20">
                  <c:v>41.853047880870562</c:v>
                </c:pt>
                <c:pt idx="21">
                  <c:v>33.600878372903331</c:v>
                </c:pt>
                <c:pt idx="22">
                  <c:v>37.749765625000002</c:v>
                </c:pt>
                <c:pt idx="23">
                  <c:v>44.191428571428567</c:v>
                </c:pt>
                <c:pt idx="24">
                  <c:v>57.072134410081453</c:v>
                </c:pt>
                <c:pt idx="25">
                  <c:v>52.285083654524577</c:v>
                </c:pt>
                <c:pt idx="26">
                  <c:v>47.422643011897812</c:v>
                </c:pt>
                <c:pt idx="27">
                  <c:v>45.901363748248833</c:v>
                </c:pt>
                <c:pt idx="28">
                  <c:v>50.258720231460799</c:v>
                </c:pt>
                <c:pt idx="29">
                  <c:v>69.469341653776226</c:v>
                </c:pt>
                <c:pt idx="30">
                  <c:v>77.933111551394319</c:v>
                </c:pt>
                <c:pt idx="31">
                  <c:v>84.512747690257029</c:v>
                </c:pt>
                <c:pt idx="32">
                  <c:v>118.7457227855615</c:v>
                </c:pt>
                <c:pt idx="33">
                  <c:v>122.3841235967906</c:v>
                </c:pt>
                <c:pt idx="34">
                  <c:v>153.62679427815749</c:v>
                </c:pt>
                <c:pt idx="35">
                  <c:v>244.48727859764409</c:v>
                </c:pt>
                <c:pt idx="36">
                  <c:v>129.67749023150819</c:v>
                </c:pt>
                <c:pt idx="37">
                  <c:v>108.80333899256409</c:v>
                </c:pt>
                <c:pt idx="38">
                  <c:v>186.0504424586062</c:v>
                </c:pt>
                <c:pt idx="39">
                  <c:v>143.53758886421849</c:v>
                </c:pt>
                <c:pt idx="40">
                  <c:v>146.25360234460331</c:v>
                </c:pt>
                <c:pt idx="41">
                  <c:v>192.2325905808319</c:v>
                </c:pt>
                <c:pt idx="42">
                  <c:v>212.3625858003895</c:v>
                </c:pt>
                <c:pt idx="43">
                  <c:v>397.17988485976059</c:v>
                </c:pt>
                <c:pt idx="44">
                  <c:v>315.92884279677901</c:v>
                </c:pt>
                <c:pt idx="45">
                  <c:v>120.1190076327392</c:v>
                </c:pt>
                <c:pt idx="46">
                  <c:v>134.0399027878758</c:v>
                </c:pt>
                <c:pt idx="47">
                  <c:v>303.26978481668573</c:v>
                </c:pt>
                <c:pt idx="48">
                  <c:v>120.8992864784306</c:v>
                </c:pt>
                <c:pt idx="49">
                  <c:v>103.112625406295</c:v>
                </c:pt>
                <c:pt idx="50">
                  <c:v>89.098468921641697</c:v>
                </c:pt>
                <c:pt idx="51">
                  <c:v>71.125099705594195</c:v>
                </c:pt>
                <c:pt idx="52">
                  <c:v>48.358083796456327</c:v>
                </c:pt>
                <c:pt idx="53">
                  <c:v>71.862090372222397</c:v>
                </c:pt>
                <c:pt idx="54">
                  <c:v>50.345966617092351</c:v>
                </c:pt>
                <c:pt idx="55">
                  <c:v>72.957992347987414</c:v>
                </c:pt>
                <c:pt idx="56">
                  <c:v>64.394484672464898</c:v>
                </c:pt>
                <c:pt idx="57">
                  <c:v>47.660255094286853</c:v>
                </c:pt>
                <c:pt idx="58">
                  <c:v>84.639978605265995</c:v>
                </c:pt>
                <c:pt idx="59">
                  <c:v>59.061746333079718</c:v>
                </c:pt>
                <c:pt idx="60">
                  <c:v>76.427202535219209</c:v>
                </c:pt>
                <c:pt idx="61">
                  <c:v>51.434379196547752</c:v>
                </c:pt>
                <c:pt idx="62">
                  <c:v>50.751163813053438</c:v>
                </c:pt>
                <c:pt idx="63">
                  <c:v>47.053967904827999</c:v>
                </c:pt>
                <c:pt idx="64">
                  <c:v>34.295794113692892</c:v>
                </c:pt>
                <c:pt idx="65">
                  <c:v>46.379384034583367</c:v>
                </c:pt>
                <c:pt idx="66">
                  <c:v>38.812821969471173</c:v>
                </c:pt>
                <c:pt idx="67">
                  <c:v>47.151863118292532</c:v>
                </c:pt>
                <c:pt idx="68">
                  <c:v>43.355946350842189</c:v>
                </c:pt>
                <c:pt idx="69">
                  <c:v>59.534937630286556</c:v>
                </c:pt>
                <c:pt idx="70">
                  <c:v>89.611277477917284</c:v>
                </c:pt>
                <c:pt idx="71">
                  <c:v>100.7961313991171</c:v>
                </c:pt>
                <c:pt idx="72">
                  <c:v>115.0822593270056</c:v>
                </c:pt>
                <c:pt idx="73">
                  <c:v>106.92318207316821</c:v>
                </c:pt>
                <c:pt idx="74">
                  <c:v>50.018062961268747</c:v>
                </c:pt>
                <c:pt idx="75">
                  <c:v>41.82584156307518</c:v>
                </c:pt>
                <c:pt idx="76">
                  <c:v>34.320660344591218</c:v>
                </c:pt>
                <c:pt idx="77">
                  <c:v>24.31568572006325</c:v>
                </c:pt>
                <c:pt idx="78">
                  <c:v>59.766943882147693</c:v>
                </c:pt>
                <c:pt idx="79">
                  <c:v>43.064604783544858</c:v>
                </c:pt>
                <c:pt idx="80">
                  <c:v>52.949405153808357</c:v>
                </c:pt>
                <c:pt idx="81">
                  <c:v>78.645730322406678</c:v>
                </c:pt>
                <c:pt idx="82">
                  <c:v>92.690454871532665</c:v>
                </c:pt>
                <c:pt idx="83">
                  <c:v>79.631228022083661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C59-444D-ABDE-E6908358F1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Capture Price Ratio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Inputs'!$J$1</c:f>
              <c:strCache>
                <c:ptCount val="1"/>
                <c:pt idx="0">
                  <c:v>DK1 CPR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Inputs'!$J$2:$J$85</c:f>
              <c:numCache>
                <c:formatCode>General</c:formatCode>
                <c:ptCount val="84"/>
                <c:pt idx="12">
                  <c:v>1.0091486594474419</c:v>
                </c:pt>
                <c:pt idx="13">
                  <c:v>1.2985911686950511</c:v>
                </c:pt>
                <c:pt idx="14">
                  <c:v>0.8710146939215303</c:v>
                </c:pt>
                <c:pt idx="15">
                  <c:v>0.71315772558819213</c:v>
                </c:pt>
                <c:pt idx="16">
                  <c:v>0.96415576931205649</c:v>
                </c:pt>
                <c:pt idx="17">
                  <c:v>1.0394664137310941</c:v>
                </c:pt>
                <c:pt idx="18">
                  <c:v>1.0086181556608309</c:v>
                </c:pt>
                <c:pt idx="19">
                  <c:v>0.98082264407500741</c:v>
                </c:pt>
                <c:pt idx="20">
                  <c:v>1.0104044869130051</c:v>
                </c:pt>
                <c:pt idx="21">
                  <c:v>1.236802226812374</c:v>
                </c:pt>
                <c:pt idx="22">
                  <c:v>1.094777917215692</c:v>
                </c:pt>
                <c:pt idx="23">
                  <c:v>1.0082301641826621</c:v>
                </c:pt>
                <c:pt idx="24">
                  <c:v>1.103930861568265</c:v>
                </c:pt>
                <c:pt idx="25">
                  <c:v>1.0059479277054251</c:v>
                </c:pt>
                <c:pt idx="26">
                  <c:v>0.9871758725122356</c:v>
                </c:pt>
                <c:pt idx="27">
                  <c:v>0.90884647456650169</c:v>
                </c:pt>
                <c:pt idx="28">
                  <c:v>0.87751805187154364</c:v>
                </c:pt>
                <c:pt idx="29">
                  <c:v>0.95691427953473174</c:v>
                </c:pt>
                <c:pt idx="30">
                  <c:v>0.98211323715969778</c:v>
                </c:pt>
                <c:pt idx="31">
                  <c:v>0.99027147802450566</c:v>
                </c:pt>
                <c:pt idx="32">
                  <c:v>0.92690440483613579</c:v>
                </c:pt>
                <c:pt idx="33">
                  <c:v>1.0810885074134391</c:v>
                </c:pt>
                <c:pt idx="34">
                  <c:v>1.1338034085044659</c:v>
                </c:pt>
                <c:pt idx="35">
                  <c:v>1.2086769624549281</c:v>
                </c:pt>
                <c:pt idx="36">
                  <c:v>1.0441257304277269</c:v>
                </c:pt>
                <c:pt idx="37">
                  <c:v>1.04022281700981</c:v>
                </c:pt>
                <c:pt idx="38">
                  <c:v>0.81207759044207406</c:v>
                </c:pt>
                <c:pt idx="39">
                  <c:v>0.89039133384678326</c:v>
                </c:pt>
                <c:pt idx="40">
                  <c:v>0.86943016050498578</c:v>
                </c:pt>
                <c:pt idx="41">
                  <c:v>0.90803902012341908</c:v>
                </c:pt>
                <c:pt idx="42">
                  <c:v>0.87041791592949547</c:v>
                </c:pt>
                <c:pt idx="43">
                  <c:v>0.91908553046700026</c:v>
                </c:pt>
                <c:pt idx="44">
                  <c:v>0.90632901805683119</c:v>
                </c:pt>
                <c:pt idx="45">
                  <c:v>0.91612325253961768</c:v>
                </c:pt>
                <c:pt idx="46">
                  <c:v>0.94278612074660006</c:v>
                </c:pt>
                <c:pt idx="47">
                  <c:v>1.132810339248927</c:v>
                </c:pt>
                <c:pt idx="48">
                  <c:v>1.2309198691226539</c:v>
                </c:pt>
                <c:pt idx="49">
                  <c:v>0.93008781340266</c:v>
                </c:pt>
                <c:pt idx="50">
                  <c:v>0.94612539759598957</c:v>
                </c:pt>
                <c:pt idx="51">
                  <c:v>0.79203966120386338</c:v>
                </c:pt>
                <c:pt idx="52">
                  <c:v>0.68333610561519953</c:v>
                </c:pt>
                <c:pt idx="53">
                  <c:v>0.80965062086215667</c:v>
                </c:pt>
                <c:pt idx="54">
                  <c:v>0.80380421953260928</c:v>
                </c:pt>
                <c:pt idx="55">
                  <c:v>0.86289309777204071</c:v>
                </c:pt>
                <c:pt idx="56">
                  <c:v>0.8038389922187259</c:v>
                </c:pt>
                <c:pt idx="57">
                  <c:v>0.84083605560542263</c:v>
                </c:pt>
                <c:pt idx="58">
                  <c:v>1.028656893611996</c:v>
                </c:pt>
                <c:pt idx="59">
                  <c:v>0.91325607762876626</c:v>
                </c:pt>
                <c:pt idx="60">
                  <c:v>1.051614630458469</c:v>
                </c:pt>
                <c:pt idx="61">
                  <c:v>1.0144208291794441</c:v>
                </c:pt>
                <c:pt idx="62">
                  <c:v>0.8373818542217274</c:v>
                </c:pt>
                <c:pt idx="63">
                  <c:v>0.83468460161643787</c:v>
                </c:pt>
                <c:pt idx="64">
                  <c:v>0.61339845366508694</c:v>
                </c:pt>
                <c:pt idx="65">
                  <c:v>0.73781003223868646</c:v>
                </c:pt>
                <c:pt idx="66">
                  <c:v>0.68549949487061801</c:v>
                </c:pt>
                <c:pt idx="67">
                  <c:v>0.71512676219349525</c:v>
                </c:pt>
                <c:pt idx="68">
                  <c:v>0.63652522303957304</c:v>
                </c:pt>
                <c:pt idx="69">
                  <c:v>0.76175188075929667</c:v>
                </c:pt>
                <c:pt idx="70">
                  <c:v>1.0174940038611719</c:v>
                </c:pt>
                <c:pt idx="71">
                  <c:v>1.0025674160411211</c:v>
                </c:pt>
                <c:pt idx="72">
                  <c:v>1.135032584901597</c:v>
                </c:pt>
                <c:pt idx="73">
                  <c:v>0.93411665141872979</c:v>
                </c:pt>
                <c:pt idx="74">
                  <c:v>0.68579081688022481</c:v>
                </c:pt>
                <c:pt idx="75">
                  <c:v>0.60995353561832499</c:v>
                </c:pt>
                <c:pt idx="76">
                  <c:v>0.62375117423189408</c:v>
                </c:pt>
                <c:pt idx="77">
                  <c:v>0.56976432128633303</c:v>
                </c:pt>
                <c:pt idx="78">
                  <c:v>0.74058967108380014</c:v>
                </c:pt>
                <c:pt idx="79">
                  <c:v>0.64997112344594554</c:v>
                </c:pt>
                <c:pt idx="80">
                  <c:v>0.68273474898658593</c:v>
                </c:pt>
                <c:pt idx="81">
                  <c:v>0.94701517193480578</c:v>
                </c:pt>
                <c:pt idx="82">
                  <c:v>1.0289764309560969</c:v>
                </c:pt>
                <c:pt idx="83">
                  <c:v>0.98205388617926037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35C-1940-AAEF-B583CD89233F}"/>
            </c:ext>
          </c:extLst>
        </c:ser>
        <c:ser>
          <c:idx val="1"/>
          <c:order val="1"/>
          <c:tx>
            <c:strRef>
              <c:f>'Capture Price Inputs'!$K$1</c:f>
              <c:strCache>
                <c:ptCount val="1"/>
                <c:pt idx="0">
                  <c:v>DK2 CPR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'Capture Price Inputs'!$K$2:$K$85</c:f>
              <c:numCache>
                <c:formatCode>General</c:formatCode>
                <c:ptCount val="84"/>
                <c:pt idx="12">
                  <c:v>1.090446324793763</c:v>
                </c:pt>
                <c:pt idx="13">
                  <c:v>1.251821301318464</c:v>
                </c:pt>
                <c:pt idx="14">
                  <c:v>0.85520775851277109</c:v>
                </c:pt>
                <c:pt idx="15">
                  <c:v>0.76362023547871605</c:v>
                </c:pt>
                <c:pt idx="16">
                  <c:v>0.97636938233545278</c:v>
                </c:pt>
                <c:pt idx="17">
                  <c:v>1.180647007173951</c:v>
                </c:pt>
                <c:pt idx="18">
                  <c:v>1.021791049952987</c:v>
                </c:pt>
                <c:pt idx="19">
                  <c:v>1.077948442472481</c:v>
                </c:pt>
                <c:pt idx="20">
                  <c:v>1.0591890923358069</c:v>
                </c:pt>
                <c:pt idx="21">
                  <c:v>1.247549053102559</c:v>
                </c:pt>
                <c:pt idx="22">
                  <c:v>1.057080411727209</c:v>
                </c:pt>
                <c:pt idx="23">
                  <c:v>1.125691191699302</c:v>
                </c:pt>
                <c:pt idx="24">
                  <c:v>1.122164979814525</c:v>
                </c:pt>
                <c:pt idx="25">
                  <c:v>0.9585139857498034</c:v>
                </c:pt>
                <c:pt idx="26">
                  <c:v>1.0147741726503949</c:v>
                </c:pt>
                <c:pt idx="27">
                  <c:v>0.95901643664766134</c:v>
                </c:pt>
                <c:pt idx="28">
                  <c:v>0.91033887361171206</c:v>
                </c:pt>
                <c:pt idx="29">
                  <c:v>0.94404491874816343</c:v>
                </c:pt>
                <c:pt idx="30">
                  <c:v>0.95692856904650769</c:v>
                </c:pt>
                <c:pt idx="31">
                  <c:v>1.001768528067071</c:v>
                </c:pt>
                <c:pt idx="32">
                  <c:v>0.95838336990944806</c:v>
                </c:pt>
                <c:pt idx="33">
                  <c:v>1.1445012658471321</c:v>
                </c:pt>
                <c:pt idx="34">
                  <c:v>1.1264608571418011</c:v>
                </c:pt>
                <c:pt idx="35">
                  <c:v>1.279578427053047</c:v>
                </c:pt>
                <c:pt idx="36">
                  <c:v>1.1617546523412821</c:v>
                </c:pt>
                <c:pt idx="37">
                  <c:v>1.084871924613185</c:v>
                </c:pt>
                <c:pt idx="38">
                  <c:v>0.81629582758371144</c:v>
                </c:pt>
                <c:pt idx="39">
                  <c:v>0.93918048773921026</c:v>
                </c:pt>
                <c:pt idx="40">
                  <c:v>0.89914563143311954</c:v>
                </c:pt>
                <c:pt idx="41">
                  <c:v>0.90151367457475784</c:v>
                </c:pt>
                <c:pt idx="42">
                  <c:v>0.90956244496775596</c:v>
                </c:pt>
                <c:pt idx="43">
                  <c:v>0.8830756108422062</c:v>
                </c:pt>
                <c:pt idx="44">
                  <c:v>0.96085369829588263</c:v>
                </c:pt>
                <c:pt idx="45">
                  <c:v>0.87743541957368609</c:v>
                </c:pt>
                <c:pt idx="46">
                  <c:v>0.92404474391789948</c:v>
                </c:pt>
                <c:pt idx="47">
                  <c:v>1.2185280560697289</c:v>
                </c:pt>
                <c:pt idx="48">
                  <c:v>1.2118663236304299</c:v>
                </c:pt>
                <c:pt idx="49">
                  <c:v>1.0244781228159621</c:v>
                </c:pt>
                <c:pt idx="50">
                  <c:v>0.99223631219701203</c:v>
                </c:pt>
                <c:pt idx="51">
                  <c:v>0.85025873478203906</c:v>
                </c:pt>
                <c:pt idx="52">
                  <c:v>0.73101748270540212</c:v>
                </c:pt>
                <c:pt idx="53">
                  <c:v>0.78603819917365525</c:v>
                </c:pt>
                <c:pt idx="54">
                  <c:v>0.77170348712471282</c:v>
                </c:pt>
                <c:pt idx="55">
                  <c:v>0.84546104105698361</c:v>
                </c:pt>
                <c:pt idx="56">
                  <c:v>0.75329173308453345</c:v>
                </c:pt>
                <c:pt idx="57">
                  <c:v>0.83723449033464103</c:v>
                </c:pt>
                <c:pt idx="58">
                  <c:v>1.038705241708771</c:v>
                </c:pt>
                <c:pt idx="59">
                  <c:v>0.83326707575628478</c:v>
                </c:pt>
                <c:pt idx="60">
                  <c:v>0.97714487510792902</c:v>
                </c:pt>
                <c:pt idx="61">
                  <c:v>0.93991726033346112</c:v>
                </c:pt>
                <c:pt idx="62">
                  <c:v>0.8314293202728863</c:v>
                </c:pt>
                <c:pt idx="63">
                  <c:v>0.77805107456374178</c:v>
                </c:pt>
                <c:pt idx="64">
                  <c:v>0.59005563427075769</c:v>
                </c:pt>
                <c:pt idx="65">
                  <c:v>0.69439585691141426</c:v>
                </c:pt>
                <c:pt idx="66">
                  <c:v>0.61762838453946423</c:v>
                </c:pt>
                <c:pt idx="67">
                  <c:v>0.64934714792296455</c:v>
                </c:pt>
                <c:pt idx="68">
                  <c:v>0.61574801135475132</c:v>
                </c:pt>
                <c:pt idx="69">
                  <c:v>0.78000735067931948</c:v>
                </c:pt>
                <c:pt idx="70">
                  <c:v>0.94047799551015088</c:v>
                </c:pt>
                <c:pt idx="71">
                  <c:v>1.0870067185479459</c:v>
                </c:pt>
                <c:pt idx="72">
                  <c:v>1.1494003648079021</c:v>
                </c:pt>
                <c:pt idx="73">
                  <c:v>0.90662384271333907</c:v>
                </c:pt>
                <c:pt idx="74">
                  <c:v>0.60374116471580297</c:v>
                </c:pt>
                <c:pt idx="75">
                  <c:v>0.55174367988103734</c:v>
                </c:pt>
                <c:pt idx="76">
                  <c:v>0.54405946330729504</c:v>
                </c:pt>
                <c:pt idx="77">
                  <c:v>0.4307606652121766</c:v>
                </c:pt>
                <c:pt idx="78">
                  <c:v>0.74746341861966192</c:v>
                </c:pt>
                <c:pt idx="79">
                  <c:v>0.57178942343359873</c:v>
                </c:pt>
                <c:pt idx="80">
                  <c:v>0.63573160083367797</c:v>
                </c:pt>
                <c:pt idx="81">
                  <c:v>0.95480840081563045</c:v>
                </c:pt>
                <c:pt idx="82">
                  <c:v>0.98927251294969987</c:v>
                </c:pt>
                <c:pt idx="83">
                  <c:v>0.97014796253594149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35C-1940-AAEF-B583CD8923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CPR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Solar Penetration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Inputs'!$F$1</c:f>
              <c:strCache>
                <c:ptCount val="1"/>
                <c:pt idx="0">
                  <c:v>DK1 Solar Penetration (%) — Primary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'Capture Price Inputs'!$F$2:$F$85</c:f>
              <c:numCache>
                <c:formatCode>General</c:formatCode>
                <c:ptCount val="84"/>
                <c:pt idx="12">
                  <c:v>2.2644478926294831E-3</c:v>
                </c:pt>
                <c:pt idx="13">
                  <c:v>5.2474520244822449E-3</c:v>
                </c:pt>
                <c:pt idx="14">
                  <c:v>2.020167759412729E-2</c:v>
                </c:pt>
                <c:pt idx="15">
                  <c:v>3.2427989612304697E-2</c:v>
                </c:pt>
                <c:pt idx="16">
                  <c:v>3.6080087237903569E-2</c:v>
                </c:pt>
                <c:pt idx="17">
                  <c:v>3.7413618831640891E-2</c:v>
                </c:pt>
                <c:pt idx="18">
                  <c:v>3.3998433859503921E-2</c:v>
                </c:pt>
                <c:pt idx="19">
                  <c:v>3.4224763142537661E-2</c:v>
                </c:pt>
                <c:pt idx="20">
                  <c:v>2.4330151939157239E-2</c:v>
                </c:pt>
                <c:pt idx="21">
                  <c:v>1.1490387549446779E-2</c:v>
                </c:pt>
                <c:pt idx="22">
                  <c:v>1.521101274151999E-4</c:v>
                </c:pt>
                <c:pt idx="23">
                  <c:v>1.472410662127807E-5</c:v>
                </c:pt>
                <c:pt idx="24">
                  <c:v>3.6313559990350909E-3</c:v>
                </c:pt>
                <c:pt idx="25">
                  <c:v>1.0868941718057299E-2</c:v>
                </c:pt>
                <c:pt idx="26">
                  <c:v>2.2382303907371628E-2</c:v>
                </c:pt>
                <c:pt idx="27">
                  <c:v>4.212837115783985E-2</c:v>
                </c:pt>
                <c:pt idx="28">
                  <c:v>3.3075052211960353E-2</c:v>
                </c:pt>
                <c:pt idx="29">
                  <c:v>4.9841661821819518E-2</c:v>
                </c:pt>
                <c:pt idx="30">
                  <c:v>4.85715434854639E-2</c:v>
                </c:pt>
                <c:pt idx="31">
                  <c:v>3.8876947944708702E-2</c:v>
                </c:pt>
                <c:pt idx="32">
                  <c:v>2.5932850179436289E-2</c:v>
                </c:pt>
                <c:pt idx="33">
                  <c:v>1.7460096431489061E-2</c:v>
                </c:pt>
                <c:pt idx="34">
                  <c:v>7.0293060058135041E-3</c:v>
                </c:pt>
                <c:pt idx="35">
                  <c:v>3.243365391886713E-3</c:v>
                </c:pt>
                <c:pt idx="36">
                  <c:v>6.6753155472480874E-3</c:v>
                </c:pt>
                <c:pt idx="37">
                  <c:v>1.7399571233002901E-2</c:v>
                </c:pt>
                <c:pt idx="38">
                  <c:v>6.1955070586442867E-2</c:v>
                </c:pt>
                <c:pt idx="39">
                  <c:v>8.404056603836467E-2</c:v>
                </c:pt>
                <c:pt idx="40">
                  <c:v>9.6876891420316108E-2</c:v>
                </c:pt>
                <c:pt idx="41">
                  <c:v>9.4962020744311482E-2</c:v>
                </c:pt>
                <c:pt idx="42">
                  <c:v>9.963556652585577E-2</c:v>
                </c:pt>
                <c:pt idx="43">
                  <c:v>8.9626978325266782E-2</c:v>
                </c:pt>
                <c:pt idx="44">
                  <c:v>6.6046498591704736E-2</c:v>
                </c:pt>
                <c:pt idx="45">
                  <c:v>3.7469414477654707E-2</c:v>
                </c:pt>
                <c:pt idx="46">
                  <c:v>1.046932675470221E-2</c:v>
                </c:pt>
                <c:pt idx="47">
                  <c:v>6.2291646451968653E-3</c:v>
                </c:pt>
                <c:pt idx="48">
                  <c:v>1.2460694276862919E-2</c:v>
                </c:pt>
                <c:pt idx="49">
                  <c:v>3.4376404191763639E-2</c:v>
                </c:pt>
                <c:pt idx="50">
                  <c:v>5.6477968577058592E-2</c:v>
                </c:pt>
                <c:pt idx="51">
                  <c:v>0.1509467292684683</c:v>
                </c:pt>
                <c:pt idx="52">
                  <c:v>0.18600333743842001</c:v>
                </c:pt>
                <c:pt idx="53">
                  <c:v>0.21892573712946101</c:v>
                </c:pt>
                <c:pt idx="54">
                  <c:v>0.18929524056345021</c:v>
                </c:pt>
                <c:pt idx="55">
                  <c:v>0.1493297980639493</c:v>
                </c:pt>
                <c:pt idx="56">
                  <c:v>0.13191654386548721</c:v>
                </c:pt>
                <c:pt idx="57">
                  <c:v>4.2864886456730103E-2</c:v>
                </c:pt>
                <c:pt idx="58">
                  <c:v>1.6003493537152379E-2</c:v>
                </c:pt>
                <c:pt idx="59">
                  <c:v>6.3905046726965339E-3</c:v>
                </c:pt>
                <c:pt idx="60">
                  <c:v>1.3417186050607519E-2</c:v>
                </c:pt>
                <c:pt idx="61">
                  <c:v>2.6436223837926501E-2</c:v>
                </c:pt>
                <c:pt idx="62">
                  <c:v>6.6233973400350477E-2</c:v>
                </c:pt>
                <c:pt idx="63">
                  <c:v>0.1084169878649764</c:v>
                </c:pt>
                <c:pt idx="64">
                  <c:v>0.18887031649880051</c:v>
                </c:pt>
                <c:pt idx="65">
                  <c:v>0.1715230569234828</c:v>
                </c:pt>
                <c:pt idx="66">
                  <c:v>0.1809062055635286</c:v>
                </c:pt>
                <c:pt idx="67">
                  <c:v>0.15512153111725799</c:v>
                </c:pt>
                <c:pt idx="68">
                  <c:v>0.1275567235314205</c:v>
                </c:pt>
                <c:pt idx="69">
                  <c:v>6.2873767847415107E-2</c:v>
                </c:pt>
                <c:pt idx="70">
                  <c:v>1.780902737610289E-2</c:v>
                </c:pt>
                <c:pt idx="71">
                  <c:v>6.7857975683456679E-3</c:v>
                </c:pt>
                <c:pt idx="72">
                  <c:v>1.366055484422285E-2</c:v>
                </c:pt>
                <c:pt idx="73">
                  <c:v>4.3419934817177687E-2</c:v>
                </c:pt>
                <c:pt idx="74">
                  <c:v>0.1120694547038418</c:v>
                </c:pt>
                <c:pt idx="75">
                  <c:v>0.14827548756052711</c:v>
                </c:pt>
                <c:pt idx="76">
                  <c:v>0.19244468175967161</c:v>
                </c:pt>
                <c:pt idx="77">
                  <c:v>0.18784829238523279</c:v>
                </c:pt>
                <c:pt idx="78">
                  <c:v>0.21828188848241209</c:v>
                </c:pt>
                <c:pt idx="79">
                  <c:v>0.19011684012808119</c:v>
                </c:pt>
                <c:pt idx="80">
                  <c:v>0.13816152724517919</c:v>
                </c:pt>
                <c:pt idx="81">
                  <c:v>6.9462071202051626E-2</c:v>
                </c:pt>
                <c:pt idx="82">
                  <c:v>2.6604970402147529E-2</c:v>
                </c:pt>
                <c:pt idx="83">
                  <c:v>1.40253486520015E-2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9A7-234C-BFB0-5BAD3A1EAC8F}"/>
            </c:ext>
          </c:extLst>
        </c:ser>
        <c:ser>
          <c:idx val="1"/>
          <c:order val="1"/>
          <c:tx>
            <c:strRef>
              <c:f>'Capture Price Inputs'!$G$1</c:f>
              <c:strCache>
                <c:ptCount val="1"/>
                <c:pt idx="0">
                  <c:v>DK2 Solar Penetration (%) — Robustness</c:v>
                </c:pt>
              </c:strCache>
            </c:strRef>
          </c:tx>
          <c:spPr>
            <a:ln>
              <a:solidFill>
                <a:srgbClr val="FFD700"/>
              </a:solidFill>
              <a:prstDash val="solid"/>
            </a:ln>
          </c:spPr>
          <c:marker>
            <c:symbol val="none"/>
          </c:marker>
          <c:val>
            <c:numRef>
              <c:f>'Capture Price Inputs'!$G$2:$G$85</c:f>
              <c:numCache>
                <c:formatCode>General</c:formatCode>
                <c:ptCount val="84"/>
                <c:pt idx="12">
                  <c:v>1.864323044087839E-3</c:v>
                </c:pt>
                <c:pt idx="13">
                  <c:v>4.9613393448072352E-3</c:v>
                </c:pt>
                <c:pt idx="14">
                  <c:v>1.532033335337761E-2</c:v>
                </c:pt>
                <c:pt idx="15">
                  <c:v>2.6180595134545931E-2</c:v>
                </c:pt>
                <c:pt idx="16">
                  <c:v>3.2240930774166239E-2</c:v>
                </c:pt>
                <c:pt idx="17">
                  <c:v>3.0651812088155841E-2</c:v>
                </c:pt>
                <c:pt idx="18">
                  <c:v>2.998206800974695E-2</c:v>
                </c:pt>
                <c:pt idx="19">
                  <c:v>2.8034713414307081E-2</c:v>
                </c:pt>
                <c:pt idx="20">
                  <c:v>2.1736479101595249E-2</c:v>
                </c:pt>
                <c:pt idx="21">
                  <c:v>1.107911770574695E-2</c:v>
                </c:pt>
                <c:pt idx="22">
                  <c:v>1.1044611578332841E-4</c:v>
                </c:pt>
                <c:pt idx="23">
                  <c:v>5.6352433584062588E-6</c:v>
                </c:pt>
                <c:pt idx="24">
                  <c:v>3.104474131982996E-3</c:v>
                </c:pt>
                <c:pt idx="25">
                  <c:v>9.2483369487723587E-3</c:v>
                </c:pt>
                <c:pt idx="26">
                  <c:v>1.8474517045212829E-2</c:v>
                </c:pt>
                <c:pt idx="27">
                  <c:v>3.2694407483312787E-2</c:v>
                </c:pt>
                <c:pt idx="28">
                  <c:v>3.2945829294540187E-2</c:v>
                </c:pt>
                <c:pt idx="29">
                  <c:v>4.4480133140056069E-2</c:v>
                </c:pt>
                <c:pt idx="30">
                  <c:v>3.7049542537302173E-2</c:v>
                </c:pt>
                <c:pt idx="31">
                  <c:v>3.1857768834261987E-2</c:v>
                </c:pt>
                <c:pt idx="32">
                  <c:v>2.23981137027396E-2</c:v>
                </c:pt>
                <c:pt idx="33">
                  <c:v>1.267326343754744E-2</c:v>
                </c:pt>
                <c:pt idx="34">
                  <c:v>4.0132810857910267E-3</c:v>
                </c:pt>
                <c:pt idx="35">
                  <c:v>1.8226295838260991E-3</c:v>
                </c:pt>
                <c:pt idx="36">
                  <c:v>4.939556742877535E-3</c:v>
                </c:pt>
                <c:pt idx="37">
                  <c:v>1.3248485586698279E-2</c:v>
                </c:pt>
                <c:pt idx="38">
                  <c:v>3.4089330349121053E-2</c:v>
                </c:pt>
                <c:pt idx="39">
                  <c:v>5.5254436099578648E-2</c:v>
                </c:pt>
                <c:pt idx="40">
                  <c:v>6.5811459960859395E-2</c:v>
                </c:pt>
                <c:pt idx="41">
                  <c:v>6.4528229045867816E-2</c:v>
                </c:pt>
                <c:pt idx="42">
                  <c:v>6.7025803801952916E-2</c:v>
                </c:pt>
                <c:pt idx="43">
                  <c:v>6.1299924397195817E-2</c:v>
                </c:pt>
                <c:pt idx="44">
                  <c:v>4.5784276103507021E-2</c:v>
                </c:pt>
                <c:pt idx="45">
                  <c:v>2.9809058027035401E-2</c:v>
                </c:pt>
                <c:pt idx="46">
                  <c:v>7.8652952619005494E-3</c:v>
                </c:pt>
                <c:pt idx="47">
                  <c:v>4.5323555529735481E-3</c:v>
                </c:pt>
                <c:pt idx="48">
                  <c:v>5.8626527231366082E-3</c:v>
                </c:pt>
                <c:pt idx="49">
                  <c:v>1.8877648418373551E-2</c:v>
                </c:pt>
                <c:pt idx="50">
                  <c:v>3.7096229392005707E-2</c:v>
                </c:pt>
                <c:pt idx="51">
                  <c:v>8.0269966033824955E-2</c:v>
                </c:pt>
                <c:pt idx="52">
                  <c:v>0.1080032082802261</c:v>
                </c:pt>
                <c:pt idx="53">
                  <c:v>0.1144244665352921</c:v>
                </c:pt>
                <c:pt idx="54">
                  <c:v>0.10203074507159759</c:v>
                </c:pt>
                <c:pt idx="55">
                  <c:v>7.7931010532967707E-2</c:v>
                </c:pt>
                <c:pt idx="56">
                  <c:v>8.0909954639318743E-2</c:v>
                </c:pt>
                <c:pt idx="57">
                  <c:v>2.9172340215594381E-2</c:v>
                </c:pt>
                <c:pt idx="58">
                  <c:v>1.04098691216888E-2</c:v>
                </c:pt>
                <c:pt idx="59">
                  <c:v>3.809030164374855E-3</c:v>
                </c:pt>
                <c:pt idx="60">
                  <c:v>6.1781830729755079E-3</c:v>
                </c:pt>
                <c:pt idx="61">
                  <c:v>1.667231366864759E-2</c:v>
                </c:pt>
                <c:pt idx="62">
                  <c:v>4.1112806367337662E-2</c:v>
                </c:pt>
                <c:pt idx="63">
                  <c:v>6.5123378744806448E-2</c:v>
                </c:pt>
                <c:pt idx="64">
                  <c:v>0.106315341440858</c:v>
                </c:pt>
                <c:pt idx="65">
                  <c:v>0.1072729076610999</c:v>
                </c:pt>
                <c:pt idx="66">
                  <c:v>0.1057942634887733</c:v>
                </c:pt>
                <c:pt idx="67">
                  <c:v>9.3690832268705199E-2</c:v>
                </c:pt>
                <c:pt idx="68">
                  <c:v>7.2463202820400169E-2</c:v>
                </c:pt>
                <c:pt idx="69">
                  <c:v>3.6145253892379881E-2</c:v>
                </c:pt>
                <c:pt idx="70">
                  <c:v>8.6028414054236078E-3</c:v>
                </c:pt>
                <c:pt idx="71">
                  <c:v>4.1714684657767577E-3</c:v>
                </c:pt>
                <c:pt idx="72">
                  <c:v>7.223240212576967E-3</c:v>
                </c:pt>
                <c:pt idx="73">
                  <c:v>2.010831138567791E-2</c:v>
                </c:pt>
                <c:pt idx="74">
                  <c:v>4.6547866447452589E-2</c:v>
                </c:pt>
                <c:pt idx="75">
                  <c:v>7.1689783649061992E-2</c:v>
                </c:pt>
                <c:pt idx="76">
                  <c:v>9.4714127256233946E-2</c:v>
                </c:pt>
                <c:pt idx="77">
                  <c:v>9.9826250015510765E-2</c:v>
                </c:pt>
                <c:pt idx="78">
                  <c:v>9.3996419418699143E-2</c:v>
                </c:pt>
                <c:pt idx="79">
                  <c:v>0.1057378118957395</c:v>
                </c:pt>
                <c:pt idx="80">
                  <c:v>9.0628879686523764E-2</c:v>
                </c:pt>
                <c:pt idx="81">
                  <c:v>3.9573125678626628E-2</c:v>
                </c:pt>
                <c:pt idx="82">
                  <c:v>1.454364344794783E-2</c:v>
                </c:pt>
                <c:pt idx="83">
                  <c:v>9.0694911608833299E-3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9A7-234C-BFB0-5BAD3A1EAC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Solar Penetration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Capture Price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Inputs'!$H$1</c:f>
              <c:strCache>
                <c:ptCount val="1"/>
                <c:pt idx="0">
                  <c:v>DK1 Capture Price (EUR/MWh)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Inputs'!$H$2:$H$85</c:f>
              <c:numCache>
                <c:formatCode>General</c:formatCode>
                <c:ptCount val="84"/>
                <c:pt idx="12">
                  <c:v>25.22320957280251</c:v>
                </c:pt>
                <c:pt idx="13">
                  <c:v>22.83581899109792</c:v>
                </c:pt>
                <c:pt idx="14">
                  <c:v>15.94107348554973</c:v>
                </c:pt>
                <c:pt idx="15">
                  <c:v>10.36487590420421</c:v>
                </c:pt>
                <c:pt idx="16">
                  <c:v>15.478548945086001</c:v>
                </c:pt>
                <c:pt idx="17">
                  <c:v>27.313308227868689</c:v>
                </c:pt>
                <c:pt idx="18">
                  <c:v>24.831745178109159</c:v>
                </c:pt>
                <c:pt idx="19">
                  <c:v>33.876915422047851</c:v>
                </c:pt>
                <c:pt idx="20">
                  <c:v>38.935979003379593</c:v>
                </c:pt>
                <c:pt idx="21">
                  <c:v>31.927741533059191</c:v>
                </c:pt>
                <c:pt idx="22">
                  <c:v>26.005993265993261</c:v>
                </c:pt>
                <c:pt idx="23">
                  <c:v>34.795161290322582</c:v>
                </c:pt>
                <c:pt idx="24">
                  <c:v>55.422967607277918</c:v>
                </c:pt>
                <c:pt idx="25">
                  <c:v>47.542610979142587</c:v>
                </c:pt>
                <c:pt idx="26">
                  <c:v>44.550700915805493</c:v>
                </c:pt>
                <c:pt idx="27">
                  <c:v>43.594739828473003</c:v>
                </c:pt>
                <c:pt idx="28">
                  <c:v>47.655870575001217</c:v>
                </c:pt>
                <c:pt idx="29">
                  <c:v>70.543547911111062</c:v>
                </c:pt>
                <c:pt idx="30">
                  <c:v>78.568319747758608</c:v>
                </c:pt>
                <c:pt idx="31">
                  <c:v>81.983351136401794</c:v>
                </c:pt>
                <c:pt idx="32">
                  <c:v>116.20022495544841</c:v>
                </c:pt>
                <c:pt idx="33">
                  <c:v>126.53039520323949</c:v>
                </c:pt>
                <c:pt idx="34">
                  <c:v>160.77058330102949</c:v>
                </c:pt>
                <c:pt idx="35">
                  <c:v>228.8621705579358</c:v>
                </c:pt>
                <c:pt idx="36">
                  <c:v>123.20125067917191</c:v>
                </c:pt>
                <c:pt idx="37">
                  <c:v>117.67077903546</c:v>
                </c:pt>
                <c:pt idx="38">
                  <c:v>191.50807173506701</c:v>
                </c:pt>
                <c:pt idx="39">
                  <c:v>145.70138715926041</c:v>
                </c:pt>
                <c:pt idx="40">
                  <c:v>149.4185612445558</c:v>
                </c:pt>
                <c:pt idx="41">
                  <c:v>194.71103409481981</c:v>
                </c:pt>
                <c:pt idx="42">
                  <c:v>239.3981525107354</c:v>
                </c:pt>
                <c:pt idx="43">
                  <c:v>419.79263722660602</c:v>
                </c:pt>
                <c:pt idx="44">
                  <c:v>310.70739927266709</c:v>
                </c:pt>
                <c:pt idx="45">
                  <c:v>125.6295598680838</c:v>
                </c:pt>
                <c:pt idx="46">
                  <c:v>131.7111886265582</c:v>
                </c:pt>
                <c:pt idx="47">
                  <c:v>282.82379374207261</c:v>
                </c:pt>
                <c:pt idx="48">
                  <c:v>138.52998868426329</c:v>
                </c:pt>
                <c:pt idx="49">
                  <c:v>109.87697572135031</c:v>
                </c:pt>
                <c:pt idx="50">
                  <c:v>93.774190940695377</c:v>
                </c:pt>
                <c:pt idx="51">
                  <c:v>76.25042822265543</c:v>
                </c:pt>
                <c:pt idx="52">
                  <c:v>50.543487760082613</c:v>
                </c:pt>
                <c:pt idx="53">
                  <c:v>74.888982776218057</c:v>
                </c:pt>
                <c:pt idx="54">
                  <c:v>52.095599438463452</c:v>
                </c:pt>
                <c:pt idx="55">
                  <c:v>74.180426039978187</c:v>
                </c:pt>
                <c:pt idx="56">
                  <c:v>68.116869623396937</c:v>
                </c:pt>
                <c:pt idx="57">
                  <c:v>50.539090519702853</c:v>
                </c:pt>
                <c:pt idx="58">
                  <c:v>90.680805562425178</c:v>
                </c:pt>
                <c:pt idx="59">
                  <c:v>63.455327688788032</c:v>
                </c:pt>
                <c:pt idx="60">
                  <c:v>78.571316441678306</c:v>
                </c:pt>
                <c:pt idx="61">
                  <c:v>59.479486768055089</c:v>
                </c:pt>
                <c:pt idx="62">
                  <c:v>51.269783241554933</c:v>
                </c:pt>
                <c:pt idx="63">
                  <c:v>49.383940562011212</c:v>
                </c:pt>
                <c:pt idx="64">
                  <c:v>35.894148271408874</c:v>
                </c:pt>
                <c:pt idx="65">
                  <c:v>47.037633727397647</c:v>
                </c:pt>
                <c:pt idx="66">
                  <c:v>42.521773223099522</c:v>
                </c:pt>
                <c:pt idx="67">
                  <c:v>52.17121747504909</c:v>
                </c:pt>
                <c:pt idx="68">
                  <c:v>45.647504626217007</c:v>
                </c:pt>
                <c:pt idx="69">
                  <c:v>58.441583787091993</c:v>
                </c:pt>
                <c:pt idx="70">
                  <c:v>97.582352616331917</c:v>
                </c:pt>
                <c:pt idx="71">
                  <c:v>92.073217693833982</c:v>
                </c:pt>
                <c:pt idx="72">
                  <c:v>111.1945655985155</c:v>
                </c:pt>
                <c:pt idx="73">
                  <c:v>105.41315973788279</c:v>
                </c:pt>
                <c:pt idx="74">
                  <c:v>57.84566339627056</c:v>
                </c:pt>
                <c:pt idx="75">
                  <c:v>45.844395770687349</c:v>
                </c:pt>
                <c:pt idx="76">
                  <c:v>40.065667394009381</c:v>
                </c:pt>
                <c:pt idx="77">
                  <c:v>33.493381965196598</c:v>
                </c:pt>
                <c:pt idx="78">
                  <c:v>61.32224821093979</c:v>
                </c:pt>
                <c:pt idx="79">
                  <c:v>47.755824567457559</c:v>
                </c:pt>
                <c:pt idx="80">
                  <c:v>49.429094996057238</c:v>
                </c:pt>
                <c:pt idx="81">
                  <c:v>74.266634537895257</c:v>
                </c:pt>
                <c:pt idx="82">
                  <c:v>95.564531802521344</c:v>
                </c:pt>
                <c:pt idx="83">
                  <c:v>80.958034242780258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0B5-1040-8FCB-2AB59C28B766}"/>
            </c:ext>
          </c:extLst>
        </c:ser>
        <c:ser>
          <c:idx val="1"/>
          <c:order val="1"/>
          <c:tx>
            <c:strRef>
              <c:f>'Capture Price Inputs'!$I$1</c:f>
              <c:strCache>
                <c:ptCount val="1"/>
                <c:pt idx="0">
                  <c:v>DK2 Capture Price (EUR/MWh)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'Capture Price Inputs'!$I$2:$I$85</c:f>
              <c:numCache>
                <c:formatCode>General</c:formatCode>
                <c:ptCount val="84"/>
                <c:pt idx="12">
                  <c:v>29.86213642213642</c:v>
                </c:pt>
                <c:pt idx="13">
                  <c:v>23.555517829721889</c:v>
                </c:pt>
                <c:pt idx="14">
                  <c:v>17.149050692261021</c:v>
                </c:pt>
                <c:pt idx="15">
                  <c:v>13.252523128367081</c:v>
                </c:pt>
                <c:pt idx="16">
                  <c:v>18.594049382716051</c:v>
                </c:pt>
                <c:pt idx="17">
                  <c:v>35.21078005032583</c:v>
                </c:pt>
                <c:pt idx="18">
                  <c:v>26.450778046867001</c:v>
                </c:pt>
                <c:pt idx="19">
                  <c:v>44.113765015404859</c:v>
                </c:pt>
                <c:pt idx="20">
                  <c:v>41.853047880870562</c:v>
                </c:pt>
                <c:pt idx="21">
                  <c:v>33.600878372903331</c:v>
                </c:pt>
                <c:pt idx="22">
                  <c:v>37.749765625000002</c:v>
                </c:pt>
                <c:pt idx="23">
                  <c:v>44.191428571428567</c:v>
                </c:pt>
                <c:pt idx="24">
                  <c:v>57.072134410081453</c:v>
                </c:pt>
                <c:pt idx="25">
                  <c:v>52.285083654524577</c:v>
                </c:pt>
                <c:pt idx="26">
                  <c:v>47.422643011897812</c:v>
                </c:pt>
                <c:pt idx="27">
                  <c:v>45.901363748248833</c:v>
                </c:pt>
                <c:pt idx="28">
                  <c:v>50.258720231460799</c:v>
                </c:pt>
                <c:pt idx="29">
                  <c:v>69.469341653776226</c:v>
                </c:pt>
                <c:pt idx="30">
                  <c:v>77.933111551394319</c:v>
                </c:pt>
                <c:pt idx="31">
                  <c:v>84.512747690257029</c:v>
                </c:pt>
                <c:pt idx="32">
                  <c:v>118.7457227855615</c:v>
                </c:pt>
                <c:pt idx="33">
                  <c:v>122.3841235967906</c:v>
                </c:pt>
                <c:pt idx="34">
                  <c:v>153.62679427815749</c:v>
                </c:pt>
                <c:pt idx="35">
                  <c:v>244.48727859764409</c:v>
                </c:pt>
                <c:pt idx="36">
                  <c:v>129.67749023150819</c:v>
                </c:pt>
                <c:pt idx="37">
                  <c:v>108.80333899256409</c:v>
                </c:pt>
                <c:pt idx="38">
                  <c:v>186.0504424586062</c:v>
                </c:pt>
                <c:pt idx="39">
                  <c:v>143.53758886421849</c:v>
                </c:pt>
                <c:pt idx="40">
                  <c:v>146.25360234460331</c:v>
                </c:pt>
                <c:pt idx="41">
                  <c:v>192.2325905808319</c:v>
                </c:pt>
                <c:pt idx="42">
                  <c:v>212.3625858003895</c:v>
                </c:pt>
                <c:pt idx="43">
                  <c:v>397.17988485976059</c:v>
                </c:pt>
                <c:pt idx="44">
                  <c:v>315.92884279677901</c:v>
                </c:pt>
                <c:pt idx="45">
                  <c:v>120.1190076327392</c:v>
                </c:pt>
                <c:pt idx="46">
                  <c:v>134.0399027878758</c:v>
                </c:pt>
                <c:pt idx="47">
                  <c:v>303.26978481668573</c:v>
                </c:pt>
                <c:pt idx="48">
                  <c:v>120.8992864784306</c:v>
                </c:pt>
                <c:pt idx="49">
                  <c:v>103.112625406295</c:v>
                </c:pt>
                <c:pt idx="50">
                  <c:v>89.098468921641697</c:v>
                </c:pt>
                <c:pt idx="51">
                  <c:v>71.125099705594195</c:v>
                </c:pt>
                <c:pt idx="52">
                  <c:v>48.358083796456327</c:v>
                </c:pt>
                <c:pt idx="53">
                  <c:v>71.862090372222397</c:v>
                </c:pt>
                <c:pt idx="54">
                  <c:v>50.345966617092351</c:v>
                </c:pt>
                <c:pt idx="55">
                  <c:v>72.957992347987414</c:v>
                </c:pt>
                <c:pt idx="56">
                  <c:v>64.394484672464898</c:v>
                </c:pt>
                <c:pt idx="57">
                  <c:v>47.660255094286853</c:v>
                </c:pt>
                <c:pt idx="58">
                  <c:v>84.639978605265995</c:v>
                </c:pt>
                <c:pt idx="59">
                  <c:v>59.061746333079718</c:v>
                </c:pt>
                <c:pt idx="60">
                  <c:v>76.427202535219209</c:v>
                </c:pt>
                <c:pt idx="61">
                  <c:v>51.434379196547752</c:v>
                </c:pt>
                <c:pt idx="62">
                  <c:v>50.751163813053438</c:v>
                </c:pt>
                <c:pt idx="63">
                  <c:v>47.053967904827999</c:v>
                </c:pt>
                <c:pt idx="64">
                  <c:v>34.295794113692892</c:v>
                </c:pt>
                <c:pt idx="65">
                  <c:v>46.379384034583367</c:v>
                </c:pt>
                <c:pt idx="66">
                  <c:v>38.812821969471173</c:v>
                </c:pt>
                <c:pt idx="67">
                  <c:v>47.151863118292532</c:v>
                </c:pt>
                <c:pt idx="68">
                  <c:v>43.355946350842189</c:v>
                </c:pt>
                <c:pt idx="69">
                  <c:v>59.534937630286556</c:v>
                </c:pt>
                <c:pt idx="70">
                  <c:v>89.611277477917284</c:v>
                </c:pt>
                <c:pt idx="71">
                  <c:v>100.7961313991171</c:v>
                </c:pt>
                <c:pt idx="72">
                  <c:v>115.0822593270056</c:v>
                </c:pt>
                <c:pt idx="73">
                  <c:v>106.92318207316821</c:v>
                </c:pt>
                <c:pt idx="74">
                  <c:v>50.018062961268747</c:v>
                </c:pt>
                <c:pt idx="75">
                  <c:v>41.82584156307518</c:v>
                </c:pt>
                <c:pt idx="76">
                  <c:v>34.320660344591218</c:v>
                </c:pt>
                <c:pt idx="77">
                  <c:v>24.31568572006325</c:v>
                </c:pt>
                <c:pt idx="78">
                  <c:v>59.766943882147693</c:v>
                </c:pt>
                <c:pt idx="79">
                  <c:v>43.064604783544858</c:v>
                </c:pt>
                <c:pt idx="80">
                  <c:v>52.949405153808357</c:v>
                </c:pt>
                <c:pt idx="81">
                  <c:v>78.645730322406678</c:v>
                </c:pt>
                <c:pt idx="82">
                  <c:v>92.690454871532665</c:v>
                </c:pt>
                <c:pt idx="83">
                  <c:v>79.631228022083661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0B5-1040-8FCB-2AB59C28B7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Capture Price Ratio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Inputs'!$J$1</c:f>
              <c:strCache>
                <c:ptCount val="1"/>
                <c:pt idx="0">
                  <c:v>DK1 CPR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Inputs'!$J$2:$J$85</c:f>
              <c:numCache>
                <c:formatCode>General</c:formatCode>
                <c:ptCount val="84"/>
                <c:pt idx="12">
                  <c:v>1.0091486594474419</c:v>
                </c:pt>
                <c:pt idx="13">
                  <c:v>1.2985911686950511</c:v>
                </c:pt>
                <c:pt idx="14">
                  <c:v>0.8710146939215303</c:v>
                </c:pt>
                <c:pt idx="15">
                  <c:v>0.71315772558819213</c:v>
                </c:pt>
                <c:pt idx="16">
                  <c:v>0.96415576931205649</c:v>
                </c:pt>
                <c:pt idx="17">
                  <c:v>1.0394664137310941</c:v>
                </c:pt>
                <c:pt idx="18">
                  <c:v>1.0086181556608309</c:v>
                </c:pt>
                <c:pt idx="19">
                  <c:v>0.98082264407500741</c:v>
                </c:pt>
                <c:pt idx="20">
                  <c:v>1.0104044869130051</c:v>
                </c:pt>
                <c:pt idx="21">
                  <c:v>1.236802226812374</c:v>
                </c:pt>
                <c:pt idx="22">
                  <c:v>1.094777917215692</c:v>
                </c:pt>
                <c:pt idx="23">
                  <c:v>1.0082301641826621</c:v>
                </c:pt>
                <c:pt idx="24">
                  <c:v>1.103930861568265</c:v>
                </c:pt>
                <c:pt idx="25">
                  <c:v>1.0059479277054251</c:v>
                </c:pt>
                <c:pt idx="26">
                  <c:v>0.9871758725122356</c:v>
                </c:pt>
                <c:pt idx="27">
                  <c:v>0.90884647456650169</c:v>
                </c:pt>
                <c:pt idx="28">
                  <c:v>0.87751805187154364</c:v>
                </c:pt>
                <c:pt idx="29">
                  <c:v>0.95691427953473174</c:v>
                </c:pt>
                <c:pt idx="30">
                  <c:v>0.98211323715969778</c:v>
                </c:pt>
                <c:pt idx="31">
                  <c:v>0.99027147802450566</c:v>
                </c:pt>
                <c:pt idx="32">
                  <c:v>0.92690440483613579</c:v>
                </c:pt>
                <c:pt idx="33">
                  <c:v>1.0810885074134391</c:v>
                </c:pt>
                <c:pt idx="34">
                  <c:v>1.1338034085044659</c:v>
                </c:pt>
                <c:pt idx="35">
                  <c:v>1.2086769624549281</c:v>
                </c:pt>
                <c:pt idx="36">
                  <c:v>1.0441257304277269</c:v>
                </c:pt>
                <c:pt idx="37">
                  <c:v>1.04022281700981</c:v>
                </c:pt>
                <c:pt idx="38">
                  <c:v>0.81207759044207406</c:v>
                </c:pt>
                <c:pt idx="39">
                  <c:v>0.89039133384678326</c:v>
                </c:pt>
                <c:pt idx="40">
                  <c:v>0.86943016050498578</c:v>
                </c:pt>
                <c:pt idx="41">
                  <c:v>0.90803902012341908</c:v>
                </c:pt>
                <c:pt idx="42">
                  <c:v>0.87041791592949547</c:v>
                </c:pt>
                <c:pt idx="43">
                  <c:v>0.91908553046700026</c:v>
                </c:pt>
                <c:pt idx="44">
                  <c:v>0.90632901805683119</c:v>
                </c:pt>
                <c:pt idx="45">
                  <c:v>0.91612325253961768</c:v>
                </c:pt>
                <c:pt idx="46">
                  <c:v>0.94278612074660006</c:v>
                </c:pt>
                <c:pt idx="47">
                  <c:v>1.132810339248927</c:v>
                </c:pt>
                <c:pt idx="48">
                  <c:v>1.2309198691226539</c:v>
                </c:pt>
                <c:pt idx="49">
                  <c:v>0.93008781340266</c:v>
                </c:pt>
                <c:pt idx="50">
                  <c:v>0.94612539759598957</c:v>
                </c:pt>
                <c:pt idx="51">
                  <c:v>0.79203966120386338</c:v>
                </c:pt>
                <c:pt idx="52">
                  <c:v>0.68333610561519953</c:v>
                </c:pt>
                <c:pt idx="53">
                  <c:v>0.80965062086215667</c:v>
                </c:pt>
                <c:pt idx="54">
                  <c:v>0.80380421953260928</c:v>
                </c:pt>
                <c:pt idx="55">
                  <c:v>0.86289309777204071</c:v>
                </c:pt>
                <c:pt idx="56">
                  <c:v>0.8038389922187259</c:v>
                </c:pt>
                <c:pt idx="57">
                  <c:v>0.84083605560542263</c:v>
                </c:pt>
                <c:pt idx="58">
                  <c:v>1.028656893611996</c:v>
                </c:pt>
                <c:pt idx="59">
                  <c:v>0.91325607762876626</c:v>
                </c:pt>
                <c:pt idx="60">
                  <c:v>1.051614630458469</c:v>
                </c:pt>
                <c:pt idx="61">
                  <c:v>1.0144208291794441</c:v>
                </c:pt>
                <c:pt idx="62">
                  <c:v>0.8373818542217274</c:v>
                </c:pt>
                <c:pt idx="63">
                  <c:v>0.83468460161643787</c:v>
                </c:pt>
                <c:pt idx="64">
                  <c:v>0.61339845366508694</c:v>
                </c:pt>
                <c:pt idx="65">
                  <c:v>0.73781003223868646</c:v>
                </c:pt>
                <c:pt idx="66">
                  <c:v>0.68549949487061801</c:v>
                </c:pt>
                <c:pt idx="67">
                  <c:v>0.71512676219349525</c:v>
                </c:pt>
                <c:pt idx="68">
                  <c:v>0.63652522303957304</c:v>
                </c:pt>
                <c:pt idx="69">
                  <c:v>0.76175188075929667</c:v>
                </c:pt>
                <c:pt idx="70">
                  <c:v>1.0174940038611719</c:v>
                </c:pt>
                <c:pt idx="71">
                  <c:v>1.0025674160411211</c:v>
                </c:pt>
                <c:pt idx="72">
                  <c:v>1.135032584901597</c:v>
                </c:pt>
                <c:pt idx="73">
                  <c:v>0.93411665141872979</c:v>
                </c:pt>
                <c:pt idx="74">
                  <c:v>0.68579081688022481</c:v>
                </c:pt>
                <c:pt idx="75">
                  <c:v>0.60995353561832499</c:v>
                </c:pt>
                <c:pt idx="76">
                  <c:v>0.62375117423189408</c:v>
                </c:pt>
                <c:pt idx="77">
                  <c:v>0.56976432128633303</c:v>
                </c:pt>
                <c:pt idx="78">
                  <c:v>0.74058967108380014</c:v>
                </c:pt>
                <c:pt idx="79">
                  <c:v>0.64997112344594554</c:v>
                </c:pt>
                <c:pt idx="80">
                  <c:v>0.68273474898658593</c:v>
                </c:pt>
                <c:pt idx="81">
                  <c:v>0.94701517193480578</c:v>
                </c:pt>
                <c:pt idx="82">
                  <c:v>1.0289764309560969</c:v>
                </c:pt>
                <c:pt idx="83">
                  <c:v>0.98205388617926037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6C-304D-8302-B267780F0F8B}"/>
            </c:ext>
          </c:extLst>
        </c:ser>
        <c:ser>
          <c:idx val="1"/>
          <c:order val="1"/>
          <c:tx>
            <c:strRef>
              <c:f>'Capture Price Inputs'!$K$1</c:f>
              <c:strCache>
                <c:ptCount val="1"/>
                <c:pt idx="0">
                  <c:v>DK2 CPR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'Capture Price Inputs'!$K$2:$K$85</c:f>
              <c:numCache>
                <c:formatCode>General</c:formatCode>
                <c:ptCount val="84"/>
                <c:pt idx="12">
                  <c:v>1.090446324793763</c:v>
                </c:pt>
                <c:pt idx="13">
                  <c:v>1.251821301318464</c:v>
                </c:pt>
                <c:pt idx="14">
                  <c:v>0.85520775851277109</c:v>
                </c:pt>
                <c:pt idx="15">
                  <c:v>0.76362023547871605</c:v>
                </c:pt>
                <c:pt idx="16">
                  <c:v>0.97636938233545278</c:v>
                </c:pt>
                <c:pt idx="17">
                  <c:v>1.180647007173951</c:v>
                </c:pt>
                <c:pt idx="18">
                  <c:v>1.021791049952987</c:v>
                </c:pt>
                <c:pt idx="19">
                  <c:v>1.077948442472481</c:v>
                </c:pt>
                <c:pt idx="20">
                  <c:v>1.0591890923358069</c:v>
                </c:pt>
                <c:pt idx="21">
                  <c:v>1.247549053102559</c:v>
                </c:pt>
                <c:pt idx="22">
                  <c:v>1.057080411727209</c:v>
                </c:pt>
                <c:pt idx="23">
                  <c:v>1.125691191699302</c:v>
                </c:pt>
                <c:pt idx="24">
                  <c:v>1.122164979814525</c:v>
                </c:pt>
                <c:pt idx="25">
                  <c:v>0.9585139857498034</c:v>
                </c:pt>
                <c:pt idx="26">
                  <c:v>1.0147741726503949</c:v>
                </c:pt>
                <c:pt idx="27">
                  <c:v>0.95901643664766134</c:v>
                </c:pt>
                <c:pt idx="28">
                  <c:v>0.91033887361171206</c:v>
                </c:pt>
                <c:pt idx="29">
                  <c:v>0.94404491874816343</c:v>
                </c:pt>
                <c:pt idx="30">
                  <c:v>0.95692856904650769</c:v>
                </c:pt>
                <c:pt idx="31">
                  <c:v>1.001768528067071</c:v>
                </c:pt>
                <c:pt idx="32">
                  <c:v>0.95838336990944806</c:v>
                </c:pt>
                <c:pt idx="33">
                  <c:v>1.1445012658471321</c:v>
                </c:pt>
                <c:pt idx="34">
                  <c:v>1.1264608571418011</c:v>
                </c:pt>
                <c:pt idx="35">
                  <c:v>1.279578427053047</c:v>
                </c:pt>
                <c:pt idx="36">
                  <c:v>1.1617546523412821</c:v>
                </c:pt>
                <c:pt idx="37">
                  <c:v>1.084871924613185</c:v>
                </c:pt>
                <c:pt idx="38">
                  <c:v>0.81629582758371144</c:v>
                </c:pt>
                <c:pt idx="39">
                  <c:v>0.93918048773921026</c:v>
                </c:pt>
                <c:pt idx="40">
                  <c:v>0.89914563143311954</c:v>
                </c:pt>
                <c:pt idx="41">
                  <c:v>0.90151367457475784</c:v>
                </c:pt>
                <c:pt idx="42">
                  <c:v>0.90956244496775596</c:v>
                </c:pt>
                <c:pt idx="43">
                  <c:v>0.8830756108422062</c:v>
                </c:pt>
                <c:pt idx="44">
                  <c:v>0.96085369829588263</c:v>
                </c:pt>
                <c:pt idx="45">
                  <c:v>0.87743541957368609</c:v>
                </c:pt>
                <c:pt idx="46">
                  <c:v>0.92404474391789948</c:v>
                </c:pt>
                <c:pt idx="47">
                  <c:v>1.2185280560697289</c:v>
                </c:pt>
                <c:pt idx="48">
                  <c:v>1.2118663236304299</c:v>
                </c:pt>
                <c:pt idx="49">
                  <c:v>1.0244781228159621</c:v>
                </c:pt>
                <c:pt idx="50">
                  <c:v>0.99223631219701203</c:v>
                </c:pt>
                <c:pt idx="51">
                  <c:v>0.85025873478203906</c:v>
                </c:pt>
                <c:pt idx="52">
                  <c:v>0.73101748270540212</c:v>
                </c:pt>
                <c:pt idx="53">
                  <c:v>0.78603819917365525</c:v>
                </c:pt>
                <c:pt idx="54">
                  <c:v>0.77170348712471282</c:v>
                </c:pt>
                <c:pt idx="55">
                  <c:v>0.84546104105698361</c:v>
                </c:pt>
                <c:pt idx="56">
                  <c:v>0.75329173308453345</c:v>
                </c:pt>
                <c:pt idx="57">
                  <c:v>0.83723449033464103</c:v>
                </c:pt>
                <c:pt idx="58">
                  <c:v>1.038705241708771</c:v>
                </c:pt>
                <c:pt idx="59">
                  <c:v>0.83326707575628478</c:v>
                </c:pt>
                <c:pt idx="60">
                  <c:v>0.97714487510792902</c:v>
                </c:pt>
                <c:pt idx="61">
                  <c:v>0.93991726033346112</c:v>
                </c:pt>
                <c:pt idx="62">
                  <c:v>0.8314293202728863</c:v>
                </c:pt>
                <c:pt idx="63">
                  <c:v>0.77805107456374178</c:v>
                </c:pt>
                <c:pt idx="64">
                  <c:v>0.59005563427075769</c:v>
                </c:pt>
                <c:pt idx="65">
                  <c:v>0.69439585691141426</c:v>
                </c:pt>
                <c:pt idx="66">
                  <c:v>0.61762838453946423</c:v>
                </c:pt>
                <c:pt idx="67">
                  <c:v>0.64934714792296455</c:v>
                </c:pt>
                <c:pt idx="68">
                  <c:v>0.61574801135475132</c:v>
                </c:pt>
                <c:pt idx="69">
                  <c:v>0.78000735067931948</c:v>
                </c:pt>
                <c:pt idx="70">
                  <c:v>0.94047799551015088</c:v>
                </c:pt>
                <c:pt idx="71">
                  <c:v>1.0870067185479459</c:v>
                </c:pt>
                <c:pt idx="72">
                  <c:v>1.1494003648079021</c:v>
                </c:pt>
                <c:pt idx="73">
                  <c:v>0.90662384271333907</c:v>
                </c:pt>
                <c:pt idx="74">
                  <c:v>0.60374116471580297</c:v>
                </c:pt>
                <c:pt idx="75">
                  <c:v>0.55174367988103734</c:v>
                </c:pt>
                <c:pt idx="76">
                  <c:v>0.54405946330729504</c:v>
                </c:pt>
                <c:pt idx="77">
                  <c:v>0.4307606652121766</c:v>
                </c:pt>
                <c:pt idx="78">
                  <c:v>0.74746341861966192</c:v>
                </c:pt>
                <c:pt idx="79">
                  <c:v>0.57178942343359873</c:v>
                </c:pt>
                <c:pt idx="80">
                  <c:v>0.63573160083367797</c:v>
                </c:pt>
                <c:pt idx="81">
                  <c:v>0.95480840081563045</c:v>
                </c:pt>
                <c:pt idx="82">
                  <c:v>0.98927251294969987</c:v>
                </c:pt>
                <c:pt idx="83">
                  <c:v>0.97014796253594149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6C-304D-8302-B267780F0F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CPR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Solar Penetration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Inputs'!$F$1</c:f>
              <c:strCache>
                <c:ptCount val="1"/>
                <c:pt idx="0">
                  <c:v>DK1 Solar Penetration (%) — Primary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'Capture Price Inputs'!$F$2:$F$85</c:f>
              <c:numCache>
                <c:formatCode>General</c:formatCode>
                <c:ptCount val="84"/>
                <c:pt idx="12">
                  <c:v>2.2644478926294831E-3</c:v>
                </c:pt>
                <c:pt idx="13">
                  <c:v>5.2474520244822449E-3</c:v>
                </c:pt>
                <c:pt idx="14">
                  <c:v>2.020167759412729E-2</c:v>
                </c:pt>
                <c:pt idx="15">
                  <c:v>3.2427989612304697E-2</c:v>
                </c:pt>
                <c:pt idx="16">
                  <c:v>3.6080087237903569E-2</c:v>
                </c:pt>
                <c:pt idx="17">
                  <c:v>3.7413618831640891E-2</c:v>
                </c:pt>
                <c:pt idx="18">
                  <c:v>3.3998433859503921E-2</c:v>
                </c:pt>
                <c:pt idx="19">
                  <c:v>3.4224763142537661E-2</c:v>
                </c:pt>
                <c:pt idx="20">
                  <c:v>2.4330151939157239E-2</c:v>
                </c:pt>
                <c:pt idx="21">
                  <c:v>1.1490387549446779E-2</c:v>
                </c:pt>
                <c:pt idx="22">
                  <c:v>1.521101274151999E-4</c:v>
                </c:pt>
                <c:pt idx="23">
                  <c:v>1.472410662127807E-5</c:v>
                </c:pt>
                <c:pt idx="24">
                  <c:v>3.6313559990350909E-3</c:v>
                </c:pt>
                <c:pt idx="25">
                  <c:v>1.0868941718057299E-2</c:v>
                </c:pt>
                <c:pt idx="26">
                  <c:v>2.2382303907371628E-2</c:v>
                </c:pt>
                <c:pt idx="27">
                  <c:v>4.212837115783985E-2</c:v>
                </c:pt>
                <c:pt idx="28">
                  <c:v>3.3075052211960353E-2</c:v>
                </c:pt>
                <c:pt idx="29">
                  <c:v>4.9841661821819518E-2</c:v>
                </c:pt>
                <c:pt idx="30">
                  <c:v>4.85715434854639E-2</c:v>
                </c:pt>
                <c:pt idx="31">
                  <c:v>3.8876947944708702E-2</c:v>
                </c:pt>
                <c:pt idx="32">
                  <c:v>2.5932850179436289E-2</c:v>
                </c:pt>
                <c:pt idx="33">
                  <c:v>1.7460096431489061E-2</c:v>
                </c:pt>
                <c:pt idx="34">
                  <c:v>7.0293060058135041E-3</c:v>
                </c:pt>
                <c:pt idx="35">
                  <c:v>3.243365391886713E-3</c:v>
                </c:pt>
                <c:pt idx="36">
                  <c:v>6.6753155472480874E-3</c:v>
                </c:pt>
                <c:pt idx="37">
                  <c:v>1.7399571233002901E-2</c:v>
                </c:pt>
                <c:pt idx="38">
                  <c:v>6.1955070586442867E-2</c:v>
                </c:pt>
                <c:pt idx="39">
                  <c:v>8.404056603836467E-2</c:v>
                </c:pt>
                <c:pt idx="40">
                  <c:v>9.6876891420316108E-2</c:v>
                </c:pt>
                <c:pt idx="41">
                  <c:v>9.4962020744311482E-2</c:v>
                </c:pt>
                <c:pt idx="42">
                  <c:v>9.963556652585577E-2</c:v>
                </c:pt>
                <c:pt idx="43">
                  <c:v>8.9626978325266782E-2</c:v>
                </c:pt>
                <c:pt idx="44">
                  <c:v>6.6046498591704736E-2</c:v>
                </c:pt>
                <c:pt idx="45">
                  <c:v>3.7469414477654707E-2</c:v>
                </c:pt>
                <c:pt idx="46">
                  <c:v>1.046932675470221E-2</c:v>
                </c:pt>
                <c:pt idx="47">
                  <c:v>6.2291646451968653E-3</c:v>
                </c:pt>
                <c:pt idx="48">
                  <c:v>1.2460694276862919E-2</c:v>
                </c:pt>
                <c:pt idx="49">
                  <c:v>3.4376404191763639E-2</c:v>
                </c:pt>
                <c:pt idx="50">
                  <c:v>5.6477968577058592E-2</c:v>
                </c:pt>
                <c:pt idx="51">
                  <c:v>0.1509467292684683</c:v>
                </c:pt>
                <c:pt idx="52">
                  <c:v>0.18600333743842001</c:v>
                </c:pt>
                <c:pt idx="53">
                  <c:v>0.21892573712946101</c:v>
                </c:pt>
                <c:pt idx="54">
                  <c:v>0.18929524056345021</c:v>
                </c:pt>
                <c:pt idx="55">
                  <c:v>0.1493297980639493</c:v>
                </c:pt>
                <c:pt idx="56">
                  <c:v>0.13191654386548721</c:v>
                </c:pt>
                <c:pt idx="57">
                  <c:v>4.2864886456730103E-2</c:v>
                </c:pt>
                <c:pt idx="58">
                  <c:v>1.6003493537152379E-2</c:v>
                </c:pt>
                <c:pt idx="59">
                  <c:v>6.3905046726965339E-3</c:v>
                </c:pt>
                <c:pt idx="60">
                  <c:v>1.3417186050607519E-2</c:v>
                </c:pt>
                <c:pt idx="61">
                  <c:v>2.6436223837926501E-2</c:v>
                </c:pt>
                <c:pt idx="62">
                  <c:v>6.6233973400350477E-2</c:v>
                </c:pt>
                <c:pt idx="63">
                  <c:v>0.1084169878649764</c:v>
                </c:pt>
                <c:pt idx="64">
                  <c:v>0.18887031649880051</c:v>
                </c:pt>
                <c:pt idx="65">
                  <c:v>0.1715230569234828</c:v>
                </c:pt>
                <c:pt idx="66">
                  <c:v>0.1809062055635286</c:v>
                </c:pt>
                <c:pt idx="67">
                  <c:v>0.15512153111725799</c:v>
                </c:pt>
                <c:pt idx="68">
                  <c:v>0.1275567235314205</c:v>
                </c:pt>
                <c:pt idx="69">
                  <c:v>6.2873767847415107E-2</c:v>
                </c:pt>
                <c:pt idx="70">
                  <c:v>1.780902737610289E-2</c:v>
                </c:pt>
                <c:pt idx="71">
                  <c:v>6.7857975683456679E-3</c:v>
                </c:pt>
                <c:pt idx="72">
                  <c:v>1.366055484422285E-2</c:v>
                </c:pt>
                <c:pt idx="73">
                  <c:v>4.3419934817177687E-2</c:v>
                </c:pt>
                <c:pt idx="74">
                  <c:v>0.1120694547038418</c:v>
                </c:pt>
                <c:pt idx="75">
                  <c:v>0.14827548756052711</c:v>
                </c:pt>
                <c:pt idx="76">
                  <c:v>0.19244468175967161</c:v>
                </c:pt>
                <c:pt idx="77">
                  <c:v>0.18784829238523279</c:v>
                </c:pt>
                <c:pt idx="78">
                  <c:v>0.21828188848241209</c:v>
                </c:pt>
                <c:pt idx="79">
                  <c:v>0.19011684012808119</c:v>
                </c:pt>
                <c:pt idx="80">
                  <c:v>0.13816152724517919</c:v>
                </c:pt>
                <c:pt idx="81">
                  <c:v>6.9462071202051626E-2</c:v>
                </c:pt>
                <c:pt idx="82">
                  <c:v>2.6604970402147529E-2</c:v>
                </c:pt>
                <c:pt idx="83">
                  <c:v>1.40253486520015E-2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DA6-684E-BE9B-594A5B5D7F66}"/>
            </c:ext>
          </c:extLst>
        </c:ser>
        <c:ser>
          <c:idx val="1"/>
          <c:order val="1"/>
          <c:tx>
            <c:strRef>
              <c:f>'Capture Price Inputs'!$G$1</c:f>
              <c:strCache>
                <c:ptCount val="1"/>
                <c:pt idx="0">
                  <c:v>DK2 Solar Penetration (%) — Robustness</c:v>
                </c:pt>
              </c:strCache>
            </c:strRef>
          </c:tx>
          <c:spPr>
            <a:ln>
              <a:solidFill>
                <a:srgbClr val="FFD700"/>
              </a:solidFill>
              <a:prstDash val="solid"/>
            </a:ln>
          </c:spPr>
          <c:marker>
            <c:symbol val="none"/>
          </c:marker>
          <c:val>
            <c:numRef>
              <c:f>'Capture Price Inputs'!$G$2:$G$85</c:f>
              <c:numCache>
                <c:formatCode>General</c:formatCode>
                <c:ptCount val="84"/>
                <c:pt idx="12">
                  <c:v>1.864323044087839E-3</c:v>
                </c:pt>
                <c:pt idx="13">
                  <c:v>4.9613393448072352E-3</c:v>
                </c:pt>
                <c:pt idx="14">
                  <c:v>1.532033335337761E-2</c:v>
                </c:pt>
                <c:pt idx="15">
                  <c:v>2.6180595134545931E-2</c:v>
                </c:pt>
                <c:pt idx="16">
                  <c:v>3.2240930774166239E-2</c:v>
                </c:pt>
                <c:pt idx="17">
                  <c:v>3.0651812088155841E-2</c:v>
                </c:pt>
                <c:pt idx="18">
                  <c:v>2.998206800974695E-2</c:v>
                </c:pt>
                <c:pt idx="19">
                  <c:v>2.8034713414307081E-2</c:v>
                </c:pt>
                <c:pt idx="20">
                  <c:v>2.1736479101595249E-2</c:v>
                </c:pt>
                <c:pt idx="21">
                  <c:v>1.107911770574695E-2</c:v>
                </c:pt>
                <c:pt idx="22">
                  <c:v>1.1044611578332841E-4</c:v>
                </c:pt>
                <c:pt idx="23">
                  <c:v>5.6352433584062588E-6</c:v>
                </c:pt>
                <c:pt idx="24">
                  <c:v>3.104474131982996E-3</c:v>
                </c:pt>
                <c:pt idx="25">
                  <c:v>9.2483369487723587E-3</c:v>
                </c:pt>
                <c:pt idx="26">
                  <c:v>1.8474517045212829E-2</c:v>
                </c:pt>
                <c:pt idx="27">
                  <c:v>3.2694407483312787E-2</c:v>
                </c:pt>
                <c:pt idx="28">
                  <c:v>3.2945829294540187E-2</c:v>
                </c:pt>
                <c:pt idx="29">
                  <c:v>4.4480133140056069E-2</c:v>
                </c:pt>
                <c:pt idx="30">
                  <c:v>3.7049542537302173E-2</c:v>
                </c:pt>
                <c:pt idx="31">
                  <c:v>3.1857768834261987E-2</c:v>
                </c:pt>
                <c:pt idx="32">
                  <c:v>2.23981137027396E-2</c:v>
                </c:pt>
                <c:pt idx="33">
                  <c:v>1.267326343754744E-2</c:v>
                </c:pt>
                <c:pt idx="34">
                  <c:v>4.0132810857910267E-3</c:v>
                </c:pt>
                <c:pt idx="35">
                  <c:v>1.8226295838260991E-3</c:v>
                </c:pt>
                <c:pt idx="36">
                  <c:v>4.939556742877535E-3</c:v>
                </c:pt>
                <c:pt idx="37">
                  <c:v>1.3248485586698279E-2</c:v>
                </c:pt>
                <c:pt idx="38">
                  <c:v>3.4089330349121053E-2</c:v>
                </c:pt>
                <c:pt idx="39">
                  <c:v>5.5254436099578648E-2</c:v>
                </c:pt>
                <c:pt idx="40">
                  <c:v>6.5811459960859395E-2</c:v>
                </c:pt>
                <c:pt idx="41">
                  <c:v>6.4528229045867816E-2</c:v>
                </c:pt>
                <c:pt idx="42">
                  <c:v>6.7025803801952916E-2</c:v>
                </c:pt>
                <c:pt idx="43">
                  <c:v>6.1299924397195817E-2</c:v>
                </c:pt>
                <c:pt idx="44">
                  <c:v>4.5784276103507021E-2</c:v>
                </c:pt>
                <c:pt idx="45">
                  <c:v>2.9809058027035401E-2</c:v>
                </c:pt>
                <c:pt idx="46">
                  <c:v>7.8652952619005494E-3</c:v>
                </c:pt>
                <c:pt idx="47">
                  <c:v>4.5323555529735481E-3</c:v>
                </c:pt>
                <c:pt idx="48">
                  <c:v>5.8626527231366082E-3</c:v>
                </c:pt>
                <c:pt idx="49">
                  <c:v>1.8877648418373551E-2</c:v>
                </c:pt>
                <c:pt idx="50">
                  <c:v>3.7096229392005707E-2</c:v>
                </c:pt>
                <c:pt idx="51">
                  <c:v>8.0269966033824955E-2</c:v>
                </c:pt>
                <c:pt idx="52">
                  <c:v>0.1080032082802261</c:v>
                </c:pt>
                <c:pt idx="53">
                  <c:v>0.1144244665352921</c:v>
                </c:pt>
                <c:pt idx="54">
                  <c:v>0.10203074507159759</c:v>
                </c:pt>
                <c:pt idx="55">
                  <c:v>7.7931010532967707E-2</c:v>
                </c:pt>
                <c:pt idx="56">
                  <c:v>8.0909954639318743E-2</c:v>
                </c:pt>
                <c:pt idx="57">
                  <c:v>2.9172340215594381E-2</c:v>
                </c:pt>
                <c:pt idx="58">
                  <c:v>1.04098691216888E-2</c:v>
                </c:pt>
                <c:pt idx="59">
                  <c:v>3.809030164374855E-3</c:v>
                </c:pt>
                <c:pt idx="60">
                  <c:v>6.1781830729755079E-3</c:v>
                </c:pt>
                <c:pt idx="61">
                  <c:v>1.667231366864759E-2</c:v>
                </c:pt>
                <c:pt idx="62">
                  <c:v>4.1112806367337662E-2</c:v>
                </c:pt>
                <c:pt idx="63">
                  <c:v>6.5123378744806448E-2</c:v>
                </c:pt>
                <c:pt idx="64">
                  <c:v>0.106315341440858</c:v>
                </c:pt>
                <c:pt idx="65">
                  <c:v>0.1072729076610999</c:v>
                </c:pt>
                <c:pt idx="66">
                  <c:v>0.1057942634887733</c:v>
                </c:pt>
                <c:pt idx="67">
                  <c:v>9.3690832268705199E-2</c:v>
                </c:pt>
                <c:pt idx="68">
                  <c:v>7.2463202820400169E-2</c:v>
                </c:pt>
                <c:pt idx="69">
                  <c:v>3.6145253892379881E-2</c:v>
                </c:pt>
                <c:pt idx="70">
                  <c:v>8.6028414054236078E-3</c:v>
                </c:pt>
                <c:pt idx="71">
                  <c:v>4.1714684657767577E-3</c:v>
                </c:pt>
                <c:pt idx="72">
                  <c:v>7.223240212576967E-3</c:v>
                </c:pt>
                <c:pt idx="73">
                  <c:v>2.010831138567791E-2</c:v>
                </c:pt>
                <c:pt idx="74">
                  <c:v>4.6547866447452589E-2</c:v>
                </c:pt>
                <c:pt idx="75">
                  <c:v>7.1689783649061992E-2</c:v>
                </c:pt>
                <c:pt idx="76">
                  <c:v>9.4714127256233946E-2</c:v>
                </c:pt>
                <c:pt idx="77">
                  <c:v>9.9826250015510765E-2</c:v>
                </c:pt>
                <c:pt idx="78">
                  <c:v>9.3996419418699143E-2</c:v>
                </c:pt>
                <c:pt idx="79">
                  <c:v>0.1057378118957395</c:v>
                </c:pt>
                <c:pt idx="80">
                  <c:v>9.0628879686523764E-2</c:v>
                </c:pt>
                <c:pt idx="81">
                  <c:v>3.9573125678626628E-2</c:v>
                </c:pt>
                <c:pt idx="82">
                  <c:v>1.454364344794783E-2</c:v>
                </c:pt>
                <c:pt idx="83">
                  <c:v>9.0694911608833299E-3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DA6-684E-BE9B-594A5B5D7F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Solar Penetration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Capture Price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Inputs'!$H$1</c:f>
              <c:strCache>
                <c:ptCount val="1"/>
                <c:pt idx="0">
                  <c:v>DK1 Capture Price (EUR/MWh)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Inputs'!$H$2:$H$85</c:f>
              <c:numCache>
                <c:formatCode>General</c:formatCode>
                <c:ptCount val="84"/>
                <c:pt idx="12">
                  <c:v>25.22320957280251</c:v>
                </c:pt>
                <c:pt idx="13">
                  <c:v>22.83581899109792</c:v>
                </c:pt>
                <c:pt idx="14">
                  <c:v>15.94107348554973</c:v>
                </c:pt>
                <c:pt idx="15">
                  <c:v>10.36487590420421</c:v>
                </c:pt>
                <c:pt idx="16">
                  <c:v>15.478548945086001</c:v>
                </c:pt>
                <c:pt idx="17">
                  <c:v>27.313308227868689</c:v>
                </c:pt>
                <c:pt idx="18">
                  <c:v>24.831745178109159</c:v>
                </c:pt>
                <c:pt idx="19">
                  <c:v>33.876915422047851</c:v>
                </c:pt>
                <c:pt idx="20">
                  <c:v>38.935979003379593</c:v>
                </c:pt>
                <c:pt idx="21">
                  <c:v>31.927741533059191</c:v>
                </c:pt>
                <c:pt idx="22">
                  <c:v>26.005993265993261</c:v>
                </c:pt>
                <c:pt idx="23">
                  <c:v>34.795161290322582</c:v>
                </c:pt>
                <c:pt idx="24">
                  <c:v>55.422967607277918</c:v>
                </c:pt>
                <c:pt idx="25">
                  <c:v>47.542610979142587</c:v>
                </c:pt>
                <c:pt idx="26">
                  <c:v>44.550700915805493</c:v>
                </c:pt>
                <c:pt idx="27">
                  <c:v>43.594739828473003</c:v>
                </c:pt>
                <c:pt idx="28">
                  <c:v>47.655870575001217</c:v>
                </c:pt>
                <c:pt idx="29">
                  <c:v>70.543547911111062</c:v>
                </c:pt>
                <c:pt idx="30">
                  <c:v>78.568319747758608</c:v>
                </c:pt>
                <c:pt idx="31">
                  <c:v>81.983351136401794</c:v>
                </c:pt>
                <c:pt idx="32">
                  <c:v>116.20022495544841</c:v>
                </c:pt>
                <c:pt idx="33">
                  <c:v>126.53039520323949</c:v>
                </c:pt>
                <c:pt idx="34">
                  <c:v>160.77058330102949</c:v>
                </c:pt>
                <c:pt idx="35">
                  <c:v>228.8621705579358</c:v>
                </c:pt>
                <c:pt idx="36">
                  <c:v>123.20125067917191</c:v>
                </c:pt>
                <c:pt idx="37">
                  <c:v>117.67077903546</c:v>
                </c:pt>
                <c:pt idx="38">
                  <c:v>191.50807173506701</c:v>
                </c:pt>
                <c:pt idx="39">
                  <c:v>145.70138715926041</c:v>
                </c:pt>
                <c:pt idx="40">
                  <c:v>149.4185612445558</c:v>
                </c:pt>
                <c:pt idx="41">
                  <c:v>194.71103409481981</c:v>
                </c:pt>
                <c:pt idx="42">
                  <c:v>239.3981525107354</c:v>
                </c:pt>
                <c:pt idx="43">
                  <c:v>419.79263722660602</c:v>
                </c:pt>
                <c:pt idx="44">
                  <c:v>310.70739927266709</c:v>
                </c:pt>
                <c:pt idx="45">
                  <c:v>125.6295598680838</c:v>
                </c:pt>
                <c:pt idx="46">
                  <c:v>131.7111886265582</c:v>
                </c:pt>
                <c:pt idx="47">
                  <c:v>282.82379374207261</c:v>
                </c:pt>
                <c:pt idx="48">
                  <c:v>138.52998868426329</c:v>
                </c:pt>
                <c:pt idx="49">
                  <c:v>109.87697572135031</c:v>
                </c:pt>
                <c:pt idx="50">
                  <c:v>93.774190940695377</c:v>
                </c:pt>
                <c:pt idx="51">
                  <c:v>76.25042822265543</c:v>
                </c:pt>
                <c:pt idx="52">
                  <c:v>50.543487760082613</c:v>
                </c:pt>
                <c:pt idx="53">
                  <c:v>74.888982776218057</c:v>
                </c:pt>
                <c:pt idx="54">
                  <c:v>52.095599438463452</c:v>
                </c:pt>
                <c:pt idx="55">
                  <c:v>74.180426039978187</c:v>
                </c:pt>
                <c:pt idx="56">
                  <c:v>68.116869623396937</c:v>
                </c:pt>
                <c:pt idx="57">
                  <c:v>50.539090519702853</c:v>
                </c:pt>
                <c:pt idx="58">
                  <c:v>90.680805562425178</c:v>
                </c:pt>
                <c:pt idx="59">
                  <c:v>63.455327688788032</c:v>
                </c:pt>
                <c:pt idx="60">
                  <c:v>78.571316441678306</c:v>
                </c:pt>
                <c:pt idx="61">
                  <c:v>59.479486768055089</c:v>
                </c:pt>
                <c:pt idx="62">
                  <c:v>51.269783241554933</c:v>
                </c:pt>
                <c:pt idx="63">
                  <c:v>49.383940562011212</c:v>
                </c:pt>
                <c:pt idx="64">
                  <c:v>35.894148271408874</c:v>
                </c:pt>
                <c:pt idx="65">
                  <c:v>47.037633727397647</c:v>
                </c:pt>
                <c:pt idx="66">
                  <c:v>42.521773223099522</c:v>
                </c:pt>
                <c:pt idx="67">
                  <c:v>52.17121747504909</c:v>
                </c:pt>
                <c:pt idx="68">
                  <c:v>45.647504626217007</c:v>
                </c:pt>
                <c:pt idx="69">
                  <c:v>58.441583787091993</c:v>
                </c:pt>
                <c:pt idx="70">
                  <c:v>97.582352616331917</c:v>
                </c:pt>
                <c:pt idx="71">
                  <c:v>92.073217693833982</c:v>
                </c:pt>
                <c:pt idx="72">
                  <c:v>111.1945655985155</c:v>
                </c:pt>
                <c:pt idx="73">
                  <c:v>105.41315973788279</c:v>
                </c:pt>
                <c:pt idx="74">
                  <c:v>57.84566339627056</c:v>
                </c:pt>
                <c:pt idx="75">
                  <c:v>45.844395770687349</c:v>
                </c:pt>
                <c:pt idx="76">
                  <c:v>40.065667394009381</c:v>
                </c:pt>
                <c:pt idx="77">
                  <c:v>33.493381965196598</c:v>
                </c:pt>
                <c:pt idx="78">
                  <c:v>61.32224821093979</c:v>
                </c:pt>
                <c:pt idx="79">
                  <c:v>47.755824567457559</c:v>
                </c:pt>
                <c:pt idx="80">
                  <c:v>49.429094996057238</c:v>
                </c:pt>
                <c:pt idx="81">
                  <c:v>74.266634537895257</c:v>
                </c:pt>
                <c:pt idx="82">
                  <c:v>95.564531802521344</c:v>
                </c:pt>
                <c:pt idx="83">
                  <c:v>80.958034242780258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C30-AA4B-A777-0302538BE9FD}"/>
            </c:ext>
          </c:extLst>
        </c:ser>
        <c:ser>
          <c:idx val="1"/>
          <c:order val="1"/>
          <c:tx>
            <c:strRef>
              <c:f>'Capture Price Inputs'!$I$1</c:f>
              <c:strCache>
                <c:ptCount val="1"/>
                <c:pt idx="0">
                  <c:v>DK2 Capture Price (EUR/MWh)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'Capture Price Inputs'!$I$2:$I$85</c:f>
              <c:numCache>
                <c:formatCode>General</c:formatCode>
                <c:ptCount val="84"/>
                <c:pt idx="12">
                  <c:v>29.86213642213642</c:v>
                </c:pt>
                <c:pt idx="13">
                  <c:v>23.555517829721889</c:v>
                </c:pt>
                <c:pt idx="14">
                  <c:v>17.149050692261021</c:v>
                </c:pt>
                <c:pt idx="15">
                  <c:v>13.252523128367081</c:v>
                </c:pt>
                <c:pt idx="16">
                  <c:v>18.594049382716051</c:v>
                </c:pt>
                <c:pt idx="17">
                  <c:v>35.21078005032583</c:v>
                </c:pt>
                <c:pt idx="18">
                  <c:v>26.450778046867001</c:v>
                </c:pt>
                <c:pt idx="19">
                  <c:v>44.113765015404859</c:v>
                </c:pt>
                <c:pt idx="20">
                  <c:v>41.853047880870562</c:v>
                </c:pt>
                <c:pt idx="21">
                  <c:v>33.600878372903331</c:v>
                </c:pt>
                <c:pt idx="22">
                  <c:v>37.749765625000002</c:v>
                </c:pt>
                <c:pt idx="23">
                  <c:v>44.191428571428567</c:v>
                </c:pt>
                <c:pt idx="24">
                  <c:v>57.072134410081453</c:v>
                </c:pt>
                <c:pt idx="25">
                  <c:v>52.285083654524577</c:v>
                </c:pt>
                <c:pt idx="26">
                  <c:v>47.422643011897812</c:v>
                </c:pt>
                <c:pt idx="27">
                  <c:v>45.901363748248833</c:v>
                </c:pt>
                <c:pt idx="28">
                  <c:v>50.258720231460799</c:v>
                </c:pt>
                <c:pt idx="29">
                  <c:v>69.469341653776226</c:v>
                </c:pt>
                <c:pt idx="30">
                  <c:v>77.933111551394319</c:v>
                </c:pt>
                <c:pt idx="31">
                  <c:v>84.512747690257029</c:v>
                </c:pt>
                <c:pt idx="32">
                  <c:v>118.7457227855615</c:v>
                </c:pt>
                <c:pt idx="33">
                  <c:v>122.3841235967906</c:v>
                </c:pt>
                <c:pt idx="34">
                  <c:v>153.62679427815749</c:v>
                </c:pt>
                <c:pt idx="35">
                  <c:v>244.48727859764409</c:v>
                </c:pt>
                <c:pt idx="36">
                  <c:v>129.67749023150819</c:v>
                </c:pt>
                <c:pt idx="37">
                  <c:v>108.80333899256409</c:v>
                </c:pt>
                <c:pt idx="38">
                  <c:v>186.0504424586062</c:v>
                </c:pt>
                <c:pt idx="39">
                  <c:v>143.53758886421849</c:v>
                </c:pt>
                <c:pt idx="40">
                  <c:v>146.25360234460331</c:v>
                </c:pt>
                <c:pt idx="41">
                  <c:v>192.2325905808319</c:v>
                </c:pt>
                <c:pt idx="42">
                  <c:v>212.3625858003895</c:v>
                </c:pt>
                <c:pt idx="43">
                  <c:v>397.17988485976059</c:v>
                </c:pt>
                <c:pt idx="44">
                  <c:v>315.92884279677901</c:v>
                </c:pt>
                <c:pt idx="45">
                  <c:v>120.1190076327392</c:v>
                </c:pt>
                <c:pt idx="46">
                  <c:v>134.0399027878758</c:v>
                </c:pt>
                <c:pt idx="47">
                  <c:v>303.26978481668573</c:v>
                </c:pt>
                <c:pt idx="48">
                  <c:v>120.8992864784306</c:v>
                </c:pt>
                <c:pt idx="49">
                  <c:v>103.112625406295</c:v>
                </c:pt>
                <c:pt idx="50">
                  <c:v>89.098468921641697</c:v>
                </c:pt>
                <c:pt idx="51">
                  <c:v>71.125099705594195</c:v>
                </c:pt>
                <c:pt idx="52">
                  <c:v>48.358083796456327</c:v>
                </c:pt>
                <c:pt idx="53">
                  <c:v>71.862090372222397</c:v>
                </c:pt>
                <c:pt idx="54">
                  <c:v>50.345966617092351</c:v>
                </c:pt>
                <c:pt idx="55">
                  <c:v>72.957992347987414</c:v>
                </c:pt>
                <c:pt idx="56">
                  <c:v>64.394484672464898</c:v>
                </c:pt>
                <c:pt idx="57">
                  <c:v>47.660255094286853</c:v>
                </c:pt>
                <c:pt idx="58">
                  <c:v>84.639978605265995</c:v>
                </c:pt>
                <c:pt idx="59">
                  <c:v>59.061746333079718</c:v>
                </c:pt>
                <c:pt idx="60">
                  <c:v>76.427202535219209</c:v>
                </c:pt>
                <c:pt idx="61">
                  <c:v>51.434379196547752</c:v>
                </c:pt>
                <c:pt idx="62">
                  <c:v>50.751163813053438</c:v>
                </c:pt>
                <c:pt idx="63">
                  <c:v>47.053967904827999</c:v>
                </c:pt>
                <c:pt idx="64">
                  <c:v>34.295794113692892</c:v>
                </c:pt>
                <c:pt idx="65">
                  <c:v>46.379384034583367</c:v>
                </c:pt>
                <c:pt idx="66">
                  <c:v>38.812821969471173</c:v>
                </c:pt>
                <c:pt idx="67">
                  <c:v>47.151863118292532</c:v>
                </c:pt>
                <c:pt idx="68">
                  <c:v>43.355946350842189</c:v>
                </c:pt>
                <c:pt idx="69">
                  <c:v>59.534937630286556</c:v>
                </c:pt>
                <c:pt idx="70">
                  <c:v>89.611277477917284</c:v>
                </c:pt>
                <c:pt idx="71">
                  <c:v>100.7961313991171</c:v>
                </c:pt>
                <c:pt idx="72">
                  <c:v>115.0822593270056</c:v>
                </c:pt>
                <c:pt idx="73">
                  <c:v>106.92318207316821</c:v>
                </c:pt>
                <c:pt idx="74">
                  <c:v>50.018062961268747</c:v>
                </c:pt>
                <c:pt idx="75">
                  <c:v>41.82584156307518</c:v>
                </c:pt>
                <c:pt idx="76">
                  <c:v>34.320660344591218</c:v>
                </c:pt>
                <c:pt idx="77">
                  <c:v>24.31568572006325</c:v>
                </c:pt>
                <c:pt idx="78">
                  <c:v>59.766943882147693</c:v>
                </c:pt>
                <c:pt idx="79">
                  <c:v>43.064604783544858</c:v>
                </c:pt>
                <c:pt idx="80">
                  <c:v>52.949405153808357</c:v>
                </c:pt>
                <c:pt idx="81">
                  <c:v>78.645730322406678</c:v>
                </c:pt>
                <c:pt idx="82">
                  <c:v>92.690454871532665</c:v>
                </c:pt>
                <c:pt idx="83">
                  <c:v>79.631228022083661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C30-AA4B-A777-0302538BE9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Capture Price Ratio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Inputs'!$J$1</c:f>
              <c:strCache>
                <c:ptCount val="1"/>
                <c:pt idx="0">
                  <c:v>DK1 CPR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Inputs'!$J$2:$J$85</c:f>
              <c:numCache>
                <c:formatCode>General</c:formatCode>
                <c:ptCount val="84"/>
                <c:pt idx="12">
                  <c:v>1.0091486594474419</c:v>
                </c:pt>
                <c:pt idx="13">
                  <c:v>1.2985911686950511</c:v>
                </c:pt>
                <c:pt idx="14">
                  <c:v>0.8710146939215303</c:v>
                </c:pt>
                <c:pt idx="15">
                  <c:v>0.71315772558819213</c:v>
                </c:pt>
                <c:pt idx="16">
                  <c:v>0.96415576931205649</c:v>
                </c:pt>
                <c:pt idx="17">
                  <c:v>1.0394664137310941</c:v>
                </c:pt>
                <c:pt idx="18">
                  <c:v>1.0086181556608309</c:v>
                </c:pt>
                <c:pt idx="19">
                  <c:v>0.98082264407500741</c:v>
                </c:pt>
                <c:pt idx="20">
                  <c:v>1.0104044869130051</c:v>
                </c:pt>
                <c:pt idx="21">
                  <c:v>1.236802226812374</c:v>
                </c:pt>
                <c:pt idx="22">
                  <c:v>1.094777917215692</c:v>
                </c:pt>
                <c:pt idx="23">
                  <c:v>1.0082301641826621</c:v>
                </c:pt>
                <c:pt idx="24">
                  <c:v>1.103930861568265</c:v>
                </c:pt>
                <c:pt idx="25">
                  <c:v>1.0059479277054251</c:v>
                </c:pt>
                <c:pt idx="26">
                  <c:v>0.9871758725122356</c:v>
                </c:pt>
                <c:pt idx="27">
                  <c:v>0.90884647456650169</c:v>
                </c:pt>
                <c:pt idx="28">
                  <c:v>0.87751805187154364</c:v>
                </c:pt>
                <c:pt idx="29">
                  <c:v>0.95691427953473174</c:v>
                </c:pt>
                <c:pt idx="30">
                  <c:v>0.98211323715969778</c:v>
                </c:pt>
                <c:pt idx="31">
                  <c:v>0.99027147802450566</c:v>
                </c:pt>
                <c:pt idx="32">
                  <c:v>0.92690440483613579</c:v>
                </c:pt>
                <c:pt idx="33">
                  <c:v>1.0810885074134391</c:v>
                </c:pt>
                <c:pt idx="34">
                  <c:v>1.1338034085044659</c:v>
                </c:pt>
                <c:pt idx="35">
                  <c:v>1.2086769624549281</c:v>
                </c:pt>
                <c:pt idx="36">
                  <c:v>1.0441257304277269</c:v>
                </c:pt>
                <c:pt idx="37">
                  <c:v>1.04022281700981</c:v>
                </c:pt>
                <c:pt idx="38">
                  <c:v>0.81207759044207406</c:v>
                </c:pt>
                <c:pt idx="39">
                  <c:v>0.89039133384678326</c:v>
                </c:pt>
                <c:pt idx="40">
                  <c:v>0.86943016050498578</c:v>
                </c:pt>
                <c:pt idx="41">
                  <c:v>0.90803902012341908</c:v>
                </c:pt>
                <c:pt idx="42">
                  <c:v>0.87041791592949547</c:v>
                </c:pt>
                <c:pt idx="43">
                  <c:v>0.91908553046700026</c:v>
                </c:pt>
                <c:pt idx="44">
                  <c:v>0.90632901805683119</c:v>
                </c:pt>
                <c:pt idx="45">
                  <c:v>0.91612325253961768</c:v>
                </c:pt>
                <c:pt idx="46">
                  <c:v>0.94278612074660006</c:v>
                </c:pt>
                <c:pt idx="47">
                  <c:v>1.132810339248927</c:v>
                </c:pt>
                <c:pt idx="48">
                  <c:v>1.2309198691226539</c:v>
                </c:pt>
                <c:pt idx="49">
                  <c:v>0.93008781340266</c:v>
                </c:pt>
                <c:pt idx="50">
                  <c:v>0.94612539759598957</c:v>
                </c:pt>
                <c:pt idx="51">
                  <c:v>0.79203966120386338</c:v>
                </c:pt>
                <c:pt idx="52">
                  <c:v>0.68333610561519953</c:v>
                </c:pt>
                <c:pt idx="53">
                  <c:v>0.80965062086215667</c:v>
                </c:pt>
                <c:pt idx="54">
                  <c:v>0.80380421953260928</c:v>
                </c:pt>
                <c:pt idx="55">
                  <c:v>0.86289309777204071</c:v>
                </c:pt>
                <c:pt idx="56">
                  <c:v>0.8038389922187259</c:v>
                </c:pt>
                <c:pt idx="57">
                  <c:v>0.84083605560542263</c:v>
                </c:pt>
                <c:pt idx="58">
                  <c:v>1.028656893611996</c:v>
                </c:pt>
                <c:pt idx="59">
                  <c:v>0.91325607762876626</c:v>
                </c:pt>
                <c:pt idx="60">
                  <c:v>1.051614630458469</c:v>
                </c:pt>
                <c:pt idx="61">
                  <c:v>1.0144208291794441</c:v>
                </c:pt>
                <c:pt idx="62">
                  <c:v>0.8373818542217274</c:v>
                </c:pt>
                <c:pt idx="63">
                  <c:v>0.83468460161643787</c:v>
                </c:pt>
                <c:pt idx="64">
                  <c:v>0.61339845366508694</c:v>
                </c:pt>
                <c:pt idx="65">
                  <c:v>0.73781003223868646</c:v>
                </c:pt>
                <c:pt idx="66">
                  <c:v>0.68549949487061801</c:v>
                </c:pt>
                <c:pt idx="67">
                  <c:v>0.71512676219349525</c:v>
                </c:pt>
                <c:pt idx="68">
                  <c:v>0.63652522303957304</c:v>
                </c:pt>
                <c:pt idx="69">
                  <c:v>0.76175188075929667</c:v>
                </c:pt>
                <c:pt idx="70">
                  <c:v>1.0174940038611719</c:v>
                </c:pt>
                <c:pt idx="71">
                  <c:v>1.0025674160411211</c:v>
                </c:pt>
                <c:pt idx="72">
                  <c:v>1.135032584901597</c:v>
                </c:pt>
                <c:pt idx="73">
                  <c:v>0.93411665141872979</c:v>
                </c:pt>
                <c:pt idx="74">
                  <c:v>0.68579081688022481</c:v>
                </c:pt>
                <c:pt idx="75">
                  <c:v>0.60995353561832499</c:v>
                </c:pt>
                <c:pt idx="76">
                  <c:v>0.62375117423189408</c:v>
                </c:pt>
                <c:pt idx="77">
                  <c:v>0.56976432128633303</c:v>
                </c:pt>
                <c:pt idx="78">
                  <c:v>0.74058967108380014</c:v>
                </c:pt>
                <c:pt idx="79">
                  <c:v>0.64997112344594554</c:v>
                </c:pt>
                <c:pt idx="80">
                  <c:v>0.68273474898658593</c:v>
                </c:pt>
                <c:pt idx="81">
                  <c:v>0.94701517193480578</c:v>
                </c:pt>
                <c:pt idx="82">
                  <c:v>1.0289764309560969</c:v>
                </c:pt>
                <c:pt idx="83">
                  <c:v>0.98205388617926037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88F-2345-9FB5-A3220AB47E26}"/>
            </c:ext>
          </c:extLst>
        </c:ser>
        <c:ser>
          <c:idx val="1"/>
          <c:order val="1"/>
          <c:tx>
            <c:strRef>
              <c:f>'Capture Price Inputs'!$K$1</c:f>
              <c:strCache>
                <c:ptCount val="1"/>
                <c:pt idx="0">
                  <c:v>DK2 CPR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'Capture Price Inputs'!$K$2:$K$85</c:f>
              <c:numCache>
                <c:formatCode>General</c:formatCode>
                <c:ptCount val="84"/>
                <c:pt idx="12">
                  <c:v>1.090446324793763</c:v>
                </c:pt>
                <c:pt idx="13">
                  <c:v>1.251821301318464</c:v>
                </c:pt>
                <c:pt idx="14">
                  <c:v>0.85520775851277109</c:v>
                </c:pt>
                <c:pt idx="15">
                  <c:v>0.76362023547871605</c:v>
                </c:pt>
                <c:pt idx="16">
                  <c:v>0.97636938233545278</c:v>
                </c:pt>
                <c:pt idx="17">
                  <c:v>1.180647007173951</c:v>
                </c:pt>
                <c:pt idx="18">
                  <c:v>1.021791049952987</c:v>
                </c:pt>
                <c:pt idx="19">
                  <c:v>1.077948442472481</c:v>
                </c:pt>
                <c:pt idx="20">
                  <c:v>1.0591890923358069</c:v>
                </c:pt>
                <c:pt idx="21">
                  <c:v>1.247549053102559</c:v>
                </c:pt>
                <c:pt idx="22">
                  <c:v>1.057080411727209</c:v>
                </c:pt>
                <c:pt idx="23">
                  <c:v>1.125691191699302</c:v>
                </c:pt>
                <c:pt idx="24">
                  <c:v>1.122164979814525</c:v>
                </c:pt>
                <c:pt idx="25">
                  <c:v>0.9585139857498034</c:v>
                </c:pt>
                <c:pt idx="26">
                  <c:v>1.0147741726503949</c:v>
                </c:pt>
                <c:pt idx="27">
                  <c:v>0.95901643664766134</c:v>
                </c:pt>
                <c:pt idx="28">
                  <c:v>0.91033887361171206</c:v>
                </c:pt>
                <c:pt idx="29">
                  <c:v>0.94404491874816343</c:v>
                </c:pt>
                <c:pt idx="30">
                  <c:v>0.95692856904650769</c:v>
                </c:pt>
                <c:pt idx="31">
                  <c:v>1.001768528067071</c:v>
                </c:pt>
                <c:pt idx="32">
                  <c:v>0.95838336990944806</c:v>
                </c:pt>
                <c:pt idx="33">
                  <c:v>1.1445012658471321</c:v>
                </c:pt>
                <c:pt idx="34">
                  <c:v>1.1264608571418011</c:v>
                </c:pt>
                <c:pt idx="35">
                  <c:v>1.279578427053047</c:v>
                </c:pt>
                <c:pt idx="36">
                  <c:v>1.1617546523412821</c:v>
                </c:pt>
                <c:pt idx="37">
                  <c:v>1.084871924613185</c:v>
                </c:pt>
                <c:pt idx="38">
                  <c:v>0.81629582758371144</c:v>
                </c:pt>
                <c:pt idx="39">
                  <c:v>0.93918048773921026</c:v>
                </c:pt>
                <c:pt idx="40">
                  <c:v>0.89914563143311954</c:v>
                </c:pt>
                <c:pt idx="41">
                  <c:v>0.90151367457475784</c:v>
                </c:pt>
                <c:pt idx="42">
                  <c:v>0.90956244496775596</c:v>
                </c:pt>
                <c:pt idx="43">
                  <c:v>0.8830756108422062</c:v>
                </c:pt>
                <c:pt idx="44">
                  <c:v>0.96085369829588263</c:v>
                </c:pt>
                <c:pt idx="45">
                  <c:v>0.87743541957368609</c:v>
                </c:pt>
                <c:pt idx="46">
                  <c:v>0.92404474391789948</c:v>
                </c:pt>
                <c:pt idx="47">
                  <c:v>1.2185280560697289</c:v>
                </c:pt>
                <c:pt idx="48">
                  <c:v>1.2118663236304299</c:v>
                </c:pt>
                <c:pt idx="49">
                  <c:v>1.0244781228159621</c:v>
                </c:pt>
                <c:pt idx="50">
                  <c:v>0.99223631219701203</c:v>
                </c:pt>
                <c:pt idx="51">
                  <c:v>0.85025873478203906</c:v>
                </c:pt>
                <c:pt idx="52">
                  <c:v>0.73101748270540212</c:v>
                </c:pt>
                <c:pt idx="53">
                  <c:v>0.78603819917365525</c:v>
                </c:pt>
                <c:pt idx="54">
                  <c:v>0.77170348712471282</c:v>
                </c:pt>
                <c:pt idx="55">
                  <c:v>0.84546104105698361</c:v>
                </c:pt>
                <c:pt idx="56">
                  <c:v>0.75329173308453345</c:v>
                </c:pt>
                <c:pt idx="57">
                  <c:v>0.83723449033464103</c:v>
                </c:pt>
                <c:pt idx="58">
                  <c:v>1.038705241708771</c:v>
                </c:pt>
                <c:pt idx="59">
                  <c:v>0.83326707575628478</c:v>
                </c:pt>
                <c:pt idx="60">
                  <c:v>0.97714487510792902</c:v>
                </c:pt>
                <c:pt idx="61">
                  <c:v>0.93991726033346112</c:v>
                </c:pt>
                <c:pt idx="62">
                  <c:v>0.8314293202728863</c:v>
                </c:pt>
                <c:pt idx="63">
                  <c:v>0.77805107456374178</c:v>
                </c:pt>
                <c:pt idx="64">
                  <c:v>0.59005563427075769</c:v>
                </c:pt>
                <c:pt idx="65">
                  <c:v>0.69439585691141426</c:v>
                </c:pt>
                <c:pt idx="66">
                  <c:v>0.61762838453946423</c:v>
                </c:pt>
                <c:pt idx="67">
                  <c:v>0.64934714792296455</c:v>
                </c:pt>
                <c:pt idx="68">
                  <c:v>0.61574801135475132</c:v>
                </c:pt>
                <c:pt idx="69">
                  <c:v>0.78000735067931948</c:v>
                </c:pt>
                <c:pt idx="70">
                  <c:v>0.94047799551015088</c:v>
                </c:pt>
                <c:pt idx="71">
                  <c:v>1.0870067185479459</c:v>
                </c:pt>
                <c:pt idx="72">
                  <c:v>1.1494003648079021</c:v>
                </c:pt>
                <c:pt idx="73">
                  <c:v>0.90662384271333907</c:v>
                </c:pt>
                <c:pt idx="74">
                  <c:v>0.60374116471580297</c:v>
                </c:pt>
                <c:pt idx="75">
                  <c:v>0.55174367988103734</c:v>
                </c:pt>
                <c:pt idx="76">
                  <c:v>0.54405946330729504</c:v>
                </c:pt>
                <c:pt idx="77">
                  <c:v>0.4307606652121766</c:v>
                </c:pt>
                <c:pt idx="78">
                  <c:v>0.74746341861966192</c:v>
                </c:pt>
                <c:pt idx="79">
                  <c:v>0.57178942343359873</c:v>
                </c:pt>
                <c:pt idx="80">
                  <c:v>0.63573160083367797</c:v>
                </c:pt>
                <c:pt idx="81">
                  <c:v>0.95480840081563045</c:v>
                </c:pt>
                <c:pt idx="82">
                  <c:v>0.98927251294969987</c:v>
                </c:pt>
                <c:pt idx="83">
                  <c:v>0.97014796253594149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88F-2345-9FB5-A3220AB47E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CPR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Solar Penetration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Inputs'!$F$1</c:f>
              <c:strCache>
                <c:ptCount val="1"/>
                <c:pt idx="0">
                  <c:v>DK1 Solar Penetration (%) — Primary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'Capture Price Inputs'!$F$2:$F$85</c:f>
              <c:numCache>
                <c:formatCode>General</c:formatCode>
                <c:ptCount val="84"/>
                <c:pt idx="12">
                  <c:v>2.2644478926294831E-3</c:v>
                </c:pt>
                <c:pt idx="13">
                  <c:v>5.2474520244822449E-3</c:v>
                </c:pt>
                <c:pt idx="14">
                  <c:v>2.020167759412729E-2</c:v>
                </c:pt>
                <c:pt idx="15">
                  <c:v>3.2427989612304697E-2</c:v>
                </c:pt>
                <c:pt idx="16">
                  <c:v>3.6080087237903569E-2</c:v>
                </c:pt>
                <c:pt idx="17">
                  <c:v>3.7413618831640891E-2</c:v>
                </c:pt>
                <c:pt idx="18">
                  <c:v>3.3998433859503921E-2</c:v>
                </c:pt>
                <c:pt idx="19">
                  <c:v>3.4224763142537661E-2</c:v>
                </c:pt>
                <c:pt idx="20">
                  <c:v>2.4330151939157239E-2</c:v>
                </c:pt>
                <c:pt idx="21">
                  <c:v>1.1490387549446779E-2</c:v>
                </c:pt>
                <c:pt idx="22">
                  <c:v>1.521101274151999E-4</c:v>
                </c:pt>
                <c:pt idx="23">
                  <c:v>1.472410662127807E-5</c:v>
                </c:pt>
                <c:pt idx="24">
                  <c:v>3.6313559990350909E-3</c:v>
                </c:pt>
                <c:pt idx="25">
                  <c:v>1.0868941718057299E-2</c:v>
                </c:pt>
                <c:pt idx="26">
                  <c:v>2.2382303907371628E-2</c:v>
                </c:pt>
                <c:pt idx="27">
                  <c:v>4.212837115783985E-2</c:v>
                </c:pt>
                <c:pt idx="28">
                  <c:v>3.3075052211960353E-2</c:v>
                </c:pt>
                <c:pt idx="29">
                  <c:v>4.9841661821819518E-2</c:v>
                </c:pt>
                <c:pt idx="30">
                  <c:v>4.85715434854639E-2</c:v>
                </c:pt>
                <c:pt idx="31">
                  <c:v>3.8876947944708702E-2</c:v>
                </c:pt>
                <c:pt idx="32">
                  <c:v>2.5932850179436289E-2</c:v>
                </c:pt>
                <c:pt idx="33">
                  <c:v>1.7460096431489061E-2</c:v>
                </c:pt>
                <c:pt idx="34">
                  <c:v>7.0293060058135041E-3</c:v>
                </c:pt>
                <c:pt idx="35">
                  <c:v>3.243365391886713E-3</c:v>
                </c:pt>
                <c:pt idx="36">
                  <c:v>6.6753155472480874E-3</c:v>
                </c:pt>
                <c:pt idx="37">
                  <c:v>1.7399571233002901E-2</c:v>
                </c:pt>
                <c:pt idx="38">
                  <c:v>6.1955070586442867E-2</c:v>
                </c:pt>
                <c:pt idx="39">
                  <c:v>8.404056603836467E-2</c:v>
                </c:pt>
                <c:pt idx="40">
                  <c:v>9.6876891420316108E-2</c:v>
                </c:pt>
                <c:pt idx="41">
                  <c:v>9.4962020744311482E-2</c:v>
                </c:pt>
                <c:pt idx="42">
                  <c:v>9.963556652585577E-2</c:v>
                </c:pt>
                <c:pt idx="43">
                  <c:v>8.9626978325266782E-2</c:v>
                </c:pt>
                <c:pt idx="44">
                  <c:v>6.6046498591704736E-2</c:v>
                </c:pt>
                <c:pt idx="45">
                  <c:v>3.7469414477654707E-2</c:v>
                </c:pt>
                <c:pt idx="46">
                  <c:v>1.046932675470221E-2</c:v>
                </c:pt>
                <c:pt idx="47">
                  <c:v>6.2291646451968653E-3</c:v>
                </c:pt>
                <c:pt idx="48">
                  <c:v>1.2460694276862919E-2</c:v>
                </c:pt>
                <c:pt idx="49">
                  <c:v>3.4376404191763639E-2</c:v>
                </c:pt>
                <c:pt idx="50">
                  <c:v>5.6477968577058592E-2</c:v>
                </c:pt>
                <c:pt idx="51">
                  <c:v>0.1509467292684683</c:v>
                </c:pt>
                <c:pt idx="52">
                  <c:v>0.18600333743842001</c:v>
                </c:pt>
                <c:pt idx="53">
                  <c:v>0.21892573712946101</c:v>
                </c:pt>
                <c:pt idx="54">
                  <c:v>0.18929524056345021</c:v>
                </c:pt>
                <c:pt idx="55">
                  <c:v>0.1493297980639493</c:v>
                </c:pt>
                <c:pt idx="56">
                  <c:v>0.13191654386548721</c:v>
                </c:pt>
                <c:pt idx="57">
                  <c:v>4.2864886456730103E-2</c:v>
                </c:pt>
                <c:pt idx="58">
                  <c:v>1.6003493537152379E-2</c:v>
                </c:pt>
                <c:pt idx="59">
                  <c:v>6.3905046726965339E-3</c:v>
                </c:pt>
                <c:pt idx="60">
                  <c:v>1.3417186050607519E-2</c:v>
                </c:pt>
                <c:pt idx="61">
                  <c:v>2.6436223837926501E-2</c:v>
                </c:pt>
                <c:pt idx="62">
                  <c:v>6.6233973400350477E-2</c:v>
                </c:pt>
                <c:pt idx="63">
                  <c:v>0.1084169878649764</c:v>
                </c:pt>
                <c:pt idx="64">
                  <c:v>0.18887031649880051</c:v>
                </c:pt>
                <c:pt idx="65">
                  <c:v>0.1715230569234828</c:v>
                </c:pt>
                <c:pt idx="66">
                  <c:v>0.1809062055635286</c:v>
                </c:pt>
                <c:pt idx="67">
                  <c:v>0.15512153111725799</c:v>
                </c:pt>
                <c:pt idx="68">
                  <c:v>0.1275567235314205</c:v>
                </c:pt>
                <c:pt idx="69">
                  <c:v>6.2873767847415107E-2</c:v>
                </c:pt>
                <c:pt idx="70">
                  <c:v>1.780902737610289E-2</c:v>
                </c:pt>
                <c:pt idx="71">
                  <c:v>6.7857975683456679E-3</c:v>
                </c:pt>
                <c:pt idx="72">
                  <c:v>1.366055484422285E-2</c:v>
                </c:pt>
                <c:pt idx="73">
                  <c:v>4.3419934817177687E-2</c:v>
                </c:pt>
                <c:pt idx="74">
                  <c:v>0.1120694547038418</c:v>
                </c:pt>
                <c:pt idx="75">
                  <c:v>0.14827548756052711</c:v>
                </c:pt>
                <c:pt idx="76">
                  <c:v>0.19244468175967161</c:v>
                </c:pt>
                <c:pt idx="77">
                  <c:v>0.18784829238523279</c:v>
                </c:pt>
                <c:pt idx="78">
                  <c:v>0.21828188848241209</c:v>
                </c:pt>
                <c:pt idx="79">
                  <c:v>0.19011684012808119</c:v>
                </c:pt>
                <c:pt idx="80">
                  <c:v>0.13816152724517919</c:v>
                </c:pt>
                <c:pt idx="81">
                  <c:v>6.9462071202051626E-2</c:v>
                </c:pt>
                <c:pt idx="82">
                  <c:v>2.6604970402147529E-2</c:v>
                </c:pt>
                <c:pt idx="83">
                  <c:v>1.40253486520015E-2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97D-E248-9000-A69C95E532B1}"/>
            </c:ext>
          </c:extLst>
        </c:ser>
        <c:ser>
          <c:idx val="1"/>
          <c:order val="1"/>
          <c:tx>
            <c:strRef>
              <c:f>'Capture Price Inputs'!$G$1</c:f>
              <c:strCache>
                <c:ptCount val="1"/>
                <c:pt idx="0">
                  <c:v>DK2 Solar Penetration (%) — Robustness</c:v>
                </c:pt>
              </c:strCache>
            </c:strRef>
          </c:tx>
          <c:spPr>
            <a:ln>
              <a:solidFill>
                <a:srgbClr val="FFD700"/>
              </a:solidFill>
              <a:prstDash val="solid"/>
            </a:ln>
          </c:spPr>
          <c:marker>
            <c:symbol val="none"/>
          </c:marker>
          <c:val>
            <c:numRef>
              <c:f>'Capture Price Inputs'!$G$2:$G$85</c:f>
              <c:numCache>
                <c:formatCode>General</c:formatCode>
                <c:ptCount val="84"/>
                <c:pt idx="12">
                  <c:v>1.864323044087839E-3</c:v>
                </c:pt>
                <c:pt idx="13">
                  <c:v>4.9613393448072352E-3</c:v>
                </c:pt>
                <c:pt idx="14">
                  <c:v>1.532033335337761E-2</c:v>
                </c:pt>
                <c:pt idx="15">
                  <c:v>2.6180595134545931E-2</c:v>
                </c:pt>
                <c:pt idx="16">
                  <c:v>3.2240930774166239E-2</c:v>
                </c:pt>
                <c:pt idx="17">
                  <c:v>3.0651812088155841E-2</c:v>
                </c:pt>
                <c:pt idx="18">
                  <c:v>2.998206800974695E-2</c:v>
                </c:pt>
                <c:pt idx="19">
                  <c:v>2.8034713414307081E-2</c:v>
                </c:pt>
                <c:pt idx="20">
                  <c:v>2.1736479101595249E-2</c:v>
                </c:pt>
                <c:pt idx="21">
                  <c:v>1.107911770574695E-2</c:v>
                </c:pt>
                <c:pt idx="22">
                  <c:v>1.1044611578332841E-4</c:v>
                </c:pt>
                <c:pt idx="23">
                  <c:v>5.6352433584062588E-6</c:v>
                </c:pt>
                <c:pt idx="24">
                  <c:v>3.104474131982996E-3</c:v>
                </c:pt>
                <c:pt idx="25">
                  <c:v>9.2483369487723587E-3</c:v>
                </c:pt>
                <c:pt idx="26">
                  <c:v>1.8474517045212829E-2</c:v>
                </c:pt>
                <c:pt idx="27">
                  <c:v>3.2694407483312787E-2</c:v>
                </c:pt>
                <c:pt idx="28">
                  <c:v>3.2945829294540187E-2</c:v>
                </c:pt>
                <c:pt idx="29">
                  <c:v>4.4480133140056069E-2</c:v>
                </c:pt>
                <c:pt idx="30">
                  <c:v>3.7049542537302173E-2</c:v>
                </c:pt>
                <c:pt idx="31">
                  <c:v>3.1857768834261987E-2</c:v>
                </c:pt>
                <c:pt idx="32">
                  <c:v>2.23981137027396E-2</c:v>
                </c:pt>
                <c:pt idx="33">
                  <c:v>1.267326343754744E-2</c:v>
                </c:pt>
                <c:pt idx="34">
                  <c:v>4.0132810857910267E-3</c:v>
                </c:pt>
                <c:pt idx="35">
                  <c:v>1.8226295838260991E-3</c:v>
                </c:pt>
                <c:pt idx="36">
                  <c:v>4.939556742877535E-3</c:v>
                </c:pt>
                <c:pt idx="37">
                  <c:v>1.3248485586698279E-2</c:v>
                </c:pt>
                <c:pt idx="38">
                  <c:v>3.4089330349121053E-2</c:v>
                </c:pt>
                <c:pt idx="39">
                  <c:v>5.5254436099578648E-2</c:v>
                </c:pt>
                <c:pt idx="40">
                  <c:v>6.5811459960859395E-2</c:v>
                </c:pt>
                <c:pt idx="41">
                  <c:v>6.4528229045867816E-2</c:v>
                </c:pt>
                <c:pt idx="42">
                  <c:v>6.7025803801952916E-2</c:v>
                </c:pt>
                <c:pt idx="43">
                  <c:v>6.1299924397195817E-2</c:v>
                </c:pt>
                <c:pt idx="44">
                  <c:v>4.5784276103507021E-2</c:v>
                </c:pt>
                <c:pt idx="45">
                  <c:v>2.9809058027035401E-2</c:v>
                </c:pt>
                <c:pt idx="46">
                  <c:v>7.8652952619005494E-3</c:v>
                </c:pt>
                <c:pt idx="47">
                  <c:v>4.5323555529735481E-3</c:v>
                </c:pt>
                <c:pt idx="48">
                  <c:v>5.8626527231366082E-3</c:v>
                </c:pt>
                <c:pt idx="49">
                  <c:v>1.8877648418373551E-2</c:v>
                </c:pt>
                <c:pt idx="50">
                  <c:v>3.7096229392005707E-2</c:v>
                </c:pt>
                <c:pt idx="51">
                  <c:v>8.0269966033824955E-2</c:v>
                </c:pt>
                <c:pt idx="52">
                  <c:v>0.1080032082802261</c:v>
                </c:pt>
                <c:pt idx="53">
                  <c:v>0.1144244665352921</c:v>
                </c:pt>
                <c:pt idx="54">
                  <c:v>0.10203074507159759</c:v>
                </c:pt>
                <c:pt idx="55">
                  <c:v>7.7931010532967707E-2</c:v>
                </c:pt>
                <c:pt idx="56">
                  <c:v>8.0909954639318743E-2</c:v>
                </c:pt>
                <c:pt idx="57">
                  <c:v>2.9172340215594381E-2</c:v>
                </c:pt>
                <c:pt idx="58">
                  <c:v>1.04098691216888E-2</c:v>
                </c:pt>
                <c:pt idx="59">
                  <c:v>3.809030164374855E-3</c:v>
                </c:pt>
                <c:pt idx="60">
                  <c:v>6.1781830729755079E-3</c:v>
                </c:pt>
                <c:pt idx="61">
                  <c:v>1.667231366864759E-2</c:v>
                </c:pt>
                <c:pt idx="62">
                  <c:v>4.1112806367337662E-2</c:v>
                </c:pt>
                <c:pt idx="63">
                  <c:v>6.5123378744806448E-2</c:v>
                </c:pt>
                <c:pt idx="64">
                  <c:v>0.106315341440858</c:v>
                </c:pt>
                <c:pt idx="65">
                  <c:v>0.1072729076610999</c:v>
                </c:pt>
                <c:pt idx="66">
                  <c:v>0.1057942634887733</c:v>
                </c:pt>
                <c:pt idx="67">
                  <c:v>9.3690832268705199E-2</c:v>
                </c:pt>
                <c:pt idx="68">
                  <c:v>7.2463202820400169E-2</c:v>
                </c:pt>
                <c:pt idx="69">
                  <c:v>3.6145253892379881E-2</c:v>
                </c:pt>
                <c:pt idx="70">
                  <c:v>8.6028414054236078E-3</c:v>
                </c:pt>
                <c:pt idx="71">
                  <c:v>4.1714684657767577E-3</c:v>
                </c:pt>
                <c:pt idx="72">
                  <c:v>7.223240212576967E-3</c:v>
                </c:pt>
                <c:pt idx="73">
                  <c:v>2.010831138567791E-2</c:v>
                </c:pt>
                <c:pt idx="74">
                  <c:v>4.6547866447452589E-2</c:v>
                </c:pt>
                <c:pt idx="75">
                  <c:v>7.1689783649061992E-2</c:v>
                </c:pt>
                <c:pt idx="76">
                  <c:v>9.4714127256233946E-2</c:v>
                </c:pt>
                <c:pt idx="77">
                  <c:v>9.9826250015510765E-2</c:v>
                </c:pt>
                <c:pt idx="78">
                  <c:v>9.3996419418699143E-2</c:v>
                </c:pt>
                <c:pt idx="79">
                  <c:v>0.1057378118957395</c:v>
                </c:pt>
                <c:pt idx="80">
                  <c:v>9.0628879686523764E-2</c:v>
                </c:pt>
                <c:pt idx="81">
                  <c:v>3.9573125678626628E-2</c:v>
                </c:pt>
                <c:pt idx="82">
                  <c:v>1.454364344794783E-2</c:v>
                </c:pt>
                <c:pt idx="83">
                  <c:v>9.0694911608833299E-3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97D-E248-9000-A69C95E532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Solar Penetration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Capture Price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Inputs'!$H$1</c:f>
              <c:strCache>
                <c:ptCount val="1"/>
                <c:pt idx="0">
                  <c:v>DK1 Capture Price (EUR/MWh)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Inputs'!$H$2:$H$85</c:f>
              <c:numCache>
                <c:formatCode>General</c:formatCode>
                <c:ptCount val="84"/>
                <c:pt idx="12">
                  <c:v>25.22320957280251</c:v>
                </c:pt>
                <c:pt idx="13">
                  <c:v>22.83581899109792</c:v>
                </c:pt>
                <c:pt idx="14">
                  <c:v>15.94107348554973</c:v>
                </c:pt>
                <c:pt idx="15">
                  <c:v>10.36487590420421</c:v>
                </c:pt>
                <c:pt idx="16">
                  <c:v>15.478548945086001</c:v>
                </c:pt>
                <c:pt idx="17">
                  <c:v>27.313308227868689</c:v>
                </c:pt>
                <c:pt idx="18">
                  <c:v>24.831745178109159</c:v>
                </c:pt>
                <c:pt idx="19">
                  <c:v>33.876915422047851</c:v>
                </c:pt>
                <c:pt idx="20">
                  <c:v>38.935979003379593</c:v>
                </c:pt>
                <c:pt idx="21">
                  <c:v>31.927741533059191</c:v>
                </c:pt>
                <c:pt idx="22">
                  <c:v>26.005993265993261</c:v>
                </c:pt>
                <c:pt idx="23">
                  <c:v>34.795161290322582</c:v>
                </c:pt>
                <c:pt idx="24">
                  <c:v>55.422967607277918</c:v>
                </c:pt>
                <c:pt idx="25">
                  <c:v>47.542610979142587</c:v>
                </c:pt>
                <c:pt idx="26">
                  <c:v>44.550700915805493</c:v>
                </c:pt>
                <c:pt idx="27">
                  <c:v>43.594739828473003</c:v>
                </c:pt>
                <c:pt idx="28">
                  <c:v>47.655870575001217</c:v>
                </c:pt>
                <c:pt idx="29">
                  <c:v>70.543547911111062</c:v>
                </c:pt>
                <c:pt idx="30">
                  <c:v>78.568319747758608</c:v>
                </c:pt>
                <c:pt idx="31">
                  <c:v>81.983351136401794</c:v>
                </c:pt>
                <c:pt idx="32">
                  <c:v>116.20022495544841</c:v>
                </c:pt>
                <c:pt idx="33">
                  <c:v>126.53039520323949</c:v>
                </c:pt>
                <c:pt idx="34">
                  <c:v>160.77058330102949</c:v>
                </c:pt>
                <c:pt idx="35">
                  <c:v>228.8621705579358</c:v>
                </c:pt>
                <c:pt idx="36">
                  <c:v>123.20125067917191</c:v>
                </c:pt>
                <c:pt idx="37">
                  <c:v>117.67077903546</c:v>
                </c:pt>
                <c:pt idx="38">
                  <c:v>191.50807173506701</c:v>
                </c:pt>
                <c:pt idx="39">
                  <c:v>145.70138715926041</c:v>
                </c:pt>
                <c:pt idx="40">
                  <c:v>149.4185612445558</c:v>
                </c:pt>
                <c:pt idx="41">
                  <c:v>194.71103409481981</c:v>
                </c:pt>
                <c:pt idx="42">
                  <c:v>239.3981525107354</c:v>
                </c:pt>
                <c:pt idx="43">
                  <c:v>419.79263722660602</c:v>
                </c:pt>
                <c:pt idx="44">
                  <c:v>310.70739927266709</c:v>
                </c:pt>
                <c:pt idx="45">
                  <c:v>125.6295598680838</c:v>
                </c:pt>
                <c:pt idx="46">
                  <c:v>131.7111886265582</c:v>
                </c:pt>
                <c:pt idx="47">
                  <c:v>282.82379374207261</c:v>
                </c:pt>
                <c:pt idx="48">
                  <c:v>138.52998868426329</c:v>
                </c:pt>
                <c:pt idx="49">
                  <c:v>109.87697572135031</c:v>
                </c:pt>
                <c:pt idx="50">
                  <c:v>93.774190940695377</c:v>
                </c:pt>
                <c:pt idx="51">
                  <c:v>76.25042822265543</c:v>
                </c:pt>
                <c:pt idx="52">
                  <c:v>50.543487760082613</c:v>
                </c:pt>
                <c:pt idx="53">
                  <c:v>74.888982776218057</c:v>
                </c:pt>
                <c:pt idx="54">
                  <c:v>52.095599438463452</c:v>
                </c:pt>
                <c:pt idx="55">
                  <c:v>74.180426039978187</c:v>
                </c:pt>
                <c:pt idx="56">
                  <c:v>68.116869623396937</c:v>
                </c:pt>
                <c:pt idx="57">
                  <c:v>50.539090519702853</c:v>
                </c:pt>
                <c:pt idx="58">
                  <c:v>90.680805562425178</c:v>
                </c:pt>
                <c:pt idx="59">
                  <c:v>63.455327688788032</c:v>
                </c:pt>
                <c:pt idx="60">
                  <c:v>78.571316441678306</c:v>
                </c:pt>
                <c:pt idx="61">
                  <c:v>59.479486768055089</c:v>
                </c:pt>
                <c:pt idx="62">
                  <c:v>51.269783241554933</c:v>
                </c:pt>
                <c:pt idx="63">
                  <c:v>49.383940562011212</c:v>
                </c:pt>
                <c:pt idx="64">
                  <c:v>35.894148271408874</c:v>
                </c:pt>
                <c:pt idx="65">
                  <c:v>47.037633727397647</c:v>
                </c:pt>
                <c:pt idx="66">
                  <c:v>42.521773223099522</c:v>
                </c:pt>
                <c:pt idx="67">
                  <c:v>52.17121747504909</c:v>
                </c:pt>
                <c:pt idx="68">
                  <c:v>45.647504626217007</c:v>
                </c:pt>
                <c:pt idx="69">
                  <c:v>58.441583787091993</c:v>
                </c:pt>
                <c:pt idx="70">
                  <c:v>97.582352616331917</c:v>
                </c:pt>
                <c:pt idx="71">
                  <c:v>92.073217693833982</c:v>
                </c:pt>
                <c:pt idx="72">
                  <c:v>111.1945655985155</c:v>
                </c:pt>
                <c:pt idx="73">
                  <c:v>105.41315973788279</c:v>
                </c:pt>
                <c:pt idx="74">
                  <c:v>57.84566339627056</c:v>
                </c:pt>
                <c:pt idx="75">
                  <c:v>45.844395770687349</c:v>
                </c:pt>
                <c:pt idx="76">
                  <c:v>40.065667394009381</c:v>
                </c:pt>
                <c:pt idx="77">
                  <c:v>33.493381965196598</c:v>
                </c:pt>
                <c:pt idx="78">
                  <c:v>61.32224821093979</c:v>
                </c:pt>
                <c:pt idx="79">
                  <c:v>47.755824567457559</c:v>
                </c:pt>
                <c:pt idx="80">
                  <c:v>49.429094996057238</c:v>
                </c:pt>
                <c:pt idx="81">
                  <c:v>74.266634537895257</c:v>
                </c:pt>
                <c:pt idx="82">
                  <c:v>95.564531802521344</c:v>
                </c:pt>
                <c:pt idx="83">
                  <c:v>80.958034242780258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4F8-AE46-B727-9FC5B7910F3A}"/>
            </c:ext>
          </c:extLst>
        </c:ser>
        <c:ser>
          <c:idx val="1"/>
          <c:order val="1"/>
          <c:tx>
            <c:strRef>
              <c:f>'Capture Price Inputs'!$I$1</c:f>
              <c:strCache>
                <c:ptCount val="1"/>
                <c:pt idx="0">
                  <c:v>DK2 Capture Price (EUR/MWh)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'Capture Price Inputs'!$I$2:$I$85</c:f>
              <c:numCache>
                <c:formatCode>General</c:formatCode>
                <c:ptCount val="84"/>
                <c:pt idx="12">
                  <c:v>29.86213642213642</c:v>
                </c:pt>
                <c:pt idx="13">
                  <c:v>23.555517829721889</c:v>
                </c:pt>
                <c:pt idx="14">
                  <c:v>17.149050692261021</c:v>
                </c:pt>
                <c:pt idx="15">
                  <c:v>13.252523128367081</c:v>
                </c:pt>
                <c:pt idx="16">
                  <c:v>18.594049382716051</c:v>
                </c:pt>
                <c:pt idx="17">
                  <c:v>35.21078005032583</c:v>
                </c:pt>
                <c:pt idx="18">
                  <c:v>26.450778046867001</c:v>
                </c:pt>
                <c:pt idx="19">
                  <c:v>44.113765015404859</c:v>
                </c:pt>
                <c:pt idx="20">
                  <c:v>41.853047880870562</c:v>
                </c:pt>
                <c:pt idx="21">
                  <c:v>33.600878372903331</c:v>
                </c:pt>
                <c:pt idx="22">
                  <c:v>37.749765625000002</c:v>
                </c:pt>
                <c:pt idx="23">
                  <c:v>44.191428571428567</c:v>
                </c:pt>
                <c:pt idx="24">
                  <c:v>57.072134410081453</c:v>
                </c:pt>
                <c:pt idx="25">
                  <c:v>52.285083654524577</c:v>
                </c:pt>
                <c:pt idx="26">
                  <c:v>47.422643011897812</c:v>
                </c:pt>
                <c:pt idx="27">
                  <c:v>45.901363748248833</c:v>
                </c:pt>
                <c:pt idx="28">
                  <c:v>50.258720231460799</c:v>
                </c:pt>
                <c:pt idx="29">
                  <c:v>69.469341653776226</c:v>
                </c:pt>
                <c:pt idx="30">
                  <c:v>77.933111551394319</c:v>
                </c:pt>
                <c:pt idx="31">
                  <c:v>84.512747690257029</c:v>
                </c:pt>
                <c:pt idx="32">
                  <c:v>118.7457227855615</c:v>
                </c:pt>
                <c:pt idx="33">
                  <c:v>122.3841235967906</c:v>
                </c:pt>
                <c:pt idx="34">
                  <c:v>153.62679427815749</c:v>
                </c:pt>
                <c:pt idx="35">
                  <c:v>244.48727859764409</c:v>
                </c:pt>
                <c:pt idx="36">
                  <c:v>129.67749023150819</c:v>
                </c:pt>
                <c:pt idx="37">
                  <c:v>108.80333899256409</c:v>
                </c:pt>
                <c:pt idx="38">
                  <c:v>186.0504424586062</c:v>
                </c:pt>
                <c:pt idx="39">
                  <c:v>143.53758886421849</c:v>
                </c:pt>
                <c:pt idx="40">
                  <c:v>146.25360234460331</c:v>
                </c:pt>
                <c:pt idx="41">
                  <c:v>192.2325905808319</c:v>
                </c:pt>
                <c:pt idx="42">
                  <c:v>212.3625858003895</c:v>
                </c:pt>
                <c:pt idx="43">
                  <c:v>397.17988485976059</c:v>
                </c:pt>
                <c:pt idx="44">
                  <c:v>315.92884279677901</c:v>
                </c:pt>
                <c:pt idx="45">
                  <c:v>120.1190076327392</c:v>
                </c:pt>
                <c:pt idx="46">
                  <c:v>134.0399027878758</c:v>
                </c:pt>
                <c:pt idx="47">
                  <c:v>303.26978481668573</c:v>
                </c:pt>
                <c:pt idx="48">
                  <c:v>120.8992864784306</c:v>
                </c:pt>
                <c:pt idx="49">
                  <c:v>103.112625406295</c:v>
                </c:pt>
                <c:pt idx="50">
                  <c:v>89.098468921641697</c:v>
                </c:pt>
                <c:pt idx="51">
                  <c:v>71.125099705594195</c:v>
                </c:pt>
                <c:pt idx="52">
                  <c:v>48.358083796456327</c:v>
                </c:pt>
                <c:pt idx="53">
                  <c:v>71.862090372222397</c:v>
                </c:pt>
                <c:pt idx="54">
                  <c:v>50.345966617092351</c:v>
                </c:pt>
                <c:pt idx="55">
                  <c:v>72.957992347987414</c:v>
                </c:pt>
                <c:pt idx="56">
                  <c:v>64.394484672464898</c:v>
                </c:pt>
                <c:pt idx="57">
                  <c:v>47.660255094286853</c:v>
                </c:pt>
                <c:pt idx="58">
                  <c:v>84.639978605265995</c:v>
                </c:pt>
                <c:pt idx="59">
                  <c:v>59.061746333079718</c:v>
                </c:pt>
                <c:pt idx="60">
                  <c:v>76.427202535219209</c:v>
                </c:pt>
                <c:pt idx="61">
                  <c:v>51.434379196547752</c:v>
                </c:pt>
                <c:pt idx="62">
                  <c:v>50.751163813053438</c:v>
                </c:pt>
                <c:pt idx="63">
                  <c:v>47.053967904827999</c:v>
                </c:pt>
                <c:pt idx="64">
                  <c:v>34.295794113692892</c:v>
                </c:pt>
                <c:pt idx="65">
                  <c:v>46.379384034583367</c:v>
                </c:pt>
                <c:pt idx="66">
                  <c:v>38.812821969471173</c:v>
                </c:pt>
                <c:pt idx="67">
                  <c:v>47.151863118292532</c:v>
                </c:pt>
                <c:pt idx="68">
                  <c:v>43.355946350842189</c:v>
                </c:pt>
                <c:pt idx="69">
                  <c:v>59.534937630286556</c:v>
                </c:pt>
                <c:pt idx="70">
                  <c:v>89.611277477917284</c:v>
                </c:pt>
                <c:pt idx="71">
                  <c:v>100.7961313991171</c:v>
                </c:pt>
                <c:pt idx="72">
                  <c:v>115.0822593270056</c:v>
                </c:pt>
                <c:pt idx="73">
                  <c:v>106.92318207316821</c:v>
                </c:pt>
                <c:pt idx="74">
                  <c:v>50.018062961268747</c:v>
                </c:pt>
                <c:pt idx="75">
                  <c:v>41.82584156307518</c:v>
                </c:pt>
                <c:pt idx="76">
                  <c:v>34.320660344591218</c:v>
                </c:pt>
                <c:pt idx="77">
                  <c:v>24.31568572006325</c:v>
                </c:pt>
                <c:pt idx="78">
                  <c:v>59.766943882147693</c:v>
                </c:pt>
                <c:pt idx="79">
                  <c:v>43.064604783544858</c:v>
                </c:pt>
                <c:pt idx="80">
                  <c:v>52.949405153808357</c:v>
                </c:pt>
                <c:pt idx="81">
                  <c:v>78.645730322406678</c:v>
                </c:pt>
                <c:pt idx="82">
                  <c:v>92.690454871532665</c:v>
                </c:pt>
                <c:pt idx="83">
                  <c:v>79.631228022083661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4F8-AE46-B727-9FC5B7910F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Capture Price Ratio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Inputs'!$J$1</c:f>
              <c:strCache>
                <c:ptCount val="1"/>
                <c:pt idx="0">
                  <c:v>DK1 CPR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Inputs'!$J$2:$J$85</c:f>
              <c:numCache>
                <c:formatCode>General</c:formatCode>
                <c:ptCount val="84"/>
                <c:pt idx="12">
                  <c:v>1.0091486594474419</c:v>
                </c:pt>
                <c:pt idx="13">
                  <c:v>1.2985911686950511</c:v>
                </c:pt>
                <c:pt idx="14">
                  <c:v>0.8710146939215303</c:v>
                </c:pt>
                <c:pt idx="15">
                  <c:v>0.71315772558819213</c:v>
                </c:pt>
                <c:pt idx="16">
                  <c:v>0.96415576931205649</c:v>
                </c:pt>
                <c:pt idx="17">
                  <c:v>1.0394664137310941</c:v>
                </c:pt>
                <c:pt idx="18">
                  <c:v>1.0086181556608309</c:v>
                </c:pt>
                <c:pt idx="19">
                  <c:v>0.98082264407500741</c:v>
                </c:pt>
                <c:pt idx="20">
                  <c:v>1.0104044869130051</c:v>
                </c:pt>
                <c:pt idx="21">
                  <c:v>1.236802226812374</c:v>
                </c:pt>
                <c:pt idx="22">
                  <c:v>1.094777917215692</c:v>
                </c:pt>
                <c:pt idx="23">
                  <c:v>1.0082301641826621</c:v>
                </c:pt>
                <c:pt idx="24">
                  <c:v>1.103930861568265</c:v>
                </c:pt>
                <c:pt idx="25">
                  <c:v>1.0059479277054251</c:v>
                </c:pt>
                <c:pt idx="26">
                  <c:v>0.9871758725122356</c:v>
                </c:pt>
                <c:pt idx="27">
                  <c:v>0.90884647456650169</c:v>
                </c:pt>
                <c:pt idx="28">
                  <c:v>0.87751805187154364</c:v>
                </c:pt>
                <c:pt idx="29">
                  <c:v>0.95691427953473174</c:v>
                </c:pt>
                <c:pt idx="30">
                  <c:v>0.98211323715969778</c:v>
                </c:pt>
                <c:pt idx="31">
                  <c:v>0.99027147802450566</c:v>
                </c:pt>
                <c:pt idx="32">
                  <c:v>0.92690440483613579</c:v>
                </c:pt>
                <c:pt idx="33">
                  <c:v>1.0810885074134391</c:v>
                </c:pt>
                <c:pt idx="34">
                  <c:v>1.1338034085044659</c:v>
                </c:pt>
                <c:pt idx="35">
                  <c:v>1.2086769624549281</c:v>
                </c:pt>
                <c:pt idx="36">
                  <c:v>1.0441257304277269</c:v>
                </c:pt>
                <c:pt idx="37">
                  <c:v>1.04022281700981</c:v>
                </c:pt>
                <c:pt idx="38">
                  <c:v>0.81207759044207406</c:v>
                </c:pt>
                <c:pt idx="39">
                  <c:v>0.89039133384678326</c:v>
                </c:pt>
                <c:pt idx="40">
                  <c:v>0.86943016050498578</c:v>
                </c:pt>
                <c:pt idx="41">
                  <c:v>0.90803902012341908</c:v>
                </c:pt>
                <c:pt idx="42">
                  <c:v>0.87041791592949547</c:v>
                </c:pt>
                <c:pt idx="43">
                  <c:v>0.91908553046700026</c:v>
                </c:pt>
                <c:pt idx="44">
                  <c:v>0.90632901805683119</c:v>
                </c:pt>
                <c:pt idx="45">
                  <c:v>0.91612325253961768</c:v>
                </c:pt>
                <c:pt idx="46">
                  <c:v>0.94278612074660006</c:v>
                </c:pt>
                <c:pt idx="47">
                  <c:v>1.132810339248927</c:v>
                </c:pt>
                <c:pt idx="48">
                  <c:v>1.2309198691226539</c:v>
                </c:pt>
                <c:pt idx="49">
                  <c:v>0.93008781340266</c:v>
                </c:pt>
                <c:pt idx="50">
                  <c:v>0.94612539759598957</c:v>
                </c:pt>
                <c:pt idx="51">
                  <c:v>0.79203966120386338</c:v>
                </c:pt>
                <c:pt idx="52">
                  <c:v>0.68333610561519953</c:v>
                </c:pt>
                <c:pt idx="53">
                  <c:v>0.80965062086215667</c:v>
                </c:pt>
                <c:pt idx="54">
                  <c:v>0.80380421953260928</c:v>
                </c:pt>
                <c:pt idx="55">
                  <c:v>0.86289309777204071</c:v>
                </c:pt>
                <c:pt idx="56">
                  <c:v>0.8038389922187259</c:v>
                </c:pt>
                <c:pt idx="57">
                  <c:v>0.84083605560542263</c:v>
                </c:pt>
                <c:pt idx="58">
                  <c:v>1.028656893611996</c:v>
                </c:pt>
                <c:pt idx="59">
                  <c:v>0.91325607762876626</c:v>
                </c:pt>
                <c:pt idx="60">
                  <c:v>1.051614630458469</c:v>
                </c:pt>
                <c:pt idx="61">
                  <c:v>1.0144208291794441</c:v>
                </c:pt>
                <c:pt idx="62">
                  <c:v>0.8373818542217274</c:v>
                </c:pt>
                <c:pt idx="63">
                  <c:v>0.83468460161643787</c:v>
                </c:pt>
                <c:pt idx="64">
                  <c:v>0.61339845366508694</c:v>
                </c:pt>
                <c:pt idx="65">
                  <c:v>0.73781003223868646</c:v>
                </c:pt>
                <c:pt idx="66">
                  <c:v>0.68549949487061801</c:v>
                </c:pt>
                <c:pt idx="67">
                  <c:v>0.71512676219349525</c:v>
                </c:pt>
                <c:pt idx="68">
                  <c:v>0.63652522303957304</c:v>
                </c:pt>
                <c:pt idx="69">
                  <c:v>0.76175188075929667</c:v>
                </c:pt>
                <c:pt idx="70">
                  <c:v>1.0174940038611719</c:v>
                </c:pt>
                <c:pt idx="71">
                  <c:v>1.0025674160411211</c:v>
                </c:pt>
                <c:pt idx="72">
                  <c:v>1.135032584901597</c:v>
                </c:pt>
                <c:pt idx="73">
                  <c:v>0.93411665141872979</c:v>
                </c:pt>
                <c:pt idx="74">
                  <c:v>0.68579081688022481</c:v>
                </c:pt>
                <c:pt idx="75">
                  <c:v>0.60995353561832499</c:v>
                </c:pt>
                <c:pt idx="76">
                  <c:v>0.62375117423189408</c:v>
                </c:pt>
                <c:pt idx="77">
                  <c:v>0.56976432128633303</c:v>
                </c:pt>
                <c:pt idx="78">
                  <c:v>0.74058967108380014</c:v>
                </c:pt>
                <c:pt idx="79">
                  <c:v>0.64997112344594554</c:v>
                </c:pt>
                <c:pt idx="80">
                  <c:v>0.68273474898658593</c:v>
                </c:pt>
                <c:pt idx="81">
                  <c:v>0.94701517193480578</c:v>
                </c:pt>
                <c:pt idx="82">
                  <c:v>1.0289764309560969</c:v>
                </c:pt>
                <c:pt idx="83">
                  <c:v>0.98205388617926037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E3F-944A-8B02-D07931C5CC6C}"/>
            </c:ext>
          </c:extLst>
        </c:ser>
        <c:ser>
          <c:idx val="1"/>
          <c:order val="1"/>
          <c:tx>
            <c:strRef>
              <c:f>'Capture Price Inputs'!$K$1</c:f>
              <c:strCache>
                <c:ptCount val="1"/>
                <c:pt idx="0">
                  <c:v>DK2 CPR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'Capture Price Inputs'!$K$2:$K$85</c:f>
              <c:numCache>
                <c:formatCode>General</c:formatCode>
                <c:ptCount val="84"/>
                <c:pt idx="12">
                  <c:v>1.090446324793763</c:v>
                </c:pt>
                <c:pt idx="13">
                  <c:v>1.251821301318464</c:v>
                </c:pt>
                <c:pt idx="14">
                  <c:v>0.85520775851277109</c:v>
                </c:pt>
                <c:pt idx="15">
                  <c:v>0.76362023547871605</c:v>
                </c:pt>
                <c:pt idx="16">
                  <c:v>0.97636938233545278</c:v>
                </c:pt>
                <c:pt idx="17">
                  <c:v>1.180647007173951</c:v>
                </c:pt>
                <c:pt idx="18">
                  <c:v>1.021791049952987</c:v>
                </c:pt>
                <c:pt idx="19">
                  <c:v>1.077948442472481</c:v>
                </c:pt>
                <c:pt idx="20">
                  <c:v>1.0591890923358069</c:v>
                </c:pt>
                <c:pt idx="21">
                  <c:v>1.247549053102559</c:v>
                </c:pt>
                <c:pt idx="22">
                  <c:v>1.057080411727209</c:v>
                </c:pt>
                <c:pt idx="23">
                  <c:v>1.125691191699302</c:v>
                </c:pt>
                <c:pt idx="24">
                  <c:v>1.122164979814525</c:v>
                </c:pt>
                <c:pt idx="25">
                  <c:v>0.9585139857498034</c:v>
                </c:pt>
                <c:pt idx="26">
                  <c:v>1.0147741726503949</c:v>
                </c:pt>
                <c:pt idx="27">
                  <c:v>0.95901643664766134</c:v>
                </c:pt>
                <c:pt idx="28">
                  <c:v>0.91033887361171206</c:v>
                </c:pt>
                <c:pt idx="29">
                  <c:v>0.94404491874816343</c:v>
                </c:pt>
                <c:pt idx="30">
                  <c:v>0.95692856904650769</c:v>
                </c:pt>
                <c:pt idx="31">
                  <c:v>1.001768528067071</c:v>
                </c:pt>
                <c:pt idx="32">
                  <c:v>0.95838336990944806</c:v>
                </c:pt>
                <c:pt idx="33">
                  <c:v>1.1445012658471321</c:v>
                </c:pt>
                <c:pt idx="34">
                  <c:v>1.1264608571418011</c:v>
                </c:pt>
                <c:pt idx="35">
                  <c:v>1.279578427053047</c:v>
                </c:pt>
                <c:pt idx="36">
                  <c:v>1.1617546523412821</c:v>
                </c:pt>
                <c:pt idx="37">
                  <c:v>1.084871924613185</c:v>
                </c:pt>
                <c:pt idx="38">
                  <c:v>0.81629582758371144</c:v>
                </c:pt>
                <c:pt idx="39">
                  <c:v>0.93918048773921026</c:v>
                </c:pt>
                <c:pt idx="40">
                  <c:v>0.89914563143311954</c:v>
                </c:pt>
                <c:pt idx="41">
                  <c:v>0.90151367457475784</c:v>
                </c:pt>
                <c:pt idx="42">
                  <c:v>0.90956244496775596</c:v>
                </c:pt>
                <c:pt idx="43">
                  <c:v>0.8830756108422062</c:v>
                </c:pt>
                <c:pt idx="44">
                  <c:v>0.96085369829588263</c:v>
                </c:pt>
                <c:pt idx="45">
                  <c:v>0.87743541957368609</c:v>
                </c:pt>
                <c:pt idx="46">
                  <c:v>0.92404474391789948</c:v>
                </c:pt>
                <c:pt idx="47">
                  <c:v>1.2185280560697289</c:v>
                </c:pt>
                <c:pt idx="48">
                  <c:v>1.2118663236304299</c:v>
                </c:pt>
                <c:pt idx="49">
                  <c:v>1.0244781228159621</c:v>
                </c:pt>
                <c:pt idx="50">
                  <c:v>0.99223631219701203</c:v>
                </c:pt>
                <c:pt idx="51">
                  <c:v>0.85025873478203906</c:v>
                </c:pt>
                <c:pt idx="52">
                  <c:v>0.73101748270540212</c:v>
                </c:pt>
                <c:pt idx="53">
                  <c:v>0.78603819917365525</c:v>
                </c:pt>
                <c:pt idx="54">
                  <c:v>0.77170348712471282</c:v>
                </c:pt>
                <c:pt idx="55">
                  <c:v>0.84546104105698361</c:v>
                </c:pt>
                <c:pt idx="56">
                  <c:v>0.75329173308453345</c:v>
                </c:pt>
                <c:pt idx="57">
                  <c:v>0.83723449033464103</c:v>
                </c:pt>
                <c:pt idx="58">
                  <c:v>1.038705241708771</c:v>
                </c:pt>
                <c:pt idx="59">
                  <c:v>0.83326707575628478</c:v>
                </c:pt>
                <c:pt idx="60">
                  <c:v>0.97714487510792902</c:v>
                </c:pt>
                <c:pt idx="61">
                  <c:v>0.93991726033346112</c:v>
                </c:pt>
                <c:pt idx="62">
                  <c:v>0.8314293202728863</c:v>
                </c:pt>
                <c:pt idx="63">
                  <c:v>0.77805107456374178</c:v>
                </c:pt>
                <c:pt idx="64">
                  <c:v>0.59005563427075769</c:v>
                </c:pt>
                <c:pt idx="65">
                  <c:v>0.69439585691141426</c:v>
                </c:pt>
                <c:pt idx="66">
                  <c:v>0.61762838453946423</c:v>
                </c:pt>
                <c:pt idx="67">
                  <c:v>0.64934714792296455</c:v>
                </c:pt>
                <c:pt idx="68">
                  <c:v>0.61574801135475132</c:v>
                </c:pt>
                <c:pt idx="69">
                  <c:v>0.78000735067931948</c:v>
                </c:pt>
                <c:pt idx="70">
                  <c:v>0.94047799551015088</c:v>
                </c:pt>
                <c:pt idx="71">
                  <c:v>1.0870067185479459</c:v>
                </c:pt>
                <c:pt idx="72">
                  <c:v>1.1494003648079021</c:v>
                </c:pt>
                <c:pt idx="73">
                  <c:v>0.90662384271333907</c:v>
                </c:pt>
                <c:pt idx="74">
                  <c:v>0.60374116471580297</c:v>
                </c:pt>
                <c:pt idx="75">
                  <c:v>0.55174367988103734</c:v>
                </c:pt>
                <c:pt idx="76">
                  <c:v>0.54405946330729504</c:v>
                </c:pt>
                <c:pt idx="77">
                  <c:v>0.4307606652121766</c:v>
                </c:pt>
                <c:pt idx="78">
                  <c:v>0.74746341861966192</c:v>
                </c:pt>
                <c:pt idx="79">
                  <c:v>0.57178942343359873</c:v>
                </c:pt>
                <c:pt idx="80">
                  <c:v>0.63573160083367797</c:v>
                </c:pt>
                <c:pt idx="81">
                  <c:v>0.95480840081563045</c:v>
                </c:pt>
                <c:pt idx="82">
                  <c:v>0.98927251294969987</c:v>
                </c:pt>
                <c:pt idx="83">
                  <c:v>0.97014796253594149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E3F-944A-8B02-D07931C5CC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CPR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Solar Penetration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Inputs'!$F$1</c:f>
              <c:strCache>
                <c:ptCount val="1"/>
                <c:pt idx="0">
                  <c:v>DK1 Solar Penetration (%) — Primary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'Capture Price Inputs'!$F$2:$F$85</c:f>
              <c:numCache>
                <c:formatCode>General</c:formatCode>
                <c:ptCount val="84"/>
                <c:pt idx="12">
                  <c:v>2.2644478926294831E-3</c:v>
                </c:pt>
                <c:pt idx="13">
                  <c:v>5.2474520244822449E-3</c:v>
                </c:pt>
                <c:pt idx="14">
                  <c:v>2.020167759412729E-2</c:v>
                </c:pt>
                <c:pt idx="15">
                  <c:v>3.2427989612304697E-2</c:v>
                </c:pt>
                <c:pt idx="16">
                  <c:v>3.6080087237903569E-2</c:v>
                </c:pt>
                <c:pt idx="17">
                  <c:v>3.7413618831640891E-2</c:v>
                </c:pt>
                <c:pt idx="18">
                  <c:v>3.3998433859503921E-2</c:v>
                </c:pt>
                <c:pt idx="19">
                  <c:v>3.4224763142537661E-2</c:v>
                </c:pt>
                <c:pt idx="20">
                  <c:v>2.4330151939157239E-2</c:v>
                </c:pt>
                <c:pt idx="21">
                  <c:v>1.1490387549446779E-2</c:v>
                </c:pt>
                <c:pt idx="22">
                  <c:v>1.521101274151999E-4</c:v>
                </c:pt>
                <c:pt idx="23">
                  <c:v>1.472410662127807E-5</c:v>
                </c:pt>
                <c:pt idx="24">
                  <c:v>3.6313559990350909E-3</c:v>
                </c:pt>
                <c:pt idx="25">
                  <c:v>1.0868941718057299E-2</c:v>
                </c:pt>
                <c:pt idx="26">
                  <c:v>2.2382303907371628E-2</c:v>
                </c:pt>
                <c:pt idx="27">
                  <c:v>4.212837115783985E-2</c:v>
                </c:pt>
                <c:pt idx="28">
                  <c:v>3.3075052211960353E-2</c:v>
                </c:pt>
                <c:pt idx="29">
                  <c:v>4.9841661821819518E-2</c:v>
                </c:pt>
                <c:pt idx="30">
                  <c:v>4.85715434854639E-2</c:v>
                </c:pt>
                <c:pt idx="31">
                  <c:v>3.8876947944708702E-2</c:v>
                </c:pt>
                <c:pt idx="32">
                  <c:v>2.5932850179436289E-2</c:v>
                </c:pt>
                <c:pt idx="33">
                  <c:v>1.7460096431489061E-2</c:v>
                </c:pt>
                <c:pt idx="34">
                  <c:v>7.0293060058135041E-3</c:v>
                </c:pt>
                <c:pt idx="35">
                  <c:v>3.243365391886713E-3</c:v>
                </c:pt>
                <c:pt idx="36">
                  <c:v>6.6753155472480874E-3</c:v>
                </c:pt>
                <c:pt idx="37">
                  <c:v>1.7399571233002901E-2</c:v>
                </c:pt>
                <c:pt idx="38">
                  <c:v>6.1955070586442867E-2</c:v>
                </c:pt>
                <c:pt idx="39">
                  <c:v>8.404056603836467E-2</c:v>
                </c:pt>
                <c:pt idx="40">
                  <c:v>9.6876891420316108E-2</c:v>
                </c:pt>
                <c:pt idx="41">
                  <c:v>9.4962020744311482E-2</c:v>
                </c:pt>
                <c:pt idx="42">
                  <c:v>9.963556652585577E-2</c:v>
                </c:pt>
                <c:pt idx="43">
                  <c:v>8.9626978325266782E-2</c:v>
                </c:pt>
                <c:pt idx="44">
                  <c:v>6.6046498591704736E-2</c:v>
                </c:pt>
                <c:pt idx="45">
                  <c:v>3.7469414477654707E-2</c:v>
                </c:pt>
                <c:pt idx="46">
                  <c:v>1.046932675470221E-2</c:v>
                </c:pt>
                <c:pt idx="47">
                  <c:v>6.2291646451968653E-3</c:v>
                </c:pt>
                <c:pt idx="48">
                  <c:v>1.2460694276862919E-2</c:v>
                </c:pt>
                <c:pt idx="49">
                  <c:v>3.4376404191763639E-2</c:v>
                </c:pt>
                <c:pt idx="50">
                  <c:v>5.6477968577058592E-2</c:v>
                </c:pt>
                <c:pt idx="51">
                  <c:v>0.1509467292684683</c:v>
                </c:pt>
                <c:pt idx="52">
                  <c:v>0.18600333743842001</c:v>
                </c:pt>
                <c:pt idx="53">
                  <c:v>0.21892573712946101</c:v>
                </c:pt>
                <c:pt idx="54">
                  <c:v>0.18929524056345021</c:v>
                </c:pt>
                <c:pt idx="55">
                  <c:v>0.1493297980639493</c:v>
                </c:pt>
                <c:pt idx="56">
                  <c:v>0.13191654386548721</c:v>
                </c:pt>
                <c:pt idx="57">
                  <c:v>4.2864886456730103E-2</c:v>
                </c:pt>
                <c:pt idx="58">
                  <c:v>1.6003493537152379E-2</c:v>
                </c:pt>
                <c:pt idx="59">
                  <c:v>6.3905046726965339E-3</c:v>
                </c:pt>
                <c:pt idx="60">
                  <c:v>1.3417186050607519E-2</c:v>
                </c:pt>
                <c:pt idx="61">
                  <c:v>2.6436223837926501E-2</c:v>
                </c:pt>
                <c:pt idx="62">
                  <c:v>6.6233973400350477E-2</c:v>
                </c:pt>
                <c:pt idx="63">
                  <c:v>0.1084169878649764</c:v>
                </c:pt>
                <c:pt idx="64">
                  <c:v>0.18887031649880051</c:v>
                </c:pt>
                <c:pt idx="65">
                  <c:v>0.1715230569234828</c:v>
                </c:pt>
                <c:pt idx="66">
                  <c:v>0.1809062055635286</c:v>
                </c:pt>
                <c:pt idx="67">
                  <c:v>0.15512153111725799</c:v>
                </c:pt>
                <c:pt idx="68">
                  <c:v>0.1275567235314205</c:v>
                </c:pt>
                <c:pt idx="69">
                  <c:v>6.2873767847415107E-2</c:v>
                </c:pt>
                <c:pt idx="70">
                  <c:v>1.780902737610289E-2</c:v>
                </c:pt>
                <c:pt idx="71">
                  <c:v>6.7857975683456679E-3</c:v>
                </c:pt>
                <c:pt idx="72">
                  <c:v>1.366055484422285E-2</c:v>
                </c:pt>
                <c:pt idx="73">
                  <c:v>4.3419934817177687E-2</c:v>
                </c:pt>
                <c:pt idx="74">
                  <c:v>0.1120694547038418</c:v>
                </c:pt>
                <c:pt idx="75">
                  <c:v>0.14827548756052711</c:v>
                </c:pt>
                <c:pt idx="76">
                  <c:v>0.19244468175967161</c:v>
                </c:pt>
                <c:pt idx="77">
                  <c:v>0.18784829238523279</c:v>
                </c:pt>
                <c:pt idx="78">
                  <c:v>0.21828188848241209</c:v>
                </c:pt>
                <c:pt idx="79">
                  <c:v>0.19011684012808119</c:v>
                </c:pt>
                <c:pt idx="80">
                  <c:v>0.13816152724517919</c:v>
                </c:pt>
                <c:pt idx="81">
                  <c:v>6.9462071202051626E-2</c:v>
                </c:pt>
                <c:pt idx="82">
                  <c:v>2.6604970402147529E-2</c:v>
                </c:pt>
                <c:pt idx="83">
                  <c:v>1.40253486520015E-2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F9-1C4D-9BF6-F6B6DB912923}"/>
            </c:ext>
          </c:extLst>
        </c:ser>
        <c:ser>
          <c:idx val="1"/>
          <c:order val="1"/>
          <c:tx>
            <c:strRef>
              <c:f>'Capture Price Inputs'!$G$1</c:f>
              <c:strCache>
                <c:ptCount val="1"/>
                <c:pt idx="0">
                  <c:v>DK2 Solar Penetration (%) — Robustness</c:v>
                </c:pt>
              </c:strCache>
            </c:strRef>
          </c:tx>
          <c:spPr>
            <a:ln>
              <a:solidFill>
                <a:srgbClr val="FFD700"/>
              </a:solidFill>
              <a:prstDash val="solid"/>
            </a:ln>
          </c:spPr>
          <c:marker>
            <c:symbol val="none"/>
          </c:marker>
          <c:val>
            <c:numRef>
              <c:f>'Capture Price Inputs'!$G$2:$G$85</c:f>
              <c:numCache>
                <c:formatCode>General</c:formatCode>
                <c:ptCount val="84"/>
                <c:pt idx="12">
                  <c:v>1.864323044087839E-3</c:v>
                </c:pt>
                <c:pt idx="13">
                  <c:v>4.9613393448072352E-3</c:v>
                </c:pt>
                <c:pt idx="14">
                  <c:v>1.532033335337761E-2</c:v>
                </c:pt>
                <c:pt idx="15">
                  <c:v>2.6180595134545931E-2</c:v>
                </c:pt>
                <c:pt idx="16">
                  <c:v>3.2240930774166239E-2</c:v>
                </c:pt>
                <c:pt idx="17">
                  <c:v>3.0651812088155841E-2</c:v>
                </c:pt>
                <c:pt idx="18">
                  <c:v>2.998206800974695E-2</c:v>
                </c:pt>
                <c:pt idx="19">
                  <c:v>2.8034713414307081E-2</c:v>
                </c:pt>
                <c:pt idx="20">
                  <c:v>2.1736479101595249E-2</c:v>
                </c:pt>
                <c:pt idx="21">
                  <c:v>1.107911770574695E-2</c:v>
                </c:pt>
                <c:pt idx="22">
                  <c:v>1.1044611578332841E-4</c:v>
                </c:pt>
                <c:pt idx="23">
                  <c:v>5.6352433584062588E-6</c:v>
                </c:pt>
                <c:pt idx="24">
                  <c:v>3.104474131982996E-3</c:v>
                </c:pt>
                <c:pt idx="25">
                  <c:v>9.2483369487723587E-3</c:v>
                </c:pt>
                <c:pt idx="26">
                  <c:v>1.8474517045212829E-2</c:v>
                </c:pt>
                <c:pt idx="27">
                  <c:v>3.2694407483312787E-2</c:v>
                </c:pt>
                <c:pt idx="28">
                  <c:v>3.2945829294540187E-2</c:v>
                </c:pt>
                <c:pt idx="29">
                  <c:v>4.4480133140056069E-2</c:v>
                </c:pt>
                <c:pt idx="30">
                  <c:v>3.7049542537302173E-2</c:v>
                </c:pt>
                <c:pt idx="31">
                  <c:v>3.1857768834261987E-2</c:v>
                </c:pt>
                <c:pt idx="32">
                  <c:v>2.23981137027396E-2</c:v>
                </c:pt>
                <c:pt idx="33">
                  <c:v>1.267326343754744E-2</c:v>
                </c:pt>
                <c:pt idx="34">
                  <c:v>4.0132810857910267E-3</c:v>
                </c:pt>
                <c:pt idx="35">
                  <c:v>1.8226295838260991E-3</c:v>
                </c:pt>
                <c:pt idx="36">
                  <c:v>4.939556742877535E-3</c:v>
                </c:pt>
                <c:pt idx="37">
                  <c:v>1.3248485586698279E-2</c:v>
                </c:pt>
                <c:pt idx="38">
                  <c:v>3.4089330349121053E-2</c:v>
                </c:pt>
                <c:pt idx="39">
                  <c:v>5.5254436099578648E-2</c:v>
                </c:pt>
                <c:pt idx="40">
                  <c:v>6.5811459960859395E-2</c:v>
                </c:pt>
                <c:pt idx="41">
                  <c:v>6.4528229045867816E-2</c:v>
                </c:pt>
                <c:pt idx="42">
                  <c:v>6.7025803801952916E-2</c:v>
                </c:pt>
                <c:pt idx="43">
                  <c:v>6.1299924397195817E-2</c:v>
                </c:pt>
                <c:pt idx="44">
                  <c:v>4.5784276103507021E-2</c:v>
                </c:pt>
                <c:pt idx="45">
                  <c:v>2.9809058027035401E-2</c:v>
                </c:pt>
                <c:pt idx="46">
                  <c:v>7.8652952619005494E-3</c:v>
                </c:pt>
                <c:pt idx="47">
                  <c:v>4.5323555529735481E-3</c:v>
                </c:pt>
                <c:pt idx="48">
                  <c:v>5.8626527231366082E-3</c:v>
                </c:pt>
                <c:pt idx="49">
                  <c:v>1.8877648418373551E-2</c:v>
                </c:pt>
                <c:pt idx="50">
                  <c:v>3.7096229392005707E-2</c:v>
                </c:pt>
                <c:pt idx="51">
                  <c:v>8.0269966033824955E-2</c:v>
                </c:pt>
                <c:pt idx="52">
                  <c:v>0.1080032082802261</c:v>
                </c:pt>
                <c:pt idx="53">
                  <c:v>0.1144244665352921</c:v>
                </c:pt>
                <c:pt idx="54">
                  <c:v>0.10203074507159759</c:v>
                </c:pt>
                <c:pt idx="55">
                  <c:v>7.7931010532967707E-2</c:v>
                </c:pt>
                <c:pt idx="56">
                  <c:v>8.0909954639318743E-2</c:v>
                </c:pt>
                <c:pt idx="57">
                  <c:v>2.9172340215594381E-2</c:v>
                </c:pt>
                <c:pt idx="58">
                  <c:v>1.04098691216888E-2</c:v>
                </c:pt>
                <c:pt idx="59">
                  <c:v>3.809030164374855E-3</c:v>
                </c:pt>
                <c:pt idx="60">
                  <c:v>6.1781830729755079E-3</c:v>
                </c:pt>
                <c:pt idx="61">
                  <c:v>1.667231366864759E-2</c:v>
                </c:pt>
                <c:pt idx="62">
                  <c:v>4.1112806367337662E-2</c:v>
                </c:pt>
                <c:pt idx="63">
                  <c:v>6.5123378744806448E-2</c:v>
                </c:pt>
                <c:pt idx="64">
                  <c:v>0.106315341440858</c:v>
                </c:pt>
                <c:pt idx="65">
                  <c:v>0.1072729076610999</c:v>
                </c:pt>
                <c:pt idx="66">
                  <c:v>0.1057942634887733</c:v>
                </c:pt>
                <c:pt idx="67">
                  <c:v>9.3690832268705199E-2</c:v>
                </c:pt>
                <c:pt idx="68">
                  <c:v>7.2463202820400169E-2</c:v>
                </c:pt>
                <c:pt idx="69">
                  <c:v>3.6145253892379881E-2</c:v>
                </c:pt>
                <c:pt idx="70">
                  <c:v>8.6028414054236078E-3</c:v>
                </c:pt>
                <c:pt idx="71">
                  <c:v>4.1714684657767577E-3</c:v>
                </c:pt>
                <c:pt idx="72">
                  <c:v>7.223240212576967E-3</c:v>
                </c:pt>
                <c:pt idx="73">
                  <c:v>2.010831138567791E-2</c:v>
                </c:pt>
                <c:pt idx="74">
                  <c:v>4.6547866447452589E-2</c:v>
                </c:pt>
                <c:pt idx="75">
                  <c:v>7.1689783649061992E-2</c:v>
                </c:pt>
                <c:pt idx="76">
                  <c:v>9.4714127256233946E-2</c:v>
                </c:pt>
                <c:pt idx="77">
                  <c:v>9.9826250015510765E-2</c:v>
                </c:pt>
                <c:pt idx="78">
                  <c:v>9.3996419418699143E-2</c:v>
                </c:pt>
                <c:pt idx="79">
                  <c:v>0.1057378118957395</c:v>
                </c:pt>
                <c:pt idx="80">
                  <c:v>9.0628879686523764E-2</c:v>
                </c:pt>
                <c:pt idx="81">
                  <c:v>3.9573125678626628E-2</c:v>
                </c:pt>
                <c:pt idx="82">
                  <c:v>1.454364344794783E-2</c:v>
                </c:pt>
                <c:pt idx="83">
                  <c:v>9.0694911608833299E-3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F9-1C4D-9BF6-F6B6DB9129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Solar Penetration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Capture Price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Inputs'!$H$1</c:f>
              <c:strCache>
                <c:ptCount val="1"/>
                <c:pt idx="0">
                  <c:v>DK1 Capture Price (EUR/MWh)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Inputs'!$H$2:$H$85</c:f>
              <c:numCache>
                <c:formatCode>General</c:formatCode>
                <c:ptCount val="84"/>
                <c:pt idx="12">
                  <c:v>25.22320957280251</c:v>
                </c:pt>
                <c:pt idx="13">
                  <c:v>22.83581899109792</c:v>
                </c:pt>
                <c:pt idx="14">
                  <c:v>15.94107348554973</c:v>
                </c:pt>
                <c:pt idx="15">
                  <c:v>10.36487590420421</c:v>
                </c:pt>
                <c:pt idx="16">
                  <c:v>15.478548945086001</c:v>
                </c:pt>
                <c:pt idx="17">
                  <c:v>27.313308227868689</c:v>
                </c:pt>
                <c:pt idx="18">
                  <c:v>24.831745178109159</c:v>
                </c:pt>
                <c:pt idx="19">
                  <c:v>33.876915422047851</c:v>
                </c:pt>
                <c:pt idx="20">
                  <c:v>38.935979003379593</c:v>
                </c:pt>
                <c:pt idx="21">
                  <c:v>31.927741533059191</c:v>
                </c:pt>
                <c:pt idx="22">
                  <c:v>26.005993265993261</c:v>
                </c:pt>
                <c:pt idx="23">
                  <c:v>34.795161290322582</c:v>
                </c:pt>
                <c:pt idx="24">
                  <c:v>55.422967607277918</c:v>
                </c:pt>
                <c:pt idx="25">
                  <c:v>47.542610979142587</c:v>
                </c:pt>
                <c:pt idx="26">
                  <c:v>44.550700915805493</c:v>
                </c:pt>
                <c:pt idx="27">
                  <c:v>43.594739828473003</c:v>
                </c:pt>
                <c:pt idx="28">
                  <c:v>47.655870575001217</c:v>
                </c:pt>
                <c:pt idx="29">
                  <c:v>70.543547911111062</c:v>
                </c:pt>
                <c:pt idx="30">
                  <c:v>78.568319747758608</c:v>
                </c:pt>
                <c:pt idx="31">
                  <c:v>81.983351136401794</c:v>
                </c:pt>
                <c:pt idx="32">
                  <c:v>116.20022495544841</c:v>
                </c:pt>
                <c:pt idx="33">
                  <c:v>126.53039520323949</c:v>
                </c:pt>
                <c:pt idx="34">
                  <c:v>160.77058330102949</c:v>
                </c:pt>
                <c:pt idx="35">
                  <c:v>228.8621705579358</c:v>
                </c:pt>
                <c:pt idx="36">
                  <c:v>123.20125067917191</c:v>
                </c:pt>
                <c:pt idx="37">
                  <c:v>117.67077903546</c:v>
                </c:pt>
                <c:pt idx="38">
                  <c:v>191.50807173506701</c:v>
                </c:pt>
                <c:pt idx="39">
                  <c:v>145.70138715926041</c:v>
                </c:pt>
                <c:pt idx="40">
                  <c:v>149.4185612445558</c:v>
                </c:pt>
                <c:pt idx="41">
                  <c:v>194.71103409481981</c:v>
                </c:pt>
                <c:pt idx="42">
                  <c:v>239.3981525107354</c:v>
                </c:pt>
                <c:pt idx="43">
                  <c:v>419.79263722660602</c:v>
                </c:pt>
                <c:pt idx="44">
                  <c:v>310.70739927266709</c:v>
                </c:pt>
                <c:pt idx="45">
                  <c:v>125.6295598680838</c:v>
                </c:pt>
                <c:pt idx="46">
                  <c:v>131.7111886265582</c:v>
                </c:pt>
                <c:pt idx="47">
                  <c:v>282.82379374207261</c:v>
                </c:pt>
                <c:pt idx="48">
                  <c:v>138.52998868426329</c:v>
                </c:pt>
                <c:pt idx="49">
                  <c:v>109.87697572135031</c:v>
                </c:pt>
                <c:pt idx="50">
                  <c:v>93.774190940695377</c:v>
                </c:pt>
                <c:pt idx="51">
                  <c:v>76.25042822265543</c:v>
                </c:pt>
                <c:pt idx="52">
                  <c:v>50.543487760082613</c:v>
                </c:pt>
                <c:pt idx="53">
                  <c:v>74.888982776218057</c:v>
                </c:pt>
                <c:pt idx="54">
                  <c:v>52.095599438463452</c:v>
                </c:pt>
                <c:pt idx="55">
                  <c:v>74.180426039978187</c:v>
                </c:pt>
                <c:pt idx="56">
                  <c:v>68.116869623396937</c:v>
                </c:pt>
                <c:pt idx="57">
                  <c:v>50.539090519702853</c:v>
                </c:pt>
                <c:pt idx="58">
                  <c:v>90.680805562425178</c:v>
                </c:pt>
                <c:pt idx="59">
                  <c:v>63.455327688788032</c:v>
                </c:pt>
                <c:pt idx="60">
                  <c:v>78.571316441678306</c:v>
                </c:pt>
                <c:pt idx="61">
                  <c:v>59.479486768055089</c:v>
                </c:pt>
                <c:pt idx="62">
                  <c:v>51.269783241554933</c:v>
                </c:pt>
                <c:pt idx="63">
                  <c:v>49.383940562011212</c:v>
                </c:pt>
                <c:pt idx="64">
                  <c:v>35.894148271408874</c:v>
                </c:pt>
                <c:pt idx="65">
                  <c:v>47.037633727397647</c:v>
                </c:pt>
                <c:pt idx="66">
                  <c:v>42.521773223099522</c:v>
                </c:pt>
                <c:pt idx="67">
                  <c:v>52.17121747504909</c:v>
                </c:pt>
                <c:pt idx="68">
                  <c:v>45.647504626217007</c:v>
                </c:pt>
                <c:pt idx="69">
                  <c:v>58.441583787091993</c:v>
                </c:pt>
                <c:pt idx="70">
                  <c:v>97.582352616331917</c:v>
                </c:pt>
                <c:pt idx="71">
                  <c:v>92.073217693833982</c:v>
                </c:pt>
                <c:pt idx="72">
                  <c:v>111.1945655985155</c:v>
                </c:pt>
                <c:pt idx="73">
                  <c:v>105.41315973788279</c:v>
                </c:pt>
                <c:pt idx="74">
                  <c:v>57.84566339627056</c:v>
                </c:pt>
                <c:pt idx="75">
                  <c:v>45.844395770687349</c:v>
                </c:pt>
                <c:pt idx="76">
                  <c:v>40.065667394009381</c:v>
                </c:pt>
                <c:pt idx="77">
                  <c:v>33.493381965196598</c:v>
                </c:pt>
                <c:pt idx="78">
                  <c:v>61.32224821093979</c:v>
                </c:pt>
                <c:pt idx="79">
                  <c:v>47.755824567457559</c:v>
                </c:pt>
                <c:pt idx="80">
                  <c:v>49.429094996057238</c:v>
                </c:pt>
                <c:pt idx="81">
                  <c:v>74.266634537895257</c:v>
                </c:pt>
                <c:pt idx="82">
                  <c:v>95.564531802521344</c:v>
                </c:pt>
                <c:pt idx="83">
                  <c:v>80.958034242780258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37-5442-AE38-F1906C4D6AE2}"/>
            </c:ext>
          </c:extLst>
        </c:ser>
        <c:ser>
          <c:idx val="1"/>
          <c:order val="1"/>
          <c:tx>
            <c:strRef>
              <c:f>'Capture Price Inputs'!$I$1</c:f>
              <c:strCache>
                <c:ptCount val="1"/>
                <c:pt idx="0">
                  <c:v>DK2 Capture Price (EUR/MWh)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'Capture Price Inputs'!$I$2:$I$85</c:f>
              <c:numCache>
                <c:formatCode>General</c:formatCode>
                <c:ptCount val="84"/>
                <c:pt idx="12">
                  <c:v>29.86213642213642</c:v>
                </c:pt>
                <c:pt idx="13">
                  <c:v>23.555517829721889</c:v>
                </c:pt>
                <c:pt idx="14">
                  <c:v>17.149050692261021</c:v>
                </c:pt>
                <c:pt idx="15">
                  <c:v>13.252523128367081</c:v>
                </c:pt>
                <c:pt idx="16">
                  <c:v>18.594049382716051</c:v>
                </c:pt>
                <c:pt idx="17">
                  <c:v>35.21078005032583</c:v>
                </c:pt>
                <c:pt idx="18">
                  <c:v>26.450778046867001</c:v>
                </c:pt>
                <c:pt idx="19">
                  <c:v>44.113765015404859</c:v>
                </c:pt>
                <c:pt idx="20">
                  <c:v>41.853047880870562</c:v>
                </c:pt>
                <c:pt idx="21">
                  <c:v>33.600878372903331</c:v>
                </c:pt>
                <c:pt idx="22">
                  <c:v>37.749765625000002</c:v>
                </c:pt>
                <c:pt idx="23">
                  <c:v>44.191428571428567</c:v>
                </c:pt>
                <c:pt idx="24">
                  <c:v>57.072134410081453</c:v>
                </c:pt>
                <c:pt idx="25">
                  <c:v>52.285083654524577</c:v>
                </c:pt>
                <c:pt idx="26">
                  <c:v>47.422643011897812</c:v>
                </c:pt>
                <c:pt idx="27">
                  <c:v>45.901363748248833</c:v>
                </c:pt>
                <c:pt idx="28">
                  <c:v>50.258720231460799</c:v>
                </c:pt>
                <c:pt idx="29">
                  <c:v>69.469341653776226</c:v>
                </c:pt>
                <c:pt idx="30">
                  <c:v>77.933111551394319</c:v>
                </c:pt>
                <c:pt idx="31">
                  <c:v>84.512747690257029</c:v>
                </c:pt>
                <c:pt idx="32">
                  <c:v>118.7457227855615</c:v>
                </c:pt>
                <c:pt idx="33">
                  <c:v>122.3841235967906</c:v>
                </c:pt>
                <c:pt idx="34">
                  <c:v>153.62679427815749</c:v>
                </c:pt>
                <c:pt idx="35">
                  <c:v>244.48727859764409</c:v>
                </c:pt>
                <c:pt idx="36">
                  <c:v>129.67749023150819</c:v>
                </c:pt>
                <c:pt idx="37">
                  <c:v>108.80333899256409</c:v>
                </c:pt>
                <c:pt idx="38">
                  <c:v>186.0504424586062</c:v>
                </c:pt>
                <c:pt idx="39">
                  <c:v>143.53758886421849</c:v>
                </c:pt>
                <c:pt idx="40">
                  <c:v>146.25360234460331</c:v>
                </c:pt>
                <c:pt idx="41">
                  <c:v>192.2325905808319</c:v>
                </c:pt>
                <c:pt idx="42">
                  <c:v>212.3625858003895</c:v>
                </c:pt>
                <c:pt idx="43">
                  <c:v>397.17988485976059</c:v>
                </c:pt>
                <c:pt idx="44">
                  <c:v>315.92884279677901</c:v>
                </c:pt>
                <c:pt idx="45">
                  <c:v>120.1190076327392</c:v>
                </c:pt>
                <c:pt idx="46">
                  <c:v>134.0399027878758</c:v>
                </c:pt>
                <c:pt idx="47">
                  <c:v>303.26978481668573</c:v>
                </c:pt>
                <c:pt idx="48">
                  <c:v>120.8992864784306</c:v>
                </c:pt>
                <c:pt idx="49">
                  <c:v>103.112625406295</c:v>
                </c:pt>
                <c:pt idx="50">
                  <c:v>89.098468921641697</c:v>
                </c:pt>
                <c:pt idx="51">
                  <c:v>71.125099705594195</c:v>
                </c:pt>
                <c:pt idx="52">
                  <c:v>48.358083796456327</c:v>
                </c:pt>
                <c:pt idx="53">
                  <c:v>71.862090372222397</c:v>
                </c:pt>
                <c:pt idx="54">
                  <c:v>50.345966617092351</c:v>
                </c:pt>
                <c:pt idx="55">
                  <c:v>72.957992347987414</c:v>
                </c:pt>
                <c:pt idx="56">
                  <c:v>64.394484672464898</c:v>
                </c:pt>
                <c:pt idx="57">
                  <c:v>47.660255094286853</c:v>
                </c:pt>
                <c:pt idx="58">
                  <c:v>84.639978605265995</c:v>
                </c:pt>
                <c:pt idx="59">
                  <c:v>59.061746333079718</c:v>
                </c:pt>
                <c:pt idx="60">
                  <c:v>76.427202535219209</c:v>
                </c:pt>
                <c:pt idx="61">
                  <c:v>51.434379196547752</c:v>
                </c:pt>
                <c:pt idx="62">
                  <c:v>50.751163813053438</c:v>
                </c:pt>
                <c:pt idx="63">
                  <c:v>47.053967904827999</c:v>
                </c:pt>
                <c:pt idx="64">
                  <c:v>34.295794113692892</c:v>
                </c:pt>
                <c:pt idx="65">
                  <c:v>46.379384034583367</c:v>
                </c:pt>
                <c:pt idx="66">
                  <c:v>38.812821969471173</c:v>
                </c:pt>
                <c:pt idx="67">
                  <c:v>47.151863118292532</c:v>
                </c:pt>
                <c:pt idx="68">
                  <c:v>43.355946350842189</c:v>
                </c:pt>
                <c:pt idx="69">
                  <c:v>59.534937630286556</c:v>
                </c:pt>
                <c:pt idx="70">
                  <c:v>89.611277477917284</c:v>
                </c:pt>
                <c:pt idx="71">
                  <c:v>100.7961313991171</c:v>
                </c:pt>
                <c:pt idx="72">
                  <c:v>115.0822593270056</c:v>
                </c:pt>
                <c:pt idx="73">
                  <c:v>106.92318207316821</c:v>
                </c:pt>
                <c:pt idx="74">
                  <c:v>50.018062961268747</c:v>
                </c:pt>
                <c:pt idx="75">
                  <c:v>41.82584156307518</c:v>
                </c:pt>
                <c:pt idx="76">
                  <c:v>34.320660344591218</c:v>
                </c:pt>
                <c:pt idx="77">
                  <c:v>24.31568572006325</c:v>
                </c:pt>
                <c:pt idx="78">
                  <c:v>59.766943882147693</c:v>
                </c:pt>
                <c:pt idx="79">
                  <c:v>43.064604783544858</c:v>
                </c:pt>
                <c:pt idx="80">
                  <c:v>52.949405153808357</c:v>
                </c:pt>
                <c:pt idx="81">
                  <c:v>78.645730322406678</c:v>
                </c:pt>
                <c:pt idx="82">
                  <c:v>92.690454871532665</c:v>
                </c:pt>
                <c:pt idx="83">
                  <c:v>79.631228022083661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37-5442-AE38-F1906C4D6A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Capture Price Ratio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Inputs'!$J$1</c:f>
              <c:strCache>
                <c:ptCount val="1"/>
                <c:pt idx="0">
                  <c:v>DK1 CPR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Inputs'!$J$2:$J$85</c:f>
              <c:numCache>
                <c:formatCode>General</c:formatCode>
                <c:ptCount val="84"/>
                <c:pt idx="12">
                  <c:v>1.0091486594474419</c:v>
                </c:pt>
                <c:pt idx="13">
                  <c:v>1.2985911686950511</c:v>
                </c:pt>
                <c:pt idx="14">
                  <c:v>0.8710146939215303</c:v>
                </c:pt>
                <c:pt idx="15">
                  <c:v>0.71315772558819213</c:v>
                </c:pt>
                <c:pt idx="16">
                  <c:v>0.96415576931205649</c:v>
                </c:pt>
                <c:pt idx="17">
                  <c:v>1.0394664137310941</c:v>
                </c:pt>
                <c:pt idx="18">
                  <c:v>1.0086181556608309</c:v>
                </c:pt>
                <c:pt idx="19">
                  <c:v>0.98082264407500741</c:v>
                </c:pt>
                <c:pt idx="20">
                  <c:v>1.0104044869130051</c:v>
                </c:pt>
                <c:pt idx="21">
                  <c:v>1.236802226812374</c:v>
                </c:pt>
                <c:pt idx="22">
                  <c:v>1.094777917215692</c:v>
                </c:pt>
                <c:pt idx="23">
                  <c:v>1.0082301641826621</c:v>
                </c:pt>
                <c:pt idx="24">
                  <c:v>1.103930861568265</c:v>
                </c:pt>
                <c:pt idx="25">
                  <c:v>1.0059479277054251</c:v>
                </c:pt>
                <c:pt idx="26">
                  <c:v>0.9871758725122356</c:v>
                </c:pt>
                <c:pt idx="27">
                  <c:v>0.90884647456650169</c:v>
                </c:pt>
                <c:pt idx="28">
                  <c:v>0.87751805187154364</c:v>
                </c:pt>
                <c:pt idx="29">
                  <c:v>0.95691427953473174</c:v>
                </c:pt>
                <c:pt idx="30">
                  <c:v>0.98211323715969778</c:v>
                </c:pt>
                <c:pt idx="31">
                  <c:v>0.99027147802450566</c:v>
                </c:pt>
                <c:pt idx="32">
                  <c:v>0.92690440483613579</c:v>
                </c:pt>
                <c:pt idx="33">
                  <c:v>1.0810885074134391</c:v>
                </c:pt>
                <c:pt idx="34">
                  <c:v>1.1338034085044659</c:v>
                </c:pt>
                <c:pt idx="35">
                  <c:v>1.2086769624549281</c:v>
                </c:pt>
                <c:pt idx="36">
                  <c:v>1.0441257304277269</c:v>
                </c:pt>
                <c:pt idx="37">
                  <c:v>1.04022281700981</c:v>
                </c:pt>
                <c:pt idx="38">
                  <c:v>0.81207759044207406</c:v>
                </c:pt>
                <c:pt idx="39">
                  <c:v>0.89039133384678326</c:v>
                </c:pt>
                <c:pt idx="40">
                  <c:v>0.86943016050498578</c:v>
                </c:pt>
                <c:pt idx="41">
                  <c:v>0.90803902012341908</c:v>
                </c:pt>
                <c:pt idx="42">
                  <c:v>0.87041791592949547</c:v>
                </c:pt>
                <c:pt idx="43">
                  <c:v>0.91908553046700026</c:v>
                </c:pt>
                <c:pt idx="44">
                  <c:v>0.90632901805683119</c:v>
                </c:pt>
                <c:pt idx="45">
                  <c:v>0.91612325253961768</c:v>
                </c:pt>
                <c:pt idx="46">
                  <c:v>0.94278612074660006</c:v>
                </c:pt>
                <c:pt idx="47">
                  <c:v>1.132810339248927</c:v>
                </c:pt>
                <c:pt idx="48">
                  <c:v>1.2309198691226539</c:v>
                </c:pt>
                <c:pt idx="49">
                  <c:v>0.93008781340266</c:v>
                </c:pt>
                <c:pt idx="50">
                  <c:v>0.94612539759598957</c:v>
                </c:pt>
                <c:pt idx="51">
                  <c:v>0.79203966120386338</c:v>
                </c:pt>
                <c:pt idx="52">
                  <c:v>0.68333610561519953</c:v>
                </c:pt>
                <c:pt idx="53">
                  <c:v>0.80965062086215667</c:v>
                </c:pt>
                <c:pt idx="54">
                  <c:v>0.80380421953260928</c:v>
                </c:pt>
                <c:pt idx="55">
                  <c:v>0.86289309777204071</c:v>
                </c:pt>
                <c:pt idx="56">
                  <c:v>0.8038389922187259</c:v>
                </c:pt>
                <c:pt idx="57">
                  <c:v>0.84083605560542263</c:v>
                </c:pt>
                <c:pt idx="58">
                  <c:v>1.028656893611996</c:v>
                </c:pt>
                <c:pt idx="59">
                  <c:v>0.91325607762876626</c:v>
                </c:pt>
                <c:pt idx="60">
                  <c:v>1.051614630458469</c:v>
                </c:pt>
                <c:pt idx="61">
                  <c:v>1.0144208291794441</c:v>
                </c:pt>
                <c:pt idx="62">
                  <c:v>0.8373818542217274</c:v>
                </c:pt>
                <c:pt idx="63">
                  <c:v>0.83468460161643787</c:v>
                </c:pt>
                <c:pt idx="64">
                  <c:v>0.61339845366508694</c:v>
                </c:pt>
                <c:pt idx="65">
                  <c:v>0.73781003223868646</c:v>
                </c:pt>
                <c:pt idx="66">
                  <c:v>0.68549949487061801</c:v>
                </c:pt>
                <c:pt idx="67">
                  <c:v>0.71512676219349525</c:v>
                </c:pt>
                <c:pt idx="68">
                  <c:v>0.63652522303957304</c:v>
                </c:pt>
                <c:pt idx="69">
                  <c:v>0.76175188075929667</c:v>
                </c:pt>
                <c:pt idx="70">
                  <c:v>1.0174940038611719</c:v>
                </c:pt>
                <c:pt idx="71">
                  <c:v>1.0025674160411211</c:v>
                </c:pt>
                <c:pt idx="72">
                  <c:v>1.135032584901597</c:v>
                </c:pt>
                <c:pt idx="73">
                  <c:v>0.93411665141872979</c:v>
                </c:pt>
                <c:pt idx="74">
                  <c:v>0.68579081688022481</c:v>
                </c:pt>
                <c:pt idx="75">
                  <c:v>0.60995353561832499</c:v>
                </c:pt>
                <c:pt idx="76">
                  <c:v>0.62375117423189408</c:v>
                </c:pt>
                <c:pt idx="77">
                  <c:v>0.56976432128633303</c:v>
                </c:pt>
                <c:pt idx="78">
                  <c:v>0.74058967108380014</c:v>
                </c:pt>
                <c:pt idx="79">
                  <c:v>0.64997112344594554</c:v>
                </c:pt>
                <c:pt idx="80">
                  <c:v>0.68273474898658593</c:v>
                </c:pt>
                <c:pt idx="81">
                  <c:v>0.94701517193480578</c:v>
                </c:pt>
                <c:pt idx="82">
                  <c:v>1.0289764309560969</c:v>
                </c:pt>
                <c:pt idx="83">
                  <c:v>0.98205388617926037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406-7244-ACFC-26F9E2320CD4}"/>
            </c:ext>
          </c:extLst>
        </c:ser>
        <c:ser>
          <c:idx val="1"/>
          <c:order val="1"/>
          <c:tx>
            <c:strRef>
              <c:f>'Capture Price Inputs'!$K$1</c:f>
              <c:strCache>
                <c:ptCount val="1"/>
                <c:pt idx="0">
                  <c:v>DK2 CPR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'Capture Price Inputs'!$K$2:$K$85</c:f>
              <c:numCache>
                <c:formatCode>General</c:formatCode>
                <c:ptCount val="84"/>
                <c:pt idx="12">
                  <c:v>1.090446324793763</c:v>
                </c:pt>
                <c:pt idx="13">
                  <c:v>1.251821301318464</c:v>
                </c:pt>
                <c:pt idx="14">
                  <c:v>0.85520775851277109</c:v>
                </c:pt>
                <c:pt idx="15">
                  <c:v>0.76362023547871605</c:v>
                </c:pt>
                <c:pt idx="16">
                  <c:v>0.97636938233545278</c:v>
                </c:pt>
                <c:pt idx="17">
                  <c:v>1.180647007173951</c:v>
                </c:pt>
                <c:pt idx="18">
                  <c:v>1.021791049952987</c:v>
                </c:pt>
                <c:pt idx="19">
                  <c:v>1.077948442472481</c:v>
                </c:pt>
                <c:pt idx="20">
                  <c:v>1.0591890923358069</c:v>
                </c:pt>
                <c:pt idx="21">
                  <c:v>1.247549053102559</c:v>
                </c:pt>
                <c:pt idx="22">
                  <c:v>1.057080411727209</c:v>
                </c:pt>
                <c:pt idx="23">
                  <c:v>1.125691191699302</c:v>
                </c:pt>
                <c:pt idx="24">
                  <c:v>1.122164979814525</c:v>
                </c:pt>
                <c:pt idx="25">
                  <c:v>0.9585139857498034</c:v>
                </c:pt>
                <c:pt idx="26">
                  <c:v>1.0147741726503949</c:v>
                </c:pt>
                <c:pt idx="27">
                  <c:v>0.95901643664766134</c:v>
                </c:pt>
                <c:pt idx="28">
                  <c:v>0.91033887361171206</c:v>
                </c:pt>
                <c:pt idx="29">
                  <c:v>0.94404491874816343</c:v>
                </c:pt>
                <c:pt idx="30">
                  <c:v>0.95692856904650769</c:v>
                </c:pt>
                <c:pt idx="31">
                  <c:v>1.001768528067071</c:v>
                </c:pt>
                <c:pt idx="32">
                  <c:v>0.95838336990944806</c:v>
                </c:pt>
                <c:pt idx="33">
                  <c:v>1.1445012658471321</c:v>
                </c:pt>
                <c:pt idx="34">
                  <c:v>1.1264608571418011</c:v>
                </c:pt>
                <c:pt idx="35">
                  <c:v>1.279578427053047</c:v>
                </c:pt>
                <c:pt idx="36">
                  <c:v>1.1617546523412821</c:v>
                </c:pt>
                <c:pt idx="37">
                  <c:v>1.084871924613185</c:v>
                </c:pt>
                <c:pt idx="38">
                  <c:v>0.81629582758371144</c:v>
                </c:pt>
                <c:pt idx="39">
                  <c:v>0.93918048773921026</c:v>
                </c:pt>
                <c:pt idx="40">
                  <c:v>0.89914563143311954</c:v>
                </c:pt>
                <c:pt idx="41">
                  <c:v>0.90151367457475784</c:v>
                </c:pt>
                <c:pt idx="42">
                  <c:v>0.90956244496775596</c:v>
                </c:pt>
                <c:pt idx="43">
                  <c:v>0.8830756108422062</c:v>
                </c:pt>
                <c:pt idx="44">
                  <c:v>0.96085369829588263</c:v>
                </c:pt>
                <c:pt idx="45">
                  <c:v>0.87743541957368609</c:v>
                </c:pt>
                <c:pt idx="46">
                  <c:v>0.92404474391789948</c:v>
                </c:pt>
                <c:pt idx="47">
                  <c:v>1.2185280560697289</c:v>
                </c:pt>
                <c:pt idx="48">
                  <c:v>1.2118663236304299</c:v>
                </c:pt>
                <c:pt idx="49">
                  <c:v>1.0244781228159621</c:v>
                </c:pt>
                <c:pt idx="50">
                  <c:v>0.99223631219701203</c:v>
                </c:pt>
                <c:pt idx="51">
                  <c:v>0.85025873478203906</c:v>
                </c:pt>
                <c:pt idx="52">
                  <c:v>0.73101748270540212</c:v>
                </c:pt>
                <c:pt idx="53">
                  <c:v>0.78603819917365525</c:v>
                </c:pt>
                <c:pt idx="54">
                  <c:v>0.77170348712471282</c:v>
                </c:pt>
                <c:pt idx="55">
                  <c:v>0.84546104105698361</c:v>
                </c:pt>
                <c:pt idx="56">
                  <c:v>0.75329173308453345</c:v>
                </c:pt>
                <c:pt idx="57">
                  <c:v>0.83723449033464103</c:v>
                </c:pt>
                <c:pt idx="58">
                  <c:v>1.038705241708771</c:v>
                </c:pt>
                <c:pt idx="59">
                  <c:v>0.83326707575628478</c:v>
                </c:pt>
                <c:pt idx="60">
                  <c:v>0.97714487510792902</c:v>
                </c:pt>
                <c:pt idx="61">
                  <c:v>0.93991726033346112</c:v>
                </c:pt>
                <c:pt idx="62">
                  <c:v>0.8314293202728863</c:v>
                </c:pt>
                <c:pt idx="63">
                  <c:v>0.77805107456374178</c:v>
                </c:pt>
                <c:pt idx="64">
                  <c:v>0.59005563427075769</c:v>
                </c:pt>
                <c:pt idx="65">
                  <c:v>0.69439585691141426</c:v>
                </c:pt>
                <c:pt idx="66">
                  <c:v>0.61762838453946423</c:v>
                </c:pt>
                <c:pt idx="67">
                  <c:v>0.64934714792296455</c:v>
                </c:pt>
                <c:pt idx="68">
                  <c:v>0.61574801135475132</c:v>
                </c:pt>
                <c:pt idx="69">
                  <c:v>0.78000735067931948</c:v>
                </c:pt>
                <c:pt idx="70">
                  <c:v>0.94047799551015088</c:v>
                </c:pt>
                <c:pt idx="71">
                  <c:v>1.0870067185479459</c:v>
                </c:pt>
                <c:pt idx="72">
                  <c:v>1.1494003648079021</c:v>
                </c:pt>
                <c:pt idx="73">
                  <c:v>0.90662384271333907</c:v>
                </c:pt>
                <c:pt idx="74">
                  <c:v>0.60374116471580297</c:v>
                </c:pt>
                <c:pt idx="75">
                  <c:v>0.55174367988103734</c:v>
                </c:pt>
                <c:pt idx="76">
                  <c:v>0.54405946330729504</c:v>
                </c:pt>
                <c:pt idx="77">
                  <c:v>0.4307606652121766</c:v>
                </c:pt>
                <c:pt idx="78">
                  <c:v>0.74746341861966192</c:v>
                </c:pt>
                <c:pt idx="79">
                  <c:v>0.57178942343359873</c:v>
                </c:pt>
                <c:pt idx="80">
                  <c:v>0.63573160083367797</c:v>
                </c:pt>
                <c:pt idx="81">
                  <c:v>0.95480840081563045</c:v>
                </c:pt>
                <c:pt idx="82">
                  <c:v>0.98927251294969987</c:v>
                </c:pt>
                <c:pt idx="83">
                  <c:v>0.97014796253594149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406-7244-ACFC-26F9E2320C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CPR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Solar Penetration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Inputs'!$F$1</c:f>
              <c:strCache>
                <c:ptCount val="1"/>
                <c:pt idx="0">
                  <c:v>DK1 Solar Penetration (%) — Primary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'Capture Price Inputs'!$F$2:$F$85</c:f>
              <c:numCache>
                <c:formatCode>General</c:formatCode>
                <c:ptCount val="84"/>
                <c:pt idx="12">
                  <c:v>2.2644478926294831E-3</c:v>
                </c:pt>
                <c:pt idx="13">
                  <c:v>5.2474520244822449E-3</c:v>
                </c:pt>
                <c:pt idx="14">
                  <c:v>2.020167759412729E-2</c:v>
                </c:pt>
                <c:pt idx="15">
                  <c:v>3.2427989612304697E-2</c:v>
                </c:pt>
                <c:pt idx="16">
                  <c:v>3.6080087237903569E-2</c:v>
                </c:pt>
                <c:pt idx="17">
                  <c:v>3.7413618831640891E-2</c:v>
                </c:pt>
                <c:pt idx="18">
                  <c:v>3.3998433859503921E-2</c:v>
                </c:pt>
                <c:pt idx="19">
                  <c:v>3.4224763142537661E-2</c:v>
                </c:pt>
                <c:pt idx="20">
                  <c:v>2.4330151939157239E-2</c:v>
                </c:pt>
                <c:pt idx="21">
                  <c:v>1.1490387549446779E-2</c:v>
                </c:pt>
                <c:pt idx="22">
                  <c:v>1.521101274151999E-4</c:v>
                </c:pt>
                <c:pt idx="23">
                  <c:v>1.472410662127807E-5</c:v>
                </c:pt>
                <c:pt idx="24">
                  <c:v>3.6313559990350909E-3</c:v>
                </c:pt>
                <c:pt idx="25">
                  <c:v>1.0868941718057299E-2</c:v>
                </c:pt>
                <c:pt idx="26">
                  <c:v>2.2382303907371628E-2</c:v>
                </c:pt>
                <c:pt idx="27">
                  <c:v>4.212837115783985E-2</c:v>
                </c:pt>
                <c:pt idx="28">
                  <c:v>3.3075052211960353E-2</c:v>
                </c:pt>
                <c:pt idx="29">
                  <c:v>4.9841661821819518E-2</c:v>
                </c:pt>
                <c:pt idx="30">
                  <c:v>4.85715434854639E-2</c:v>
                </c:pt>
                <c:pt idx="31">
                  <c:v>3.8876947944708702E-2</c:v>
                </c:pt>
                <c:pt idx="32">
                  <c:v>2.5932850179436289E-2</c:v>
                </c:pt>
                <c:pt idx="33">
                  <c:v>1.7460096431489061E-2</c:v>
                </c:pt>
                <c:pt idx="34">
                  <c:v>7.0293060058135041E-3</c:v>
                </c:pt>
                <c:pt idx="35">
                  <c:v>3.243365391886713E-3</c:v>
                </c:pt>
                <c:pt idx="36">
                  <c:v>6.6753155472480874E-3</c:v>
                </c:pt>
                <c:pt idx="37">
                  <c:v>1.7399571233002901E-2</c:v>
                </c:pt>
                <c:pt idx="38">
                  <c:v>6.1955070586442867E-2</c:v>
                </c:pt>
                <c:pt idx="39">
                  <c:v>8.404056603836467E-2</c:v>
                </c:pt>
                <c:pt idx="40">
                  <c:v>9.6876891420316108E-2</c:v>
                </c:pt>
                <c:pt idx="41">
                  <c:v>9.4962020744311482E-2</c:v>
                </c:pt>
                <c:pt idx="42">
                  <c:v>9.963556652585577E-2</c:v>
                </c:pt>
                <c:pt idx="43">
                  <c:v>8.9626978325266782E-2</c:v>
                </c:pt>
                <c:pt idx="44">
                  <c:v>6.6046498591704736E-2</c:v>
                </c:pt>
                <c:pt idx="45">
                  <c:v>3.7469414477654707E-2</c:v>
                </c:pt>
                <c:pt idx="46">
                  <c:v>1.046932675470221E-2</c:v>
                </c:pt>
                <c:pt idx="47">
                  <c:v>6.2291646451968653E-3</c:v>
                </c:pt>
                <c:pt idx="48">
                  <c:v>1.2460694276862919E-2</c:v>
                </c:pt>
                <c:pt idx="49">
                  <c:v>3.4376404191763639E-2</c:v>
                </c:pt>
                <c:pt idx="50">
                  <c:v>5.6477968577058592E-2</c:v>
                </c:pt>
                <c:pt idx="51">
                  <c:v>0.1509467292684683</c:v>
                </c:pt>
                <c:pt idx="52">
                  <c:v>0.18600333743842001</c:v>
                </c:pt>
                <c:pt idx="53">
                  <c:v>0.21892573712946101</c:v>
                </c:pt>
                <c:pt idx="54">
                  <c:v>0.18929524056345021</c:v>
                </c:pt>
                <c:pt idx="55">
                  <c:v>0.1493297980639493</c:v>
                </c:pt>
                <c:pt idx="56">
                  <c:v>0.13191654386548721</c:v>
                </c:pt>
                <c:pt idx="57">
                  <c:v>4.2864886456730103E-2</c:v>
                </c:pt>
                <c:pt idx="58">
                  <c:v>1.6003493537152379E-2</c:v>
                </c:pt>
                <c:pt idx="59">
                  <c:v>6.3905046726965339E-3</c:v>
                </c:pt>
                <c:pt idx="60">
                  <c:v>1.3417186050607519E-2</c:v>
                </c:pt>
                <c:pt idx="61">
                  <c:v>2.6436223837926501E-2</c:v>
                </c:pt>
                <c:pt idx="62">
                  <c:v>6.6233973400350477E-2</c:v>
                </c:pt>
                <c:pt idx="63">
                  <c:v>0.1084169878649764</c:v>
                </c:pt>
                <c:pt idx="64">
                  <c:v>0.18887031649880051</c:v>
                </c:pt>
                <c:pt idx="65">
                  <c:v>0.1715230569234828</c:v>
                </c:pt>
                <c:pt idx="66">
                  <c:v>0.1809062055635286</c:v>
                </c:pt>
                <c:pt idx="67">
                  <c:v>0.15512153111725799</c:v>
                </c:pt>
                <c:pt idx="68">
                  <c:v>0.1275567235314205</c:v>
                </c:pt>
                <c:pt idx="69">
                  <c:v>6.2873767847415107E-2</c:v>
                </c:pt>
                <c:pt idx="70">
                  <c:v>1.780902737610289E-2</c:v>
                </c:pt>
                <c:pt idx="71">
                  <c:v>6.7857975683456679E-3</c:v>
                </c:pt>
                <c:pt idx="72">
                  <c:v>1.366055484422285E-2</c:v>
                </c:pt>
                <c:pt idx="73">
                  <c:v>4.3419934817177687E-2</c:v>
                </c:pt>
                <c:pt idx="74">
                  <c:v>0.1120694547038418</c:v>
                </c:pt>
                <c:pt idx="75">
                  <c:v>0.14827548756052711</c:v>
                </c:pt>
                <c:pt idx="76">
                  <c:v>0.19244468175967161</c:v>
                </c:pt>
                <c:pt idx="77">
                  <c:v>0.18784829238523279</c:v>
                </c:pt>
                <c:pt idx="78">
                  <c:v>0.21828188848241209</c:v>
                </c:pt>
                <c:pt idx="79">
                  <c:v>0.19011684012808119</c:v>
                </c:pt>
                <c:pt idx="80">
                  <c:v>0.13816152724517919</c:v>
                </c:pt>
                <c:pt idx="81">
                  <c:v>6.9462071202051626E-2</c:v>
                </c:pt>
                <c:pt idx="82">
                  <c:v>2.6604970402147529E-2</c:v>
                </c:pt>
                <c:pt idx="83">
                  <c:v>1.40253486520015E-2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17-6D4A-9F77-C2E6222AB47D}"/>
            </c:ext>
          </c:extLst>
        </c:ser>
        <c:ser>
          <c:idx val="1"/>
          <c:order val="1"/>
          <c:tx>
            <c:strRef>
              <c:f>'Capture Price Inputs'!$G$1</c:f>
              <c:strCache>
                <c:ptCount val="1"/>
                <c:pt idx="0">
                  <c:v>DK2 Solar Penetration (%) — Robustness</c:v>
                </c:pt>
              </c:strCache>
            </c:strRef>
          </c:tx>
          <c:spPr>
            <a:ln>
              <a:solidFill>
                <a:srgbClr val="FFD700"/>
              </a:solidFill>
              <a:prstDash val="solid"/>
            </a:ln>
          </c:spPr>
          <c:marker>
            <c:symbol val="none"/>
          </c:marker>
          <c:val>
            <c:numRef>
              <c:f>'Capture Price Inputs'!$G$2:$G$85</c:f>
              <c:numCache>
                <c:formatCode>General</c:formatCode>
                <c:ptCount val="84"/>
                <c:pt idx="12">
                  <c:v>1.864323044087839E-3</c:v>
                </c:pt>
                <c:pt idx="13">
                  <c:v>4.9613393448072352E-3</c:v>
                </c:pt>
                <c:pt idx="14">
                  <c:v>1.532033335337761E-2</c:v>
                </c:pt>
                <c:pt idx="15">
                  <c:v>2.6180595134545931E-2</c:v>
                </c:pt>
                <c:pt idx="16">
                  <c:v>3.2240930774166239E-2</c:v>
                </c:pt>
                <c:pt idx="17">
                  <c:v>3.0651812088155841E-2</c:v>
                </c:pt>
                <c:pt idx="18">
                  <c:v>2.998206800974695E-2</c:v>
                </c:pt>
                <c:pt idx="19">
                  <c:v>2.8034713414307081E-2</c:v>
                </c:pt>
                <c:pt idx="20">
                  <c:v>2.1736479101595249E-2</c:v>
                </c:pt>
                <c:pt idx="21">
                  <c:v>1.107911770574695E-2</c:v>
                </c:pt>
                <c:pt idx="22">
                  <c:v>1.1044611578332841E-4</c:v>
                </c:pt>
                <c:pt idx="23">
                  <c:v>5.6352433584062588E-6</c:v>
                </c:pt>
                <c:pt idx="24">
                  <c:v>3.104474131982996E-3</c:v>
                </c:pt>
                <c:pt idx="25">
                  <c:v>9.2483369487723587E-3</c:v>
                </c:pt>
                <c:pt idx="26">
                  <c:v>1.8474517045212829E-2</c:v>
                </c:pt>
                <c:pt idx="27">
                  <c:v>3.2694407483312787E-2</c:v>
                </c:pt>
                <c:pt idx="28">
                  <c:v>3.2945829294540187E-2</c:v>
                </c:pt>
                <c:pt idx="29">
                  <c:v>4.4480133140056069E-2</c:v>
                </c:pt>
                <c:pt idx="30">
                  <c:v>3.7049542537302173E-2</c:v>
                </c:pt>
                <c:pt idx="31">
                  <c:v>3.1857768834261987E-2</c:v>
                </c:pt>
                <c:pt idx="32">
                  <c:v>2.23981137027396E-2</c:v>
                </c:pt>
                <c:pt idx="33">
                  <c:v>1.267326343754744E-2</c:v>
                </c:pt>
                <c:pt idx="34">
                  <c:v>4.0132810857910267E-3</c:v>
                </c:pt>
                <c:pt idx="35">
                  <c:v>1.8226295838260991E-3</c:v>
                </c:pt>
                <c:pt idx="36">
                  <c:v>4.939556742877535E-3</c:v>
                </c:pt>
                <c:pt idx="37">
                  <c:v>1.3248485586698279E-2</c:v>
                </c:pt>
                <c:pt idx="38">
                  <c:v>3.4089330349121053E-2</c:v>
                </c:pt>
                <c:pt idx="39">
                  <c:v>5.5254436099578648E-2</c:v>
                </c:pt>
                <c:pt idx="40">
                  <c:v>6.5811459960859395E-2</c:v>
                </c:pt>
                <c:pt idx="41">
                  <c:v>6.4528229045867816E-2</c:v>
                </c:pt>
                <c:pt idx="42">
                  <c:v>6.7025803801952916E-2</c:v>
                </c:pt>
                <c:pt idx="43">
                  <c:v>6.1299924397195817E-2</c:v>
                </c:pt>
                <c:pt idx="44">
                  <c:v>4.5784276103507021E-2</c:v>
                </c:pt>
                <c:pt idx="45">
                  <c:v>2.9809058027035401E-2</c:v>
                </c:pt>
                <c:pt idx="46">
                  <c:v>7.8652952619005494E-3</c:v>
                </c:pt>
                <c:pt idx="47">
                  <c:v>4.5323555529735481E-3</c:v>
                </c:pt>
                <c:pt idx="48">
                  <c:v>5.8626527231366082E-3</c:v>
                </c:pt>
                <c:pt idx="49">
                  <c:v>1.8877648418373551E-2</c:v>
                </c:pt>
                <c:pt idx="50">
                  <c:v>3.7096229392005707E-2</c:v>
                </c:pt>
                <c:pt idx="51">
                  <c:v>8.0269966033824955E-2</c:v>
                </c:pt>
                <c:pt idx="52">
                  <c:v>0.1080032082802261</c:v>
                </c:pt>
                <c:pt idx="53">
                  <c:v>0.1144244665352921</c:v>
                </c:pt>
                <c:pt idx="54">
                  <c:v>0.10203074507159759</c:v>
                </c:pt>
                <c:pt idx="55">
                  <c:v>7.7931010532967707E-2</c:v>
                </c:pt>
                <c:pt idx="56">
                  <c:v>8.0909954639318743E-2</c:v>
                </c:pt>
                <c:pt idx="57">
                  <c:v>2.9172340215594381E-2</c:v>
                </c:pt>
                <c:pt idx="58">
                  <c:v>1.04098691216888E-2</c:v>
                </c:pt>
                <c:pt idx="59">
                  <c:v>3.809030164374855E-3</c:v>
                </c:pt>
                <c:pt idx="60">
                  <c:v>6.1781830729755079E-3</c:v>
                </c:pt>
                <c:pt idx="61">
                  <c:v>1.667231366864759E-2</c:v>
                </c:pt>
                <c:pt idx="62">
                  <c:v>4.1112806367337662E-2</c:v>
                </c:pt>
                <c:pt idx="63">
                  <c:v>6.5123378744806448E-2</c:v>
                </c:pt>
                <c:pt idx="64">
                  <c:v>0.106315341440858</c:v>
                </c:pt>
                <c:pt idx="65">
                  <c:v>0.1072729076610999</c:v>
                </c:pt>
                <c:pt idx="66">
                  <c:v>0.1057942634887733</c:v>
                </c:pt>
                <c:pt idx="67">
                  <c:v>9.3690832268705199E-2</c:v>
                </c:pt>
                <c:pt idx="68">
                  <c:v>7.2463202820400169E-2</c:v>
                </c:pt>
                <c:pt idx="69">
                  <c:v>3.6145253892379881E-2</c:v>
                </c:pt>
                <c:pt idx="70">
                  <c:v>8.6028414054236078E-3</c:v>
                </c:pt>
                <c:pt idx="71">
                  <c:v>4.1714684657767577E-3</c:v>
                </c:pt>
                <c:pt idx="72">
                  <c:v>7.223240212576967E-3</c:v>
                </c:pt>
                <c:pt idx="73">
                  <c:v>2.010831138567791E-2</c:v>
                </c:pt>
                <c:pt idx="74">
                  <c:v>4.6547866447452589E-2</c:v>
                </c:pt>
                <c:pt idx="75">
                  <c:v>7.1689783649061992E-2</c:v>
                </c:pt>
                <c:pt idx="76">
                  <c:v>9.4714127256233946E-2</c:v>
                </c:pt>
                <c:pt idx="77">
                  <c:v>9.9826250015510765E-2</c:v>
                </c:pt>
                <c:pt idx="78">
                  <c:v>9.3996419418699143E-2</c:v>
                </c:pt>
                <c:pt idx="79">
                  <c:v>0.1057378118957395</c:v>
                </c:pt>
                <c:pt idx="80">
                  <c:v>9.0628879686523764E-2</c:v>
                </c:pt>
                <c:pt idx="81">
                  <c:v>3.9573125678626628E-2</c:v>
                </c:pt>
                <c:pt idx="82">
                  <c:v>1.454364344794783E-2</c:v>
                </c:pt>
                <c:pt idx="83">
                  <c:v>9.0694911608833299E-3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17-6D4A-9F77-C2E6222AB4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Solar Penetration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Capture Price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Inputs'!$H$1</c:f>
              <c:strCache>
                <c:ptCount val="1"/>
                <c:pt idx="0">
                  <c:v>DK1 Capture Price (EUR/MWh)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Inputs'!$H$2:$H$85</c:f>
              <c:numCache>
                <c:formatCode>General</c:formatCode>
                <c:ptCount val="84"/>
                <c:pt idx="12">
                  <c:v>25.22320957280251</c:v>
                </c:pt>
                <c:pt idx="13">
                  <c:v>22.83581899109792</c:v>
                </c:pt>
                <c:pt idx="14">
                  <c:v>15.94107348554973</c:v>
                </c:pt>
                <c:pt idx="15">
                  <c:v>10.36487590420421</c:v>
                </c:pt>
                <c:pt idx="16">
                  <c:v>15.478548945086001</c:v>
                </c:pt>
                <c:pt idx="17">
                  <c:v>27.313308227868689</c:v>
                </c:pt>
                <c:pt idx="18">
                  <c:v>24.831745178109159</c:v>
                </c:pt>
                <c:pt idx="19">
                  <c:v>33.876915422047851</c:v>
                </c:pt>
                <c:pt idx="20">
                  <c:v>38.935979003379593</c:v>
                </c:pt>
                <c:pt idx="21">
                  <c:v>31.927741533059191</c:v>
                </c:pt>
                <c:pt idx="22">
                  <c:v>26.005993265993261</c:v>
                </c:pt>
                <c:pt idx="23">
                  <c:v>34.795161290322582</c:v>
                </c:pt>
                <c:pt idx="24">
                  <c:v>55.422967607277918</c:v>
                </c:pt>
                <c:pt idx="25">
                  <c:v>47.542610979142587</c:v>
                </c:pt>
                <c:pt idx="26">
                  <c:v>44.550700915805493</c:v>
                </c:pt>
                <c:pt idx="27">
                  <c:v>43.594739828473003</c:v>
                </c:pt>
                <c:pt idx="28">
                  <c:v>47.655870575001217</c:v>
                </c:pt>
                <c:pt idx="29">
                  <c:v>70.543547911111062</c:v>
                </c:pt>
                <c:pt idx="30">
                  <c:v>78.568319747758608</c:v>
                </c:pt>
                <c:pt idx="31">
                  <c:v>81.983351136401794</c:v>
                </c:pt>
                <c:pt idx="32">
                  <c:v>116.20022495544841</c:v>
                </c:pt>
                <c:pt idx="33">
                  <c:v>126.53039520323949</c:v>
                </c:pt>
                <c:pt idx="34">
                  <c:v>160.77058330102949</c:v>
                </c:pt>
                <c:pt idx="35">
                  <c:v>228.8621705579358</c:v>
                </c:pt>
                <c:pt idx="36">
                  <c:v>123.20125067917191</c:v>
                </c:pt>
                <c:pt idx="37">
                  <c:v>117.67077903546</c:v>
                </c:pt>
                <c:pt idx="38">
                  <c:v>191.50807173506701</c:v>
                </c:pt>
                <c:pt idx="39">
                  <c:v>145.70138715926041</c:v>
                </c:pt>
                <c:pt idx="40">
                  <c:v>149.4185612445558</c:v>
                </c:pt>
                <c:pt idx="41">
                  <c:v>194.71103409481981</c:v>
                </c:pt>
                <c:pt idx="42">
                  <c:v>239.3981525107354</c:v>
                </c:pt>
                <c:pt idx="43">
                  <c:v>419.79263722660602</c:v>
                </c:pt>
                <c:pt idx="44">
                  <c:v>310.70739927266709</c:v>
                </c:pt>
                <c:pt idx="45">
                  <c:v>125.6295598680838</c:v>
                </c:pt>
                <c:pt idx="46">
                  <c:v>131.7111886265582</c:v>
                </c:pt>
                <c:pt idx="47">
                  <c:v>282.82379374207261</c:v>
                </c:pt>
                <c:pt idx="48">
                  <c:v>138.52998868426329</c:v>
                </c:pt>
                <c:pt idx="49">
                  <c:v>109.87697572135031</c:v>
                </c:pt>
                <c:pt idx="50">
                  <c:v>93.774190940695377</c:v>
                </c:pt>
                <c:pt idx="51">
                  <c:v>76.25042822265543</c:v>
                </c:pt>
                <c:pt idx="52">
                  <c:v>50.543487760082613</c:v>
                </c:pt>
                <c:pt idx="53">
                  <c:v>74.888982776218057</c:v>
                </c:pt>
                <c:pt idx="54">
                  <c:v>52.095599438463452</c:v>
                </c:pt>
                <c:pt idx="55">
                  <c:v>74.180426039978187</c:v>
                </c:pt>
                <c:pt idx="56">
                  <c:v>68.116869623396937</c:v>
                </c:pt>
                <c:pt idx="57">
                  <c:v>50.539090519702853</c:v>
                </c:pt>
                <c:pt idx="58">
                  <c:v>90.680805562425178</c:v>
                </c:pt>
                <c:pt idx="59">
                  <c:v>63.455327688788032</c:v>
                </c:pt>
                <c:pt idx="60">
                  <c:v>78.571316441678306</c:v>
                </c:pt>
                <c:pt idx="61">
                  <c:v>59.479486768055089</c:v>
                </c:pt>
                <c:pt idx="62">
                  <c:v>51.269783241554933</c:v>
                </c:pt>
                <c:pt idx="63">
                  <c:v>49.383940562011212</c:v>
                </c:pt>
                <c:pt idx="64">
                  <c:v>35.894148271408874</c:v>
                </c:pt>
                <c:pt idx="65">
                  <c:v>47.037633727397647</c:v>
                </c:pt>
                <c:pt idx="66">
                  <c:v>42.521773223099522</c:v>
                </c:pt>
                <c:pt idx="67">
                  <c:v>52.17121747504909</c:v>
                </c:pt>
                <c:pt idx="68">
                  <c:v>45.647504626217007</c:v>
                </c:pt>
                <c:pt idx="69">
                  <c:v>58.441583787091993</c:v>
                </c:pt>
                <c:pt idx="70">
                  <c:v>97.582352616331917</c:v>
                </c:pt>
                <c:pt idx="71">
                  <c:v>92.073217693833982</c:v>
                </c:pt>
                <c:pt idx="72">
                  <c:v>111.1945655985155</c:v>
                </c:pt>
                <c:pt idx="73">
                  <c:v>105.41315973788279</c:v>
                </c:pt>
                <c:pt idx="74">
                  <c:v>57.84566339627056</c:v>
                </c:pt>
                <c:pt idx="75">
                  <c:v>45.844395770687349</c:v>
                </c:pt>
                <c:pt idx="76">
                  <c:v>40.065667394009381</c:v>
                </c:pt>
                <c:pt idx="77">
                  <c:v>33.493381965196598</c:v>
                </c:pt>
                <c:pt idx="78">
                  <c:v>61.32224821093979</c:v>
                </c:pt>
                <c:pt idx="79">
                  <c:v>47.755824567457559</c:v>
                </c:pt>
                <c:pt idx="80">
                  <c:v>49.429094996057238</c:v>
                </c:pt>
                <c:pt idx="81">
                  <c:v>74.266634537895257</c:v>
                </c:pt>
                <c:pt idx="82">
                  <c:v>95.564531802521344</c:v>
                </c:pt>
                <c:pt idx="83">
                  <c:v>80.958034242780258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DC7-9040-BE52-852C96A79B83}"/>
            </c:ext>
          </c:extLst>
        </c:ser>
        <c:ser>
          <c:idx val="1"/>
          <c:order val="1"/>
          <c:tx>
            <c:strRef>
              <c:f>'Capture Price Inputs'!$I$1</c:f>
              <c:strCache>
                <c:ptCount val="1"/>
                <c:pt idx="0">
                  <c:v>DK2 Capture Price (EUR/MWh)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'Capture Price Inputs'!$I$2:$I$85</c:f>
              <c:numCache>
                <c:formatCode>General</c:formatCode>
                <c:ptCount val="84"/>
                <c:pt idx="12">
                  <c:v>29.86213642213642</c:v>
                </c:pt>
                <c:pt idx="13">
                  <c:v>23.555517829721889</c:v>
                </c:pt>
                <c:pt idx="14">
                  <c:v>17.149050692261021</c:v>
                </c:pt>
                <c:pt idx="15">
                  <c:v>13.252523128367081</c:v>
                </c:pt>
                <c:pt idx="16">
                  <c:v>18.594049382716051</c:v>
                </c:pt>
                <c:pt idx="17">
                  <c:v>35.21078005032583</c:v>
                </c:pt>
                <c:pt idx="18">
                  <c:v>26.450778046867001</c:v>
                </c:pt>
                <c:pt idx="19">
                  <c:v>44.113765015404859</c:v>
                </c:pt>
                <c:pt idx="20">
                  <c:v>41.853047880870562</c:v>
                </c:pt>
                <c:pt idx="21">
                  <c:v>33.600878372903331</c:v>
                </c:pt>
                <c:pt idx="22">
                  <c:v>37.749765625000002</c:v>
                </c:pt>
                <c:pt idx="23">
                  <c:v>44.191428571428567</c:v>
                </c:pt>
                <c:pt idx="24">
                  <c:v>57.072134410081453</c:v>
                </c:pt>
                <c:pt idx="25">
                  <c:v>52.285083654524577</c:v>
                </c:pt>
                <c:pt idx="26">
                  <c:v>47.422643011897812</c:v>
                </c:pt>
                <c:pt idx="27">
                  <c:v>45.901363748248833</c:v>
                </c:pt>
                <c:pt idx="28">
                  <c:v>50.258720231460799</c:v>
                </c:pt>
                <c:pt idx="29">
                  <c:v>69.469341653776226</c:v>
                </c:pt>
                <c:pt idx="30">
                  <c:v>77.933111551394319</c:v>
                </c:pt>
                <c:pt idx="31">
                  <c:v>84.512747690257029</c:v>
                </c:pt>
                <c:pt idx="32">
                  <c:v>118.7457227855615</c:v>
                </c:pt>
                <c:pt idx="33">
                  <c:v>122.3841235967906</c:v>
                </c:pt>
                <c:pt idx="34">
                  <c:v>153.62679427815749</c:v>
                </c:pt>
                <c:pt idx="35">
                  <c:v>244.48727859764409</c:v>
                </c:pt>
                <c:pt idx="36">
                  <c:v>129.67749023150819</c:v>
                </c:pt>
                <c:pt idx="37">
                  <c:v>108.80333899256409</c:v>
                </c:pt>
                <c:pt idx="38">
                  <c:v>186.0504424586062</c:v>
                </c:pt>
                <c:pt idx="39">
                  <c:v>143.53758886421849</c:v>
                </c:pt>
                <c:pt idx="40">
                  <c:v>146.25360234460331</c:v>
                </c:pt>
                <c:pt idx="41">
                  <c:v>192.2325905808319</c:v>
                </c:pt>
                <c:pt idx="42">
                  <c:v>212.3625858003895</c:v>
                </c:pt>
                <c:pt idx="43">
                  <c:v>397.17988485976059</c:v>
                </c:pt>
                <c:pt idx="44">
                  <c:v>315.92884279677901</c:v>
                </c:pt>
                <c:pt idx="45">
                  <c:v>120.1190076327392</c:v>
                </c:pt>
                <c:pt idx="46">
                  <c:v>134.0399027878758</c:v>
                </c:pt>
                <c:pt idx="47">
                  <c:v>303.26978481668573</c:v>
                </c:pt>
                <c:pt idx="48">
                  <c:v>120.8992864784306</c:v>
                </c:pt>
                <c:pt idx="49">
                  <c:v>103.112625406295</c:v>
                </c:pt>
                <c:pt idx="50">
                  <c:v>89.098468921641697</c:v>
                </c:pt>
                <c:pt idx="51">
                  <c:v>71.125099705594195</c:v>
                </c:pt>
                <c:pt idx="52">
                  <c:v>48.358083796456327</c:v>
                </c:pt>
                <c:pt idx="53">
                  <c:v>71.862090372222397</c:v>
                </c:pt>
                <c:pt idx="54">
                  <c:v>50.345966617092351</c:v>
                </c:pt>
                <c:pt idx="55">
                  <c:v>72.957992347987414</c:v>
                </c:pt>
                <c:pt idx="56">
                  <c:v>64.394484672464898</c:v>
                </c:pt>
                <c:pt idx="57">
                  <c:v>47.660255094286853</c:v>
                </c:pt>
                <c:pt idx="58">
                  <c:v>84.639978605265995</c:v>
                </c:pt>
                <c:pt idx="59">
                  <c:v>59.061746333079718</c:v>
                </c:pt>
                <c:pt idx="60">
                  <c:v>76.427202535219209</c:v>
                </c:pt>
                <c:pt idx="61">
                  <c:v>51.434379196547752</c:v>
                </c:pt>
                <c:pt idx="62">
                  <c:v>50.751163813053438</c:v>
                </c:pt>
                <c:pt idx="63">
                  <c:v>47.053967904827999</c:v>
                </c:pt>
                <c:pt idx="64">
                  <c:v>34.295794113692892</c:v>
                </c:pt>
                <c:pt idx="65">
                  <c:v>46.379384034583367</c:v>
                </c:pt>
                <c:pt idx="66">
                  <c:v>38.812821969471173</c:v>
                </c:pt>
                <c:pt idx="67">
                  <c:v>47.151863118292532</c:v>
                </c:pt>
                <c:pt idx="68">
                  <c:v>43.355946350842189</c:v>
                </c:pt>
                <c:pt idx="69">
                  <c:v>59.534937630286556</c:v>
                </c:pt>
                <c:pt idx="70">
                  <c:v>89.611277477917284</c:v>
                </c:pt>
                <c:pt idx="71">
                  <c:v>100.7961313991171</c:v>
                </c:pt>
                <c:pt idx="72">
                  <c:v>115.0822593270056</c:v>
                </c:pt>
                <c:pt idx="73">
                  <c:v>106.92318207316821</c:v>
                </c:pt>
                <c:pt idx="74">
                  <c:v>50.018062961268747</c:v>
                </c:pt>
                <c:pt idx="75">
                  <c:v>41.82584156307518</c:v>
                </c:pt>
                <c:pt idx="76">
                  <c:v>34.320660344591218</c:v>
                </c:pt>
                <c:pt idx="77">
                  <c:v>24.31568572006325</c:v>
                </c:pt>
                <c:pt idx="78">
                  <c:v>59.766943882147693</c:v>
                </c:pt>
                <c:pt idx="79">
                  <c:v>43.064604783544858</c:v>
                </c:pt>
                <c:pt idx="80">
                  <c:v>52.949405153808357</c:v>
                </c:pt>
                <c:pt idx="81">
                  <c:v>78.645730322406678</c:v>
                </c:pt>
                <c:pt idx="82">
                  <c:v>92.690454871532665</c:v>
                </c:pt>
                <c:pt idx="83">
                  <c:v>79.631228022083661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DC7-9040-BE52-852C96A79B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Capture Price Ratio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Inputs'!$J$1</c:f>
              <c:strCache>
                <c:ptCount val="1"/>
                <c:pt idx="0">
                  <c:v>DK1 CPR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Inputs'!$J$2:$J$85</c:f>
              <c:numCache>
                <c:formatCode>General</c:formatCode>
                <c:ptCount val="84"/>
                <c:pt idx="12">
                  <c:v>1.0091486594474419</c:v>
                </c:pt>
                <c:pt idx="13">
                  <c:v>1.2985911686950511</c:v>
                </c:pt>
                <c:pt idx="14">
                  <c:v>0.8710146939215303</c:v>
                </c:pt>
                <c:pt idx="15">
                  <c:v>0.71315772558819213</c:v>
                </c:pt>
                <c:pt idx="16">
                  <c:v>0.96415576931205649</c:v>
                </c:pt>
                <c:pt idx="17">
                  <c:v>1.0394664137310941</c:v>
                </c:pt>
                <c:pt idx="18">
                  <c:v>1.0086181556608309</c:v>
                </c:pt>
                <c:pt idx="19">
                  <c:v>0.98082264407500741</c:v>
                </c:pt>
                <c:pt idx="20">
                  <c:v>1.0104044869130051</c:v>
                </c:pt>
                <c:pt idx="21">
                  <c:v>1.236802226812374</c:v>
                </c:pt>
                <c:pt idx="22">
                  <c:v>1.094777917215692</c:v>
                </c:pt>
                <c:pt idx="23">
                  <c:v>1.0082301641826621</c:v>
                </c:pt>
                <c:pt idx="24">
                  <c:v>1.103930861568265</c:v>
                </c:pt>
                <c:pt idx="25">
                  <c:v>1.0059479277054251</c:v>
                </c:pt>
                <c:pt idx="26">
                  <c:v>0.9871758725122356</c:v>
                </c:pt>
                <c:pt idx="27">
                  <c:v>0.90884647456650169</c:v>
                </c:pt>
                <c:pt idx="28">
                  <c:v>0.87751805187154364</c:v>
                </c:pt>
                <c:pt idx="29">
                  <c:v>0.95691427953473174</c:v>
                </c:pt>
                <c:pt idx="30">
                  <c:v>0.98211323715969778</c:v>
                </c:pt>
                <c:pt idx="31">
                  <c:v>0.99027147802450566</c:v>
                </c:pt>
                <c:pt idx="32">
                  <c:v>0.92690440483613579</c:v>
                </c:pt>
                <c:pt idx="33">
                  <c:v>1.0810885074134391</c:v>
                </c:pt>
                <c:pt idx="34">
                  <c:v>1.1338034085044659</c:v>
                </c:pt>
                <c:pt idx="35">
                  <c:v>1.2086769624549281</c:v>
                </c:pt>
                <c:pt idx="36">
                  <c:v>1.0441257304277269</c:v>
                </c:pt>
                <c:pt idx="37">
                  <c:v>1.04022281700981</c:v>
                </c:pt>
                <c:pt idx="38">
                  <c:v>0.81207759044207406</c:v>
                </c:pt>
                <c:pt idx="39">
                  <c:v>0.89039133384678326</c:v>
                </c:pt>
                <c:pt idx="40">
                  <c:v>0.86943016050498578</c:v>
                </c:pt>
                <c:pt idx="41">
                  <c:v>0.90803902012341908</c:v>
                </c:pt>
                <c:pt idx="42">
                  <c:v>0.87041791592949547</c:v>
                </c:pt>
                <c:pt idx="43">
                  <c:v>0.91908553046700026</c:v>
                </c:pt>
                <c:pt idx="44">
                  <c:v>0.90632901805683119</c:v>
                </c:pt>
                <c:pt idx="45">
                  <c:v>0.91612325253961768</c:v>
                </c:pt>
                <c:pt idx="46">
                  <c:v>0.94278612074660006</c:v>
                </c:pt>
                <c:pt idx="47">
                  <c:v>1.132810339248927</c:v>
                </c:pt>
                <c:pt idx="48">
                  <c:v>1.2309198691226539</c:v>
                </c:pt>
                <c:pt idx="49">
                  <c:v>0.93008781340266</c:v>
                </c:pt>
                <c:pt idx="50">
                  <c:v>0.94612539759598957</c:v>
                </c:pt>
                <c:pt idx="51">
                  <c:v>0.79203966120386338</c:v>
                </c:pt>
                <c:pt idx="52">
                  <c:v>0.68333610561519953</c:v>
                </c:pt>
                <c:pt idx="53">
                  <c:v>0.80965062086215667</c:v>
                </c:pt>
                <c:pt idx="54">
                  <c:v>0.80380421953260928</c:v>
                </c:pt>
                <c:pt idx="55">
                  <c:v>0.86289309777204071</c:v>
                </c:pt>
                <c:pt idx="56">
                  <c:v>0.8038389922187259</c:v>
                </c:pt>
                <c:pt idx="57">
                  <c:v>0.84083605560542263</c:v>
                </c:pt>
                <c:pt idx="58">
                  <c:v>1.028656893611996</c:v>
                </c:pt>
                <c:pt idx="59">
                  <c:v>0.91325607762876626</c:v>
                </c:pt>
                <c:pt idx="60">
                  <c:v>1.051614630458469</c:v>
                </c:pt>
                <c:pt idx="61">
                  <c:v>1.0144208291794441</c:v>
                </c:pt>
                <c:pt idx="62">
                  <c:v>0.8373818542217274</c:v>
                </c:pt>
                <c:pt idx="63">
                  <c:v>0.83468460161643787</c:v>
                </c:pt>
                <c:pt idx="64">
                  <c:v>0.61339845366508694</c:v>
                </c:pt>
                <c:pt idx="65">
                  <c:v>0.73781003223868646</c:v>
                </c:pt>
                <c:pt idx="66">
                  <c:v>0.68549949487061801</c:v>
                </c:pt>
                <c:pt idx="67">
                  <c:v>0.71512676219349525</c:v>
                </c:pt>
                <c:pt idx="68">
                  <c:v>0.63652522303957304</c:v>
                </c:pt>
                <c:pt idx="69">
                  <c:v>0.76175188075929667</c:v>
                </c:pt>
                <c:pt idx="70">
                  <c:v>1.0174940038611719</c:v>
                </c:pt>
                <c:pt idx="71">
                  <c:v>1.0025674160411211</c:v>
                </c:pt>
                <c:pt idx="72">
                  <c:v>1.135032584901597</c:v>
                </c:pt>
                <c:pt idx="73">
                  <c:v>0.93411665141872979</c:v>
                </c:pt>
                <c:pt idx="74">
                  <c:v>0.68579081688022481</c:v>
                </c:pt>
                <c:pt idx="75">
                  <c:v>0.60995353561832499</c:v>
                </c:pt>
                <c:pt idx="76">
                  <c:v>0.62375117423189408</c:v>
                </c:pt>
                <c:pt idx="77">
                  <c:v>0.56976432128633303</c:v>
                </c:pt>
                <c:pt idx="78">
                  <c:v>0.74058967108380014</c:v>
                </c:pt>
                <c:pt idx="79">
                  <c:v>0.64997112344594554</c:v>
                </c:pt>
                <c:pt idx="80">
                  <c:v>0.68273474898658593</c:v>
                </c:pt>
                <c:pt idx="81">
                  <c:v>0.94701517193480578</c:v>
                </c:pt>
                <c:pt idx="82">
                  <c:v>1.0289764309560969</c:v>
                </c:pt>
                <c:pt idx="83">
                  <c:v>0.98205388617926037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A87-4A46-A0B3-3C20D103DF7C}"/>
            </c:ext>
          </c:extLst>
        </c:ser>
        <c:ser>
          <c:idx val="1"/>
          <c:order val="1"/>
          <c:tx>
            <c:strRef>
              <c:f>'Capture Price Inputs'!$K$1</c:f>
              <c:strCache>
                <c:ptCount val="1"/>
                <c:pt idx="0">
                  <c:v>DK2 CPR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'Capture Price Inputs'!$K$2:$K$85</c:f>
              <c:numCache>
                <c:formatCode>General</c:formatCode>
                <c:ptCount val="84"/>
                <c:pt idx="12">
                  <c:v>1.090446324793763</c:v>
                </c:pt>
                <c:pt idx="13">
                  <c:v>1.251821301318464</c:v>
                </c:pt>
                <c:pt idx="14">
                  <c:v>0.85520775851277109</c:v>
                </c:pt>
                <c:pt idx="15">
                  <c:v>0.76362023547871605</c:v>
                </c:pt>
                <c:pt idx="16">
                  <c:v>0.97636938233545278</c:v>
                </c:pt>
                <c:pt idx="17">
                  <c:v>1.180647007173951</c:v>
                </c:pt>
                <c:pt idx="18">
                  <c:v>1.021791049952987</c:v>
                </c:pt>
                <c:pt idx="19">
                  <c:v>1.077948442472481</c:v>
                </c:pt>
                <c:pt idx="20">
                  <c:v>1.0591890923358069</c:v>
                </c:pt>
                <c:pt idx="21">
                  <c:v>1.247549053102559</c:v>
                </c:pt>
                <c:pt idx="22">
                  <c:v>1.057080411727209</c:v>
                </c:pt>
                <c:pt idx="23">
                  <c:v>1.125691191699302</c:v>
                </c:pt>
                <c:pt idx="24">
                  <c:v>1.122164979814525</c:v>
                </c:pt>
                <c:pt idx="25">
                  <c:v>0.9585139857498034</c:v>
                </c:pt>
                <c:pt idx="26">
                  <c:v>1.0147741726503949</c:v>
                </c:pt>
                <c:pt idx="27">
                  <c:v>0.95901643664766134</c:v>
                </c:pt>
                <c:pt idx="28">
                  <c:v>0.91033887361171206</c:v>
                </c:pt>
                <c:pt idx="29">
                  <c:v>0.94404491874816343</c:v>
                </c:pt>
                <c:pt idx="30">
                  <c:v>0.95692856904650769</c:v>
                </c:pt>
                <c:pt idx="31">
                  <c:v>1.001768528067071</c:v>
                </c:pt>
                <c:pt idx="32">
                  <c:v>0.95838336990944806</c:v>
                </c:pt>
                <c:pt idx="33">
                  <c:v>1.1445012658471321</c:v>
                </c:pt>
                <c:pt idx="34">
                  <c:v>1.1264608571418011</c:v>
                </c:pt>
                <c:pt idx="35">
                  <c:v>1.279578427053047</c:v>
                </c:pt>
                <c:pt idx="36">
                  <c:v>1.1617546523412821</c:v>
                </c:pt>
                <c:pt idx="37">
                  <c:v>1.084871924613185</c:v>
                </c:pt>
                <c:pt idx="38">
                  <c:v>0.81629582758371144</c:v>
                </c:pt>
                <c:pt idx="39">
                  <c:v>0.93918048773921026</c:v>
                </c:pt>
                <c:pt idx="40">
                  <c:v>0.89914563143311954</c:v>
                </c:pt>
                <c:pt idx="41">
                  <c:v>0.90151367457475784</c:v>
                </c:pt>
                <c:pt idx="42">
                  <c:v>0.90956244496775596</c:v>
                </c:pt>
                <c:pt idx="43">
                  <c:v>0.8830756108422062</c:v>
                </c:pt>
                <c:pt idx="44">
                  <c:v>0.96085369829588263</c:v>
                </c:pt>
                <c:pt idx="45">
                  <c:v>0.87743541957368609</c:v>
                </c:pt>
                <c:pt idx="46">
                  <c:v>0.92404474391789948</c:v>
                </c:pt>
                <c:pt idx="47">
                  <c:v>1.2185280560697289</c:v>
                </c:pt>
                <c:pt idx="48">
                  <c:v>1.2118663236304299</c:v>
                </c:pt>
                <c:pt idx="49">
                  <c:v>1.0244781228159621</c:v>
                </c:pt>
                <c:pt idx="50">
                  <c:v>0.99223631219701203</c:v>
                </c:pt>
                <c:pt idx="51">
                  <c:v>0.85025873478203906</c:v>
                </c:pt>
                <c:pt idx="52">
                  <c:v>0.73101748270540212</c:v>
                </c:pt>
                <c:pt idx="53">
                  <c:v>0.78603819917365525</c:v>
                </c:pt>
                <c:pt idx="54">
                  <c:v>0.77170348712471282</c:v>
                </c:pt>
                <c:pt idx="55">
                  <c:v>0.84546104105698361</c:v>
                </c:pt>
                <c:pt idx="56">
                  <c:v>0.75329173308453345</c:v>
                </c:pt>
                <c:pt idx="57">
                  <c:v>0.83723449033464103</c:v>
                </c:pt>
                <c:pt idx="58">
                  <c:v>1.038705241708771</c:v>
                </c:pt>
                <c:pt idx="59">
                  <c:v>0.83326707575628478</c:v>
                </c:pt>
                <c:pt idx="60">
                  <c:v>0.97714487510792902</c:v>
                </c:pt>
                <c:pt idx="61">
                  <c:v>0.93991726033346112</c:v>
                </c:pt>
                <c:pt idx="62">
                  <c:v>0.8314293202728863</c:v>
                </c:pt>
                <c:pt idx="63">
                  <c:v>0.77805107456374178</c:v>
                </c:pt>
                <c:pt idx="64">
                  <c:v>0.59005563427075769</c:v>
                </c:pt>
                <c:pt idx="65">
                  <c:v>0.69439585691141426</c:v>
                </c:pt>
                <c:pt idx="66">
                  <c:v>0.61762838453946423</c:v>
                </c:pt>
                <c:pt idx="67">
                  <c:v>0.64934714792296455</c:v>
                </c:pt>
                <c:pt idx="68">
                  <c:v>0.61574801135475132</c:v>
                </c:pt>
                <c:pt idx="69">
                  <c:v>0.78000735067931948</c:v>
                </c:pt>
                <c:pt idx="70">
                  <c:v>0.94047799551015088</c:v>
                </c:pt>
                <c:pt idx="71">
                  <c:v>1.0870067185479459</c:v>
                </c:pt>
                <c:pt idx="72">
                  <c:v>1.1494003648079021</c:v>
                </c:pt>
                <c:pt idx="73">
                  <c:v>0.90662384271333907</c:v>
                </c:pt>
                <c:pt idx="74">
                  <c:v>0.60374116471580297</c:v>
                </c:pt>
                <c:pt idx="75">
                  <c:v>0.55174367988103734</c:v>
                </c:pt>
                <c:pt idx="76">
                  <c:v>0.54405946330729504</c:v>
                </c:pt>
                <c:pt idx="77">
                  <c:v>0.4307606652121766</c:v>
                </c:pt>
                <c:pt idx="78">
                  <c:v>0.74746341861966192</c:v>
                </c:pt>
                <c:pt idx="79">
                  <c:v>0.57178942343359873</c:v>
                </c:pt>
                <c:pt idx="80">
                  <c:v>0.63573160083367797</c:v>
                </c:pt>
                <c:pt idx="81">
                  <c:v>0.95480840081563045</c:v>
                </c:pt>
                <c:pt idx="82">
                  <c:v>0.98927251294969987</c:v>
                </c:pt>
                <c:pt idx="83">
                  <c:v>0.97014796253594149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A87-4A46-A0B3-3C20D103DF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CPR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Solar Penetration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Inputs'!$F$1</c:f>
              <c:strCache>
                <c:ptCount val="1"/>
                <c:pt idx="0">
                  <c:v>DK1 Solar Penetration (%) — Primary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'Capture Price Inputs'!$F$2:$F$85</c:f>
              <c:numCache>
                <c:formatCode>General</c:formatCode>
                <c:ptCount val="84"/>
                <c:pt idx="12">
                  <c:v>2.2644478926294831E-3</c:v>
                </c:pt>
                <c:pt idx="13">
                  <c:v>5.2474520244822449E-3</c:v>
                </c:pt>
                <c:pt idx="14">
                  <c:v>2.020167759412729E-2</c:v>
                </c:pt>
                <c:pt idx="15">
                  <c:v>3.2427989612304697E-2</c:v>
                </c:pt>
                <c:pt idx="16">
                  <c:v>3.6080087237903569E-2</c:v>
                </c:pt>
                <c:pt idx="17">
                  <c:v>3.7413618831640891E-2</c:v>
                </c:pt>
                <c:pt idx="18">
                  <c:v>3.3998433859503921E-2</c:v>
                </c:pt>
                <c:pt idx="19">
                  <c:v>3.4224763142537661E-2</c:v>
                </c:pt>
                <c:pt idx="20">
                  <c:v>2.4330151939157239E-2</c:v>
                </c:pt>
                <c:pt idx="21">
                  <c:v>1.1490387549446779E-2</c:v>
                </c:pt>
                <c:pt idx="22">
                  <c:v>1.521101274151999E-4</c:v>
                </c:pt>
                <c:pt idx="23">
                  <c:v>1.472410662127807E-5</c:v>
                </c:pt>
                <c:pt idx="24">
                  <c:v>3.6313559990350909E-3</c:v>
                </c:pt>
                <c:pt idx="25">
                  <c:v>1.0868941718057299E-2</c:v>
                </c:pt>
                <c:pt idx="26">
                  <c:v>2.2382303907371628E-2</c:v>
                </c:pt>
                <c:pt idx="27">
                  <c:v>4.212837115783985E-2</c:v>
                </c:pt>
                <c:pt idx="28">
                  <c:v>3.3075052211960353E-2</c:v>
                </c:pt>
                <c:pt idx="29">
                  <c:v>4.9841661821819518E-2</c:v>
                </c:pt>
                <c:pt idx="30">
                  <c:v>4.85715434854639E-2</c:v>
                </c:pt>
                <c:pt idx="31">
                  <c:v>3.8876947944708702E-2</c:v>
                </c:pt>
                <c:pt idx="32">
                  <c:v>2.5932850179436289E-2</c:v>
                </c:pt>
                <c:pt idx="33">
                  <c:v>1.7460096431489061E-2</c:v>
                </c:pt>
                <c:pt idx="34">
                  <c:v>7.0293060058135041E-3</c:v>
                </c:pt>
                <c:pt idx="35">
                  <c:v>3.243365391886713E-3</c:v>
                </c:pt>
                <c:pt idx="36">
                  <c:v>6.6753155472480874E-3</c:v>
                </c:pt>
                <c:pt idx="37">
                  <c:v>1.7399571233002901E-2</c:v>
                </c:pt>
                <c:pt idx="38">
                  <c:v>6.1955070586442867E-2</c:v>
                </c:pt>
                <c:pt idx="39">
                  <c:v>8.404056603836467E-2</c:v>
                </c:pt>
                <c:pt idx="40">
                  <c:v>9.6876891420316108E-2</c:v>
                </c:pt>
                <c:pt idx="41">
                  <c:v>9.4962020744311482E-2</c:v>
                </c:pt>
                <c:pt idx="42">
                  <c:v>9.963556652585577E-2</c:v>
                </c:pt>
                <c:pt idx="43">
                  <c:v>8.9626978325266782E-2</c:v>
                </c:pt>
                <c:pt idx="44">
                  <c:v>6.6046498591704736E-2</c:v>
                </c:pt>
                <c:pt idx="45">
                  <c:v>3.7469414477654707E-2</c:v>
                </c:pt>
                <c:pt idx="46">
                  <c:v>1.046932675470221E-2</c:v>
                </c:pt>
                <c:pt idx="47">
                  <c:v>6.2291646451968653E-3</c:v>
                </c:pt>
                <c:pt idx="48">
                  <c:v>1.2460694276862919E-2</c:v>
                </c:pt>
                <c:pt idx="49">
                  <c:v>3.4376404191763639E-2</c:v>
                </c:pt>
                <c:pt idx="50">
                  <c:v>5.6477968577058592E-2</c:v>
                </c:pt>
                <c:pt idx="51">
                  <c:v>0.1509467292684683</c:v>
                </c:pt>
                <c:pt idx="52">
                  <c:v>0.18600333743842001</c:v>
                </c:pt>
                <c:pt idx="53">
                  <c:v>0.21892573712946101</c:v>
                </c:pt>
                <c:pt idx="54">
                  <c:v>0.18929524056345021</c:v>
                </c:pt>
                <c:pt idx="55">
                  <c:v>0.1493297980639493</c:v>
                </c:pt>
                <c:pt idx="56">
                  <c:v>0.13191654386548721</c:v>
                </c:pt>
                <c:pt idx="57">
                  <c:v>4.2864886456730103E-2</c:v>
                </c:pt>
                <c:pt idx="58">
                  <c:v>1.6003493537152379E-2</c:v>
                </c:pt>
                <c:pt idx="59">
                  <c:v>6.3905046726965339E-3</c:v>
                </c:pt>
                <c:pt idx="60">
                  <c:v>1.3417186050607519E-2</c:v>
                </c:pt>
                <c:pt idx="61">
                  <c:v>2.6436223837926501E-2</c:v>
                </c:pt>
                <c:pt idx="62">
                  <c:v>6.6233973400350477E-2</c:v>
                </c:pt>
                <c:pt idx="63">
                  <c:v>0.1084169878649764</c:v>
                </c:pt>
                <c:pt idx="64">
                  <c:v>0.18887031649880051</c:v>
                </c:pt>
                <c:pt idx="65">
                  <c:v>0.1715230569234828</c:v>
                </c:pt>
                <c:pt idx="66">
                  <c:v>0.1809062055635286</c:v>
                </c:pt>
                <c:pt idx="67">
                  <c:v>0.15512153111725799</c:v>
                </c:pt>
                <c:pt idx="68">
                  <c:v>0.1275567235314205</c:v>
                </c:pt>
                <c:pt idx="69">
                  <c:v>6.2873767847415107E-2</c:v>
                </c:pt>
                <c:pt idx="70">
                  <c:v>1.780902737610289E-2</c:v>
                </c:pt>
                <c:pt idx="71">
                  <c:v>6.7857975683456679E-3</c:v>
                </c:pt>
                <c:pt idx="72">
                  <c:v>1.366055484422285E-2</c:v>
                </c:pt>
                <c:pt idx="73">
                  <c:v>4.3419934817177687E-2</c:v>
                </c:pt>
                <c:pt idx="74">
                  <c:v>0.1120694547038418</c:v>
                </c:pt>
                <c:pt idx="75">
                  <c:v>0.14827548756052711</c:v>
                </c:pt>
                <c:pt idx="76">
                  <c:v>0.19244468175967161</c:v>
                </c:pt>
                <c:pt idx="77">
                  <c:v>0.18784829238523279</c:v>
                </c:pt>
                <c:pt idx="78">
                  <c:v>0.21828188848241209</c:v>
                </c:pt>
                <c:pt idx="79">
                  <c:v>0.19011684012808119</c:v>
                </c:pt>
                <c:pt idx="80">
                  <c:v>0.13816152724517919</c:v>
                </c:pt>
                <c:pt idx="81">
                  <c:v>6.9462071202051626E-2</c:v>
                </c:pt>
                <c:pt idx="82">
                  <c:v>2.6604970402147529E-2</c:v>
                </c:pt>
                <c:pt idx="83">
                  <c:v>1.40253486520015E-2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3F6-7B46-A2C1-6843F201B223}"/>
            </c:ext>
          </c:extLst>
        </c:ser>
        <c:ser>
          <c:idx val="1"/>
          <c:order val="1"/>
          <c:tx>
            <c:strRef>
              <c:f>'Capture Price Inputs'!$G$1</c:f>
              <c:strCache>
                <c:ptCount val="1"/>
                <c:pt idx="0">
                  <c:v>DK2 Solar Penetration (%) — Robustness</c:v>
                </c:pt>
              </c:strCache>
            </c:strRef>
          </c:tx>
          <c:spPr>
            <a:ln>
              <a:solidFill>
                <a:srgbClr val="FFD700"/>
              </a:solidFill>
              <a:prstDash val="solid"/>
            </a:ln>
          </c:spPr>
          <c:marker>
            <c:symbol val="none"/>
          </c:marker>
          <c:val>
            <c:numRef>
              <c:f>'Capture Price Inputs'!$G$2:$G$85</c:f>
              <c:numCache>
                <c:formatCode>General</c:formatCode>
                <c:ptCount val="84"/>
                <c:pt idx="12">
                  <c:v>1.864323044087839E-3</c:v>
                </c:pt>
                <c:pt idx="13">
                  <c:v>4.9613393448072352E-3</c:v>
                </c:pt>
                <c:pt idx="14">
                  <c:v>1.532033335337761E-2</c:v>
                </c:pt>
                <c:pt idx="15">
                  <c:v>2.6180595134545931E-2</c:v>
                </c:pt>
                <c:pt idx="16">
                  <c:v>3.2240930774166239E-2</c:v>
                </c:pt>
                <c:pt idx="17">
                  <c:v>3.0651812088155841E-2</c:v>
                </c:pt>
                <c:pt idx="18">
                  <c:v>2.998206800974695E-2</c:v>
                </c:pt>
                <c:pt idx="19">
                  <c:v>2.8034713414307081E-2</c:v>
                </c:pt>
                <c:pt idx="20">
                  <c:v>2.1736479101595249E-2</c:v>
                </c:pt>
                <c:pt idx="21">
                  <c:v>1.107911770574695E-2</c:v>
                </c:pt>
                <c:pt idx="22">
                  <c:v>1.1044611578332841E-4</c:v>
                </c:pt>
                <c:pt idx="23">
                  <c:v>5.6352433584062588E-6</c:v>
                </c:pt>
                <c:pt idx="24">
                  <c:v>3.104474131982996E-3</c:v>
                </c:pt>
                <c:pt idx="25">
                  <c:v>9.2483369487723587E-3</c:v>
                </c:pt>
                <c:pt idx="26">
                  <c:v>1.8474517045212829E-2</c:v>
                </c:pt>
                <c:pt idx="27">
                  <c:v>3.2694407483312787E-2</c:v>
                </c:pt>
                <c:pt idx="28">
                  <c:v>3.2945829294540187E-2</c:v>
                </c:pt>
                <c:pt idx="29">
                  <c:v>4.4480133140056069E-2</c:v>
                </c:pt>
                <c:pt idx="30">
                  <c:v>3.7049542537302173E-2</c:v>
                </c:pt>
                <c:pt idx="31">
                  <c:v>3.1857768834261987E-2</c:v>
                </c:pt>
                <c:pt idx="32">
                  <c:v>2.23981137027396E-2</c:v>
                </c:pt>
                <c:pt idx="33">
                  <c:v>1.267326343754744E-2</c:v>
                </c:pt>
                <c:pt idx="34">
                  <c:v>4.0132810857910267E-3</c:v>
                </c:pt>
                <c:pt idx="35">
                  <c:v>1.8226295838260991E-3</c:v>
                </c:pt>
                <c:pt idx="36">
                  <c:v>4.939556742877535E-3</c:v>
                </c:pt>
                <c:pt idx="37">
                  <c:v>1.3248485586698279E-2</c:v>
                </c:pt>
                <c:pt idx="38">
                  <c:v>3.4089330349121053E-2</c:v>
                </c:pt>
                <c:pt idx="39">
                  <c:v>5.5254436099578648E-2</c:v>
                </c:pt>
                <c:pt idx="40">
                  <c:v>6.5811459960859395E-2</c:v>
                </c:pt>
                <c:pt idx="41">
                  <c:v>6.4528229045867816E-2</c:v>
                </c:pt>
                <c:pt idx="42">
                  <c:v>6.7025803801952916E-2</c:v>
                </c:pt>
                <c:pt idx="43">
                  <c:v>6.1299924397195817E-2</c:v>
                </c:pt>
                <c:pt idx="44">
                  <c:v>4.5784276103507021E-2</c:v>
                </c:pt>
                <c:pt idx="45">
                  <c:v>2.9809058027035401E-2</c:v>
                </c:pt>
                <c:pt idx="46">
                  <c:v>7.8652952619005494E-3</c:v>
                </c:pt>
                <c:pt idx="47">
                  <c:v>4.5323555529735481E-3</c:v>
                </c:pt>
                <c:pt idx="48">
                  <c:v>5.8626527231366082E-3</c:v>
                </c:pt>
                <c:pt idx="49">
                  <c:v>1.8877648418373551E-2</c:v>
                </c:pt>
                <c:pt idx="50">
                  <c:v>3.7096229392005707E-2</c:v>
                </c:pt>
                <c:pt idx="51">
                  <c:v>8.0269966033824955E-2</c:v>
                </c:pt>
                <c:pt idx="52">
                  <c:v>0.1080032082802261</c:v>
                </c:pt>
                <c:pt idx="53">
                  <c:v>0.1144244665352921</c:v>
                </c:pt>
                <c:pt idx="54">
                  <c:v>0.10203074507159759</c:v>
                </c:pt>
                <c:pt idx="55">
                  <c:v>7.7931010532967707E-2</c:v>
                </c:pt>
                <c:pt idx="56">
                  <c:v>8.0909954639318743E-2</c:v>
                </c:pt>
                <c:pt idx="57">
                  <c:v>2.9172340215594381E-2</c:v>
                </c:pt>
                <c:pt idx="58">
                  <c:v>1.04098691216888E-2</c:v>
                </c:pt>
                <c:pt idx="59">
                  <c:v>3.809030164374855E-3</c:v>
                </c:pt>
                <c:pt idx="60">
                  <c:v>6.1781830729755079E-3</c:v>
                </c:pt>
                <c:pt idx="61">
                  <c:v>1.667231366864759E-2</c:v>
                </c:pt>
                <c:pt idx="62">
                  <c:v>4.1112806367337662E-2</c:v>
                </c:pt>
                <c:pt idx="63">
                  <c:v>6.5123378744806448E-2</c:v>
                </c:pt>
                <c:pt idx="64">
                  <c:v>0.106315341440858</c:v>
                </c:pt>
                <c:pt idx="65">
                  <c:v>0.1072729076610999</c:v>
                </c:pt>
                <c:pt idx="66">
                  <c:v>0.1057942634887733</c:v>
                </c:pt>
                <c:pt idx="67">
                  <c:v>9.3690832268705199E-2</c:v>
                </c:pt>
                <c:pt idx="68">
                  <c:v>7.2463202820400169E-2</c:v>
                </c:pt>
                <c:pt idx="69">
                  <c:v>3.6145253892379881E-2</c:v>
                </c:pt>
                <c:pt idx="70">
                  <c:v>8.6028414054236078E-3</c:v>
                </c:pt>
                <c:pt idx="71">
                  <c:v>4.1714684657767577E-3</c:v>
                </c:pt>
                <c:pt idx="72">
                  <c:v>7.223240212576967E-3</c:v>
                </c:pt>
                <c:pt idx="73">
                  <c:v>2.010831138567791E-2</c:v>
                </c:pt>
                <c:pt idx="74">
                  <c:v>4.6547866447452589E-2</c:v>
                </c:pt>
                <c:pt idx="75">
                  <c:v>7.1689783649061992E-2</c:v>
                </c:pt>
                <c:pt idx="76">
                  <c:v>9.4714127256233946E-2</c:v>
                </c:pt>
                <c:pt idx="77">
                  <c:v>9.9826250015510765E-2</c:v>
                </c:pt>
                <c:pt idx="78">
                  <c:v>9.3996419418699143E-2</c:v>
                </c:pt>
                <c:pt idx="79">
                  <c:v>0.1057378118957395</c:v>
                </c:pt>
                <c:pt idx="80">
                  <c:v>9.0628879686523764E-2</c:v>
                </c:pt>
                <c:pt idx="81">
                  <c:v>3.9573125678626628E-2</c:v>
                </c:pt>
                <c:pt idx="82">
                  <c:v>1.454364344794783E-2</c:v>
                </c:pt>
                <c:pt idx="83">
                  <c:v>9.0694911608833299E-3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3F6-7B46-A2C1-6843F201B2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Solar Penetration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Capture Price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Inputs'!$H$1</c:f>
              <c:strCache>
                <c:ptCount val="1"/>
                <c:pt idx="0">
                  <c:v>DK1 Capture Price (EUR/MWh)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Inputs'!$H$2:$H$85</c:f>
              <c:numCache>
                <c:formatCode>General</c:formatCode>
                <c:ptCount val="84"/>
                <c:pt idx="12">
                  <c:v>25.22320957280251</c:v>
                </c:pt>
                <c:pt idx="13">
                  <c:v>22.83581899109792</c:v>
                </c:pt>
                <c:pt idx="14">
                  <c:v>15.94107348554973</c:v>
                </c:pt>
                <c:pt idx="15">
                  <c:v>10.36487590420421</c:v>
                </c:pt>
                <c:pt idx="16">
                  <c:v>15.478548945086001</c:v>
                </c:pt>
                <c:pt idx="17">
                  <c:v>27.313308227868689</c:v>
                </c:pt>
                <c:pt idx="18">
                  <c:v>24.831745178109159</c:v>
                </c:pt>
                <c:pt idx="19">
                  <c:v>33.876915422047851</c:v>
                </c:pt>
                <c:pt idx="20">
                  <c:v>38.935979003379593</c:v>
                </c:pt>
                <c:pt idx="21">
                  <c:v>31.927741533059191</c:v>
                </c:pt>
                <c:pt idx="22">
                  <c:v>26.005993265993261</c:v>
                </c:pt>
                <c:pt idx="23">
                  <c:v>34.795161290322582</c:v>
                </c:pt>
                <c:pt idx="24">
                  <c:v>55.422967607277918</c:v>
                </c:pt>
                <c:pt idx="25">
                  <c:v>47.542610979142587</c:v>
                </c:pt>
                <c:pt idx="26">
                  <c:v>44.550700915805493</c:v>
                </c:pt>
                <c:pt idx="27">
                  <c:v>43.594739828473003</c:v>
                </c:pt>
                <c:pt idx="28">
                  <c:v>47.655870575001217</c:v>
                </c:pt>
                <c:pt idx="29">
                  <c:v>70.543547911111062</c:v>
                </c:pt>
                <c:pt idx="30">
                  <c:v>78.568319747758608</c:v>
                </c:pt>
                <c:pt idx="31">
                  <c:v>81.983351136401794</c:v>
                </c:pt>
                <c:pt idx="32">
                  <c:v>116.20022495544841</c:v>
                </c:pt>
                <c:pt idx="33">
                  <c:v>126.53039520323949</c:v>
                </c:pt>
                <c:pt idx="34">
                  <c:v>160.77058330102949</c:v>
                </c:pt>
                <c:pt idx="35">
                  <c:v>228.8621705579358</c:v>
                </c:pt>
                <c:pt idx="36">
                  <c:v>123.20125067917191</c:v>
                </c:pt>
                <c:pt idx="37">
                  <c:v>117.67077903546</c:v>
                </c:pt>
                <c:pt idx="38">
                  <c:v>191.50807173506701</c:v>
                </c:pt>
                <c:pt idx="39">
                  <c:v>145.70138715926041</c:v>
                </c:pt>
                <c:pt idx="40">
                  <c:v>149.4185612445558</c:v>
                </c:pt>
                <c:pt idx="41">
                  <c:v>194.71103409481981</c:v>
                </c:pt>
                <c:pt idx="42">
                  <c:v>239.3981525107354</c:v>
                </c:pt>
                <c:pt idx="43">
                  <c:v>419.79263722660602</c:v>
                </c:pt>
                <c:pt idx="44">
                  <c:v>310.70739927266709</c:v>
                </c:pt>
                <c:pt idx="45">
                  <c:v>125.6295598680838</c:v>
                </c:pt>
                <c:pt idx="46">
                  <c:v>131.7111886265582</c:v>
                </c:pt>
                <c:pt idx="47">
                  <c:v>282.82379374207261</c:v>
                </c:pt>
                <c:pt idx="48">
                  <c:v>138.52998868426329</c:v>
                </c:pt>
                <c:pt idx="49">
                  <c:v>109.87697572135031</c:v>
                </c:pt>
                <c:pt idx="50">
                  <c:v>93.774190940695377</c:v>
                </c:pt>
                <c:pt idx="51">
                  <c:v>76.25042822265543</c:v>
                </c:pt>
                <c:pt idx="52">
                  <c:v>50.543487760082613</c:v>
                </c:pt>
                <c:pt idx="53">
                  <c:v>74.888982776218057</c:v>
                </c:pt>
                <c:pt idx="54">
                  <c:v>52.095599438463452</c:v>
                </c:pt>
                <c:pt idx="55">
                  <c:v>74.180426039978187</c:v>
                </c:pt>
                <c:pt idx="56">
                  <c:v>68.116869623396937</c:v>
                </c:pt>
                <c:pt idx="57">
                  <c:v>50.539090519702853</c:v>
                </c:pt>
                <c:pt idx="58">
                  <c:v>90.680805562425178</c:v>
                </c:pt>
                <c:pt idx="59">
                  <c:v>63.455327688788032</c:v>
                </c:pt>
                <c:pt idx="60">
                  <c:v>78.571316441678306</c:v>
                </c:pt>
                <c:pt idx="61">
                  <c:v>59.479486768055089</c:v>
                </c:pt>
                <c:pt idx="62">
                  <c:v>51.269783241554933</c:v>
                </c:pt>
                <c:pt idx="63">
                  <c:v>49.383940562011212</c:v>
                </c:pt>
                <c:pt idx="64">
                  <c:v>35.894148271408874</c:v>
                </c:pt>
                <c:pt idx="65">
                  <c:v>47.037633727397647</c:v>
                </c:pt>
                <c:pt idx="66">
                  <c:v>42.521773223099522</c:v>
                </c:pt>
                <c:pt idx="67">
                  <c:v>52.17121747504909</c:v>
                </c:pt>
                <c:pt idx="68">
                  <c:v>45.647504626217007</c:v>
                </c:pt>
                <c:pt idx="69">
                  <c:v>58.441583787091993</c:v>
                </c:pt>
                <c:pt idx="70">
                  <c:v>97.582352616331917</c:v>
                </c:pt>
                <c:pt idx="71">
                  <c:v>92.073217693833982</c:v>
                </c:pt>
                <c:pt idx="72">
                  <c:v>111.1945655985155</c:v>
                </c:pt>
                <c:pt idx="73">
                  <c:v>105.41315973788279</c:v>
                </c:pt>
                <c:pt idx="74">
                  <c:v>57.84566339627056</c:v>
                </c:pt>
                <c:pt idx="75">
                  <c:v>45.844395770687349</c:v>
                </c:pt>
                <c:pt idx="76">
                  <c:v>40.065667394009381</c:v>
                </c:pt>
                <c:pt idx="77">
                  <c:v>33.493381965196598</c:v>
                </c:pt>
                <c:pt idx="78">
                  <c:v>61.32224821093979</c:v>
                </c:pt>
                <c:pt idx="79">
                  <c:v>47.755824567457559</c:v>
                </c:pt>
                <c:pt idx="80">
                  <c:v>49.429094996057238</c:v>
                </c:pt>
                <c:pt idx="81">
                  <c:v>74.266634537895257</c:v>
                </c:pt>
                <c:pt idx="82">
                  <c:v>95.564531802521344</c:v>
                </c:pt>
                <c:pt idx="83">
                  <c:v>80.958034242780258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CA2-FF4C-86E0-C8ED9493AEBD}"/>
            </c:ext>
          </c:extLst>
        </c:ser>
        <c:ser>
          <c:idx val="1"/>
          <c:order val="1"/>
          <c:tx>
            <c:strRef>
              <c:f>'Capture Price Inputs'!$I$1</c:f>
              <c:strCache>
                <c:ptCount val="1"/>
                <c:pt idx="0">
                  <c:v>DK2 Capture Price (EUR/MWh)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'Capture Price Inputs'!$I$2:$I$85</c:f>
              <c:numCache>
                <c:formatCode>General</c:formatCode>
                <c:ptCount val="84"/>
                <c:pt idx="12">
                  <c:v>29.86213642213642</c:v>
                </c:pt>
                <c:pt idx="13">
                  <c:v>23.555517829721889</c:v>
                </c:pt>
                <c:pt idx="14">
                  <c:v>17.149050692261021</c:v>
                </c:pt>
                <c:pt idx="15">
                  <c:v>13.252523128367081</c:v>
                </c:pt>
                <c:pt idx="16">
                  <c:v>18.594049382716051</c:v>
                </c:pt>
                <c:pt idx="17">
                  <c:v>35.21078005032583</c:v>
                </c:pt>
                <c:pt idx="18">
                  <c:v>26.450778046867001</c:v>
                </c:pt>
                <c:pt idx="19">
                  <c:v>44.113765015404859</c:v>
                </c:pt>
                <c:pt idx="20">
                  <c:v>41.853047880870562</c:v>
                </c:pt>
                <c:pt idx="21">
                  <c:v>33.600878372903331</c:v>
                </c:pt>
                <c:pt idx="22">
                  <c:v>37.749765625000002</c:v>
                </c:pt>
                <c:pt idx="23">
                  <c:v>44.191428571428567</c:v>
                </c:pt>
                <c:pt idx="24">
                  <c:v>57.072134410081453</c:v>
                </c:pt>
                <c:pt idx="25">
                  <c:v>52.285083654524577</c:v>
                </c:pt>
                <c:pt idx="26">
                  <c:v>47.422643011897812</c:v>
                </c:pt>
                <c:pt idx="27">
                  <c:v>45.901363748248833</c:v>
                </c:pt>
                <c:pt idx="28">
                  <c:v>50.258720231460799</c:v>
                </c:pt>
                <c:pt idx="29">
                  <c:v>69.469341653776226</c:v>
                </c:pt>
                <c:pt idx="30">
                  <c:v>77.933111551394319</c:v>
                </c:pt>
                <c:pt idx="31">
                  <c:v>84.512747690257029</c:v>
                </c:pt>
                <c:pt idx="32">
                  <c:v>118.7457227855615</c:v>
                </c:pt>
                <c:pt idx="33">
                  <c:v>122.3841235967906</c:v>
                </c:pt>
                <c:pt idx="34">
                  <c:v>153.62679427815749</c:v>
                </c:pt>
                <c:pt idx="35">
                  <c:v>244.48727859764409</c:v>
                </c:pt>
                <c:pt idx="36">
                  <c:v>129.67749023150819</c:v>
                </c:pt>
                <c:pt idx="37">
                  <c:v>108.80333899256409</c:v>
                </c:pt>
                <c:pt idx="38">
                  <c:v>186.0504424586062</c:v>
                </c:pt>
                <c:pt idx="39">
                  <c:v>143.53758886421849</c:v>
                </c:pt>
                <c:pt idx="40">
                  <c:v>146.25360234460331</c:v>
                </c:pt>
                <c:pt idx="41">
                  <c:v>192.2325905808319</c:v>
                </c:pt>
                <c:pt idx="42">
                  <c:v>212.3625858003895</c:v>
                </c:pt>
                <c:pt idx="43">
                  <c:v>397.17988485976059</c:v>
                </c:pt>
                <c:pt idx="44">
                  <c:v>315.92884279677901</c:v>
                </c:pt>
                <c:pt idx="45">
                  <c:v>120.1190076327392</c:v>
                </c:pt>
                <c:pt idx="46">
                  <c:v>134.0399027878758</c:v>
                </c:pt>
                <c:pt idx="47">
                  <c:v>303.26978481668573</c:v>
                </c:pt>
                <c:pt idx="48">
                  <c:v>120.8992864784306</c:v>
                </c:pt>
                <c:pt idx="49">
                  <c:v>103.112625406295</c:v>
                </c:pt>
                <c:pt idx="50">
                  <c:v>89.098468921641697</c:v>
                </c:pt>
                <c:pt idx="51">
                  <c:v>71.125099705594195</c:v>
                </c:pt>
                <c:pt idx="52">
                  <c:v>48.358083796456327</c:v>
                </c:pt>
                <c:pt idx="53">
                  <c:v>71.862090372222397</c:v>
                </c:pt>
                <c:pt idx="54">
                  <c:v>50.345966617092351</c:v>
                </c:pt>
                <c:pt idx="55">
                  <c:v>72.957992347987414</c:v>
                </c:pt>
                <c:pt idx="56">
                  <c:v>64.394484672464898</c:v>
                </c:pt>
                <c:pt idx="57">
                  <c:v>47.660255094286853</c:v>
                </c:pt>
                <c:pt idx="58">
                  <c:v>84.639978605265995</c:v>
                </c:pt>
                <c:pt idx="59">
                  <c:v>59.061746333079718</c:v>
                </c:pt>
                <c:pt idx="60">
                  <c:v>76.427202535219209</c:v>
                </c:pt>
                <c:pt idx="61">
                  <c:v>51.434379196547752</c:v>
                </c:pt>
                <c:pt idx="62">
                  <c:v>50.751163813053438</c:v>
                </c:pt>
                <c:pt idx="63">
                  <c:v>47.053967904827999</c:v>
                </c:pt>
                <c:pt idx="64">
                  <c:v>34.295794113692892</c:v>
                </c:pt>
                <c:pt idx="65">
                  <c:v>46.379384034583367</c:v>
                </c:pt>
                <c:pt idx="66">
                  <c:v>38.812821969471173</c:v>
                </c:pt>
                <c:pt idx="67">
                  <c:v>47.151863118292532</c:v>
                </c:pt>
                <c:pt idx="68">
                  <c:v>43.355946350842189</c:v>
                </c:pt>
                <c:pt idx="69">
                  <c:v>59.534937630286556</c:v>
                </c:pt>
                <c:pt idx="70">
                  <c:v>89.611277477917284</c:v>
                </c:pt>
                <c:pt idx="71">
                  <c:v>100.7961313991171</c:v>
                </c:pt>
                <c:pt idx="72">
                  <c:v>115.0822593270056</c:v>
                </c:pt>
                <c:pt idx="73">
                  <c:v>106.92318207316821</c:v>
                </c:pt>
                <c:pt idx="74">
                  <c:v>50.018062961268747</c:v>
                </c:pt>
                <c:pt idx="75">
                  <c:v>41.82584156307518</c:v>
                </c:pt>
                <c:pt idx="76">
                  <c:v>34.320660344591218</c:v>
                </c:pt>
                <c:pt idx="77">
                  <c:v>24.31568572006325</c:v>
                </c:pt>
                <c:pt idx="78">
                  <c:v>59.766943882147693</c:v>
                </c:pt>
                <c:pt idx="79">
                  <c:v>43.064604783544858</c:v>
                </c:pt>
                <c:pt idx="80">
                  <c:v>52.949405153808357</c:v>
                </c:pt>
                <c:pt idx="81">
                  <c:v>78.645730322406678</c:v>
                </c:pt>
                <c:pt idx="82">
                  <c:v>92.690454871532665</c:v>
                </c:pt>
                <c:pt idx="83">
                  <c:v>79.631228022083661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CA2-FF4C-86E0-C8ED9493AE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Capture Price Ratio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Inputs'!$J$1</c:f>
              <c:strCache>
                <c:ptCount val="1"/>
                <c:pt idx="0">
                  <c:v>DK1 CPR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Inputs'!$J$2:$J$85</c:f>
              <c:numCache>
                <c:formatCode>General</c:formatCode>
                <c:ptCount val="84"/>
                <c:pt idx="12">
                  <c:v>1.0091486594474419</c:v>
                </c:pt>
                <c:pt idx="13">
                  <c:v>1.2985911686950511</c:v>
                </c:pt>
                <c:pt idx="14">
                  <c:v>0.8710146939215303</c:v>
                </c:pt>
                <c:pt idx="15">
                  <c:v>0.71315772558819213</c:v>
                </c:pt>
                <c:pt idx="16">
                  <c:v>0.96415576931205649</c:v>
                </c:pt>
                <c:pt idx="17">
                  <c:v>1.0394664137310941</c:v>
                </c:pt>
                <c:pt idx="18">
                  <c:v>1.0086181556608309</c:v>
                </c:pt>
                <c:pt idx="19">
                  <c:v>0.98082264407500741</c:v>
                </c:pt>
                <c:pt idx="20">
                  <c:v>1.0104044869130051</c:v>
                </c:pt>
                <c:pt idx="21">
                  <c:v>1.236802226812374</c:v>
                </c:pt>
                <c:pt idx="22">
                  <c:v>1.094777917215692</c:v>
                </c:pt>
                <c:pt idx="23">
                  <c:v>1.0082301641826621</c:v>
                </c:pt>
                <c:pt idx="24">
                  <c:v>1.103930861568265</c:v>
                </c:pt>
                <c:pt idx="25">
                  <c:v>1.0059479277054251</c:v>
                </c:pt>
                <c:pt idx="26">
                  <c:v>0.9871758725122356</c:v>
                </c:pt>
                <c:pt idx="27">
                  <c:v>0.90884647456650169</c:v>
                </c:pt>
                <c:pt idx="28">
                  <c:v>0.87751805187154364</c:v>
                </c:pt>
                <c:pt idx="29">
                  <c:v>0.95691427953473174</c:v>
                </c:pt>
                <c:pt idx="30">
                  <c:v>0.98211323715969778</c:v>
                </c:pt>
                <c:pt idx="31">
                  <c:v>0.99027147802450566</c:v>
                </c:pt>
                <c:pt idx="32">
                  <c:v>0.92690440483613579</c:v>
                </c:pt>
                <c:pt idx="33">
                  <c:v>1.0810885074134391</c:v>
                </c:pt>
                <c:pt idx="34">
                  <c:v>1.1338034085044659</c:v>
                </c:pt>
                <c:pt idx="35">
                  <c:v>1.2086769624549281</c:v>
                </c:pt>
                <c:pt idx="36">
                  <c:v>1.0441257304277269</c:v>
                </c:pt>
                <c:pt idx="37">
                  <c:v>1.04022281700981</c:v>
                </c:pt>
                <c:pt idx="38">
                  <c:v>0.81207759044207406</c:v>
                </c:pt>
                <c:pt idx="39">
                  <c:v>0.89039133384678326</c:v>
                </c:pt>
                <c:pt idx="40">
                  <c:v>0.86943016050498578</c:v>
                </c:pt>
                <c:pt idx="41">
                  <c:v>0.90803902012341908</c:v>
                </c:pt>
                <c:pt idx="42">
                  <c:v>0.87041791592949547</c:v>
                </c:pt>
                <c:pt idx="43">
                  <c:v>0.91908553046700026</c:v>
                </c:pt>
                <c:pt idx="44">
                  <c:v>0.90632901805683119</c:v>
                </c:pt>
                <c:pt idx="45">
                  <c:v>0.91612325253961768</c:v>
                </c:pt>
                <c:pt idx="46">
                  <c:v>0.94278612074660006</c:v>
                </c:pt>
                <c:pt idx="47">
                  <c:v>1.132810339248927</c:v>
                </c:pt>
                <c:pt idx="48">
                  <c:v>1.2309198691226539</c:v>
                </c:pt>
                <c:pt idx="49">
                  <c:v>0.93008781340266</c:v>
                </c:pt>
                <c:pt idx="50">
                  <c:v>0.94612539759598957</c:v>
                </c:pt>
                <c:pt idx="51">
                  <c:v>0.79203966120386338</c:v>
                </c:pt>
                <c:pt idx="52">
                  <c:v>0.68333610561519953</c:v>
                </c:pt>
                <c:pt idx="53">
                  <c:v>0.80965062086215667</c:v>
                </c:pt>
                <c:pt idx="54">
                  <c:v>0.80380421953260928</c:v>
                </c:pt>
                <c:pt idx="55">
                  <c:v>0.86289309777204071</c:v>
                </c:pt>
                <c:pt idx="56">
                  <c:v>0.8038389922187259</c:v>
                </c:pt>
                <c:pt idx="57">
                  <c:v>0.84083605560542263</c:v>
                </c:pt>
                <c:pt idx="58">
                  <c:v>1.028656893611996</c:v>
                </c:pt>
                <c:pt idx="59">
                  <c:v>0.91325607762876626</c:v>
                </c:pt>
                <c:pt idx="60">
                  <c:v>1.051614630458469</c:v>
                </c:pt>
                <c:pt idx="61">
                  <c:v>1.0144208291794441</c:v>
                </c:pt>
                <c:pt idx="62">
                  <c:v>0.8373818542217274</c:v>
                </c:pt>
                <c:pt idx="63">
                  <c:v>0.83468460161643787</c:v>
                </c:pt>
                <c:pt idx="64">
                  <c:v>0.61339845366508694</c:v>
                </c:pt>
                <c:pt idx="65">
                  <c:v>0.73781003223868646</c:v>
                </c:pt>
                <c:pt idx="66">
                  <c:v>0.68549949487061801</c:v>
                </c:pt>
                <c:pt idx="67">
                  <c:v>0.71512676219349525</c:v>
                </c:pt>
                <c:pt idx="68">
                  <c:v>0.63652522303957304</c:v>
                </c:pt>
                <c:pt idx="69">
                  <c:v>0.76175188075929667</c:v>
                </c:pt>
                <c:pt idx="70">
                  <c:v>1.0174940038611719</c:v>
                </c:pt>
                <c:pt idx="71">
                  <c:v>1.0025674160411211</c:v>
                </c:pt>
                <c:pt idx="72">
                  <c:v>1.135032584901597</c:v>
                </c:pt>
                <c:pt idx="73">
                  <c:v>0.93411665141872979</c:v>
                </c:pt>
                <c:pt idx="74">
                  <c:v>0.68579081688022481</c:v>
                </c:pt>
                <c:pt idx="75">
                  <c:v>0.60995353561832499</c:v>
                </c:pt>
                <c:pt idx="76">
                  <c:v>0.62375117423189408</c:v>
                </c:pt>
                <c:pt idx="77">
                  <c:v>0.56976432128633303</c:v>
                </c:pt>
                <c:pt idx="78">
                  <c:v>0.74058967108380014</c:v>
                </c:pt>
                <c:pt idx="79">
                  <c:v>0.64997112344594554</c:v>
                </c:pt>
                <c:pt idx="80">
                  <c:v>0.68273474898658593</c:v>
                </c:pt>
                <c:pt idx="81">
                  <c:v>0.94701517193480578</c:v>
                </c:pt>
                <c:pt idx="82">
                  <c:v>1.0289764309560969</c:v>
                </c:pt>
                <c:pt idx="83">
                  <c:v>0.98205388617926037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934-AD43-AACD-B988E6FB75FC}"/>
            </c:ext>
          </c:extLst>
        </c:ser>
        <c:ser>
          <c:idx val="1"/>
          <c:order val="1"/>
          <c:tx>
            <c:strRef>
              <c:f>'Capture Price Inputs'!$K$1</c:f>
              <c:strCache>
                <c:ptCount val="1"/>
                <c:pt idx="0">
                  <c:v>DK2 CPR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'Capture Price Inputs'!$K$2:$K$85</c:f>
              <c:numCache>
                <c:formatCode>General</c:formatCode>
                <c:ptCount val="84"/>
                <c:pt idx="12">
                  <c:v>1.090446324793763</c:v>
                </c:pt>
                <c:pt idx="13">
                  <c:v>1.251821301318464</c:v>
                </c:pt>
                <c:pt idx="14">
                  <c:v>0.85520775851277109</c:v>
                </c:pt>
                <c:pt idx="15">
                  <c:v>0.76362023547871605</c:v>
                </c:pt>
                <c:pt idx="16">
                  <c:v>0.97636938233545278</c:v>
                </c:pt>
                <c:pt idx="17">
                  <c:v>1.180647007173951</c:v>
                </c:pt>
                <c:pt idx="18">
                  <c:v>1.021791049952987</c:v>
                </c:pt>
                <c:pt idx="19">
                  <c:v>1.077948442472481</c:v>
                </c:pt>
                <c:pt idx="20">
                  <c:v>1.0591890923358069</c:v>
                </c:pt>
                <c:pt idx="21">
                  <c:v>1.247549053102559</c:v>
                </c:pt>
                <c:pt idx="22">
                  <c:v>1.057080411727209</c:v>
                </c:pt>
                <c:pt idx="23">
                  <c:v>1.125691191699302</c:v>
                </c:pt>
                <c:pt idx="24">
                  <c:v>1.122164979814525</c:v>
                </c:pt>
                <c:pt idx="25">
                  <c:v>0.9585139857498034</c:v>
                </c:pt>
                <c:pt idx="26">
                  <c:v>1.0147741726503949</c:v>
                </c:pt>
                <c:pt idx="27">
                  <c:v>0.95901643664766134</c:v>
                </c:pt>
                <c:pt idx="28">
                  <c:v>0.91033887361171206</c:v>
                </c:pt>
                <c:pt idx="29">
                  <c:v>0.94404491874816343</c:v>
                </c:pt>
                <c:pt idx="30">
                  <c:v>0.95692856904650769</c:v>
                </c:pt>
                <c:pt idx="31">
                  <c:v>1.001768528067071</c:v>
                </c:pt>
                <c:pt idx="32">
                  <c:v>0.95838336990944806</c:v>
                </c:pt>
                <c:pt idx="33">
                  <c:v>1.1445012658471321</c:v>
                </c:pt>
                <c:pt idx="34">
                  <c:v>1.1264608571418011</c:v>
                </c:pt>
                <c:pt idx="35">
                  <c:v>1.279578427053047</c:v>
                </c:pt>
                <c:pt idx="36">
                  <c:v>1.1617546523412821</c:v>
                </c:pt>
                <c:pt idx="37">
                  <c:v>1.084871924613185</c:v>
                </c:pt>
                <c:pt idx="38">
                  <c:v>0.81629582758371144</c:v>
                </c:pt>
                <c:pt idx="39">
                  <c:v>0.93918048773921026</c:v>
                </c:pt>
                <c:pt idx="40">
                  <c:v>0.89914563143311954</c:v>
                </c:pt>
                <c:pt idx="41">
                  <c:v>0.90151367457475784</c:v>
                </c:pt>
                <c:pt idx="42">
                  <c:v>0.90956244496775596</c:v>
                </c:pt>
                <c:pt idx="43">
                  <c:v>0.8830756108422062</c:v>
                </c:pt>
                <c:pt idx="44">
                  <c:v>0.96085369829588263</c:v>
                </c:pt>
                <c:pt idx="45">
                  <c:v>0.87743541957368609</c:v>
                </c:pt>
                <c:pt idx="46">
                  <c:v>0.92404474391789948</c:v>
                </c:pt>
                <c:pt idx="47">
                  <c:v>1.2185280560697289</c:v>
                </c:pt>
                <c:pt idx="48">
                  <c:v>1.2118663236304299</c:v>
                </c:pt>
                <c:pt idx="49">
                  <c:v>1.0244781228159621</c:v>
                </c:pt>
                <c:pt idx="50">
                  <c:v>0.99223631219701203</c:v>
                </c:pt>
                <c:pt idx="51">
                  <c:v>0.85025873478203906</c:v>
                </c:pt>
                <c:pt idx="52">
                  <c:v>0.73101748270540212</c:v>
                </c:pt>
                <c:pt idx="53">
                  <c:v>0.78603819917365525</c:v>
                </c:pt>
                <c:pt idx="54">
                  <c:v>0.77170348712471282</c:v>
                </c:pt>
                <c:pt idx="55">
                  <c:v>0.84546104105698361</c:v>
                </c:pt>
                <c:pt idx="56">
                  <c:v>0.75329173308453345</c:v>
                </c:pt>
                <c:pt idx="57">
                  <c:v>0.83723449033464103</c:v>
                </c:pt>
                <c:pt idx="58">
                  <c:v>1.038705241708771</c:v>
                </c:pt>
                <c:pt idx="59">
                  <c:v>0.83326707575628478</c:v>
                </c:pt>
                <c:pt idx="60">
                  <c:v>0.97714487510792902</c:v>
                </c:pt>
                <c:pt idx="61">
                  <c:v>0.93991726033346112</c:v>
                </c:pt>
                <c:pt idx="62">
                  <c:v>0.8314293202728863</c:v>
                </c:pt>
                <c:pt idx="63">
                  <c:v>0.77805107456374178</c:v>
                </c:pt>
                <c:pt idx="64">
                  <c:v>0.59005563427075769</c:v>
                </c:pt>
                <c:pt idx="65">
                  <c:v>0.69439585691141426</c:v>
                </c:pt>
                <c:pt idx="66">
                  <c:v>0.61762838453946423</c:v>
                </c:pt>
                <c:pt idx="67">
                  <c:v>0.64934714792296455</c:v>
                </c:pt>
                <c:pt idx="68">
                  <c:v>0.61574801135475132</c:v>
                </c:pt>
                <c:pt idx="69">
                  <c:v>0.78000735067931948</c:v>
                </c:pt>
                <c:pt idx="70">
                  <c:v>0.94047799551015088</c:v>
                </c:pt>
                <c:pt idx="71">
                  <c:v>1.0870067185479459</c:v>
                </c:pt>
                <c:pt idx="72">
                  <c:v>1.1494003648079021</c:v>
                </c:pt>
                <c:pt idx="73">
                  <c:v>0.90662384271333907</c:v>
                </c:pt>
                <c:pt idx="74">
                  <c:v>0.60374116471580297</c:v>
                </c:pt>
                <c:pt idx="75">
                  <c:v>0.55174367988103734</c:v>
                </c:pt>
                <c:pt idx="76">
                  <c:v>0.54405946330729504</c:v>
                </c:pt>
                <c:pt idx="77">
                  <c:v>0.4307606652121766</c:v>
                </c:pt>
                <c:pt idx="78">
                  <c:v>0.74746341861966192</c:v>
                </c:pt>
                <c:pt idx="79">
                  <c:v>0.57178942343359873</c:v>
                </c:pt>
                <c:pt idx="80">
                  <c:v>0.63573160083367797</c:v>
                </c:pt>
                <c:pt idx="81">
                  <c:v>0.95480840081563045</c:v>
                </c:pt>
                <c:pt idx="82">
                  <c:v>0.98927251294969987</c:v>
                </c:pt>
                <c:pt idx="83">
                  <c:v>0.97014796253594149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934-AD43-AACD-B988E6FB75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CPR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Solar Penetration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Inputs'!$F$1</c:f>
              <c:strCache>
                <c:ptCount val="1"/>
                <c:pt idx="0">
                  <c:v>DK1 Solar Penetration (%) — Primary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'Capture Price Inputs'!$F$2:$F$85</c:f>
              <c:numCache>
                <c:formatCode>General</c:formatCode>
                <c:ptCount val="84"/>
                <c:pt idx="12">
                  <c:v>2.2644478926294831E-3</c:v>
                </c:pt>
                <c:pt idx="13">
                  <c:v>5.2474520244822449E-3</c:v>
                </c:pt>
                <c:pt idx="14">
                  <c:v>2.020167759412729E-2</c:v>
                </c:pt>
                <c:pt idx="15">
                  <c:v>3.2427989612304697E-2</c:v>
                </c:pt>
                <c:pt idx="16">
                  <c:v>3.6080087237903569E-2</c:v>
                </c:pt>
                <c:pt idx="17">
                  <c:v>3.7413618831640891E-2</c:v>
                </c:pt>
                <c:pt idx="18">
                  <c:v>3.3998433859503921E-2</c:v>
                </c:pt>
                <c:pt idx="19">
                  <c:v>3.4224763142537661E-2</c:v>
                </c:pt>
                <c:pt idx="20">
                  <c:v>2.4330151939157239E-2</c:v>
                </c:pt>
                <c:pt idx="21">
                  <c:v>1.1490387549446779E-2</c:v>
                </c:pt>
                <c:pt idx="22">
                  <c:v>1.521101274151999E-4</c:v>
                </c:pt>
                <c:pt idx="23">
                  <c:v>1.472410662127807E-5</c:v>
                </c:pt>
                <c:pt idx="24">
                  <c:v>3.6313559990350909E-3</c:v>
                </c:pt>
                <c:pt idx="25">
                  <c:v>1.0868941718057299E-2</c:v>
                </c:pt>
                <c:pt idx="26">
                  <c:v>2.2382303907371628E-2</c:v>
                </c:pt>
                <c:pt idx="27">
                  <c:v>4.212837115783985E-2</c:v>
                </c:pt>
                <c:pt idx="28">
                  <c:v>3.3075052211960353E-2</c:v>
                </c:pt>
                <c:pt idx="29">
                  <c:v>4.9841661821819518E-2</c:v>
                </c:pt>
                <c:pt idx="30">
                  <c:v>4.85715434854639E-2</c:v>
                </c:pt>
                <c:pt idx="31">
                  <c:v>3.8876947944708702E-2</c:v>
                </c:pt>
                <c:pt idx="32">
                  <c:v>2.5932850179436289E-2</c:v>
                </c:pt>
                <c:pt idx="33">
                  <c:v>1.7460096431489061E-2</c:v>
                </c:pt>
                <c:pt idx="34">
                  <c:v>7.0293060058135041E-3</c:v>
                </c:pt>
                <c:pt idx="35">
                  <c:v>3.243365391886713E-3</c:v>
                </c:pt>
                <c:pt idx="36">
                  <c:v>6.6753155472480874E-3</c:v>
                </c:pt>
                <c:pt idx="37">
                  <c:v>1.7399571233002901E-2</c:v>
                </c:pt>
                <c:pt idx="38">
                  <c:v>6.1955070586442867E-2</c:v>
                </c:pt>
                <c:pt idx="39">
                  <c:v>8.404056603836467E-2</c:v>
                </c:pt>
                <c:pt idx="40">
                  <c:v>9.6876891420316108E-2</c:v>
                </c:pt>
                <c:pt idx="41">
                  <c:v>9.4962020744311482E-2</c:v>
                </c:pt>
                <c:pt idx="42">
                  <c:v>9.963556652585577E-2</c:v>
                </c:pt>
                <c:pt idx="43">
                  <c:v>8.9626978325266782E-2</c:v>
                </c:pt>
                <c:pt idx="44">
                  <c:v>6.6046498591704736E-2</c:v>
                </c:pt>
                <c:pt idx="45">
                  <c:v>3.7469414477654707E-2</c:v>
                </c:pt>
                <c:pt idx="46">
                  <c:v>1.046932675470221E-2</c:v>
                </c:pt>
                <c:pt idx="47">
                  <c:v>6.2291646451968653E-3</c:v>
                </c:pt>
                <c:pt idx="48">
                  <c:v>1.2460694276862919E-2</c:v>
                </c:pt>
                <c:pt idx="49">
                  <c:v>3.4376404191763639E-2</c:v>
                </c:pt>
                <c:pt idx="50">
                  <c:v>5.6477968577058592E-2</c:v>
                </c:pt>
                <c:pt idx="51">
                  <c:v>0.1509467292684683</c:v>
                </c:pt>
                <c:pt idx="52">
                  <c:v>0.18600333743842001</c:v>
                </c:pt>
                <c:pt idx="53">
                  <c:v>0.21892573712946101</c:v>
                </c:pt>
                <c:pt idx="54">
                  <c:v>0.18929524056345021</c:v>
                </c:pt>
                <c:pt idx="55">
                  <c:v>0.1493297980639493</c:v>
                </c:pt>
                <c:pt idx="56">
                  <c:v>0.13191654386548721</c:v>
                </c:pt>
                <c:pt idx="57">
                  <c:v>4.2864886456730103E-2</c:v>
                </c:pt>
                <c:pt idx="58">
                  <c:v>1.6003493537152379E-2</c:v>
                </c:pt>
                <c:pt idx="59">
                  <c:v>6.3905046726965339E-3</c:v>
                </c:pt>
                <c:pt idx="60">
                  <c:v>1.3417186050607519E-2</c:v>
                </c:pt>
                <c:pt idx="61">
                  <c:v>2.6436223837926501E-2</c:v>
                </c:pt>
                <c:pt idx="62">
                  <c:v>6.6233973400350477E-2</c:v>
                </c:pt>
                <c:pt idx="63">
                  <c:v>0.1084169878649764</c:v>
                </c:pt>
                <c:pt idx="64">
                  <c:v>0.18887031649880051</c:v>
                </c:pt>
                <c:pt idx="65">
                  <c:v>0.1715230569234828</c:v>
                </c:pt>
                <c:pt idx="66">
                  <c:v>0.1809062055635286</c:v>
                </c:pt>
                <c:pt idx="67">
                  <c:v>0.15512153111725799</c:v>
                </c:pt>
                <c:pt idx="68">
                  <c:v>0.1275567235314205</c:v>
                </c:pt>
                <c:pt idx="69">
                  <c:v>6.2873767847415107E-2</c:v>
                </c:pt>
                <c:pt idx="70">
                  <c:v>1.780902737610289E-2</c:v>
                </c:pt>
                <c:pt idx="71">
                  <c:v>6.7857975683456679E-3</c:v>
                </c:pt>
                <c:pt idx="72">
                  <c:v>1.366055484422285E-2</c:v>
                </c:pt>
                <c:pt idx="73">
                  <c:v>4.3419934817177687E-2</c:v>
                </c:pt>
                <c:pt idx="74">
                  <c:v>0.1120694547038418</c:v>
                </c:pt>
                <c:pt idx="75">
                  <c:v>0.14827548756052711</c:v>
                </c:pt>
                <c:pt idx="76">
                  <c:v>0.19244468175967161</c:v>
                </c:pt>
                <c:pt idx="77">
                  <c:v>0.18784829238523279</c:v>
                </c:pt>
                <c:pt idx="78">
                  <c:v>0.21828188848241209</c:v>
                </c:pt>
                <c:pt idx="79">
                  <c:v>0.19011684012808119</c:v>
                </c:pt>
                <c:pt idx="80">
                  <c:v>0.13816152724517919</c:v>
                </c:pt>
                <c:pt idx="81">
                  <c:v>6.9462071202051626E-2</c:v>
                </c:pt>
                <c:pt idx="82">
                  <c:v>2.6604970402147529E-2</c:v>
                </c:pt>
                <c:pt idx="83">
                  <c:v>1.40253486520015E-2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3F2-F44D-91BE-A7DD9A6D6740}"/>
            </c:ext>
          </c:extLst>
        </c:ser>
        <c:ser>
          <c:idx val="1"/>
          <c:order val="1"/>
          <c:tx>
            <c:strRef>
              <c:f>'Capture Price Inputs'!$G$1</c:f>
              <c:strCache>
                <c:ptCount val="1"/>
                <c:pt idx="0">
                  <c:v>DK2 Solar Penetration (%) — Robustness</c:v>
                </c:pt>
              </c:strCache>
            </c:strRef>
          </c:tx>
          <c:spPr>
            <a:ln>
              <a:solidFill>
                <a:srgbClr val="FFD700"/>
              </a:solidFill>
              <a:prstDash val="solid"/>
            </a:ln>
          </c:spPr>
          <c:marker>
            <c:symbol val="none"/>
          </c:marker>
          <c:val>
            <c:numRef>
              <c:f>'Capture Price Inputs'!$G$2:$G$85</c:f>
              <c:numCache>
                <c:formatCode>General</c:formatCode>
                <c:ptCount val="84"/>
                <c:pt idx="12">
                  <c:v>1.864323044087839E-3</c:v>
                </c:pt>
                <c:pt idx="13">
                  <c:v>4.9613393448072352E-3</c:v>
                </c:pt>
                <c:pt idx="14">
                  <c:v>1.532033335337761E-2</c:v>
                </c:pt>
                <c:pt idx="15">
                  <c:v>2.6180595134545931E-2</c:v>
                </c:pt>
                <c:pt idx="16">
                  <c:v>3.2240930774166239E-2</c:v>
                </c:pt>
                <c:pt idx="17">
                  <c:v>3.0651812088155841E-2</c:v>
                </c:pt>
                <c:pt idx="18">
                  <c:v>2.998206800974695E-2</c:v>
                </c:pt>
                <c:pt idx="19">
                  <c:v>2.8034713414307081E-2</c:v>
                </c:pt>
                <c:pt idx="20">
                  <c:v>2.1736479101595249E-2</c:v>
                </c:pt>
                <c:pt idx="21">
                  <c:v>1.107911770574695E-2</c:v>
                </c:pt>
                <c:pt idx="22">
                  <c:v>1.1044611578332841E-4</c:v>
                </c:pt>
                <c:pt idx="23">
                  <c:v>5.6352433584062588E-6</c:v>
                </c:pt>
                <c:pt idx="24">
                  <c:v>3.104474131982996E-3</c:v>
                </c:pt>
                <c:pt idx="25">
                  <c:v>9.2483369487723587E-3</c:v>
                </c:pt>
                <c:pt idx="26">
                  <c:v>1.8474517045212829E-2</c:v>
                </c:pt>
                <c:pt idx="27">
                  <c:v>3.2694407483312787E-2</c:v>
                </c:pt>
                <c:pt idx="28">
                  <c:v>3.2945829294540187E-2</c:v>
                </c:pt>
                <c:pt idx="29">
                  <c:v>4.4480133140056069E-2</c:v>
                </c:pt>
                <c:pt idx="30">
                  <c:v>3.7049542537302173E-2</c:v>
                </c:pt>
                <c:pt idx="31">
                  <c:v>3.1857768834261987E-2</c:v>
                </c:pt>
                <c:pt idx="32">
                  <c:v>2.23981137027396E-2</c:v>
                </c:pt>
                <c:pt idx="33">
                  <c:v>1.267326343754744E-2</c:v>
                </c:pt>
                <c:pt idx="34">
                  <c:v>4.0132810857910267E-3</c:v>
                </c:pt>
                <c:pt idx="35">
                  <c:v>1.8226295838260991E-3</c:v>
                </c:pt>
                <c:pt idx="36">
                  <c:v>4.939556742877535E-3</c:v>
                </c:pt>
                <c:pt idx="37">
                  <c:v>1.3248485586698279E-2</c:v>
                </c:pt>
                <c:pt idx="38">
                  <c:v>3.4089330349121053E-2</c:v>
                </c:pt>
                <c:pt idx="39">
                  <c:v>5.5254436099578648E-2</c:v>
                </c:pt>
                <c:pt idx="40">
                  <c:v>6.5811459960859395E-2</c:v>
                </c:pt>
                <c:pt idx="41">
                  <c:v>6.4528229045867816E-2</c:v>
                </c:pt>
                <c:pt idx="42">
                  <c:v>6.7025803801952916E-2</c:v>
                </c:pt>
                <c:pt idx="43">
                  <c:v>6.1299924397195817E-2</c:v>
                </c:pt>
                <c:pt idx="44">
                  <c:v>4.5784276103507021E-2</c:v>
                </c:pt>
                <c:pt idx="45">
                  <c:v>2.9809058027035401E-2</c:v>
                </c:pt>
                <c:pt idx="46">
                  <c:v>7.8652952619005494E-3</c:v>
                </c:pt>
                <c:pt idx="47">
                  <c:v>4.5323555529735481E-3</c:v>
                </c:pt>
                <c:pt idx="48">
                  <c:v>5.8626527231366082E-3</c:v>
                </c:pt>
                <c:pt idx="49">
                  <c:v>1.8877648418373551E-2</c:v>
                </c:pt>
                <c:pt idx="50">
                  <c:v>3.7096229392005707E-2</c:v>
                </c:pt>
                <c:pt idx="51">
                  <c:v>8.0269966033824955E-2</c:v>
                </c:pt>
                <c:pt idx="52">
                  <c:v>0.1080032082802261</c:v>
                </c:pt>
                <c:pt idx="53">
                  <c:v>0.1144244665352921</c:v>
                </c:pt>
                <c:pt idx="54">
                  <c:v>0.10203074507159759</c:v>
                </c:pt>
                <c:pt idx="55">
                  <c:v>7.7931010532967707E-2</c:v>
                </c:pt>
                <c:pt idx="56">
                  <c:v>8.0909954639318743E-2</c:v>
                </c:pt>
                <c:pt idx="57">
                  <c:v>2.9172340215594381E-2</c:v>
                </c:pt>
                <c:pt idx="58">
                  <c:v>1.04098691216888E-2</c:v>
                </c:pt>
                <c:pt idx="59">
                  <c:v>3.809030164374855E-3</c:v>
                </c:pt>
                <c:pt idx="60">
                  <c:v>6.1781830729755079E-3</c:v>
                </c:pt>
                <c:pt idx="61">
                  <c:v>1.667231366864759E-2</c:v>
                </c:pt>
                <c:pt idx="62">
                  <c:v>4.1112806367337662E-2</c:v>
                </c:pt>
                <c:pt idx="63">
                  <c:v>6.5123378744806448E-2</c:v>
                </c:pt>
                <c:pt idx="64">
                  <c:v>0.106315341440858</c:v>
                </c:pt>
                <c:pt idx="65">
                  <c:v>0.1072729076610999</c:v>
                </c:pt>
                <c:pt idx="66">
                  <c:v>0.1057942634887733</c:v>
                </c:pt>
                <c:pt idx="67">
                  <c:v>9.3690832268705199E-2</c:v>
                </c:pt>
                <c:pt idx="68">
                  <c:v>7.2463202820400169E-2</c:v>
                </c:pt>
                <c:pt idx="69">
                  <c:v>3.6145253892379881E-2</c:v>
                </c:pt>
                <c:pt idx="70">
                  <c:v>8.6028414054236078E-3</c:v>
                </c:pt>
                <c:pt idx="71">
                  <c:v>4.1714684657767577E-3</c:v>
                </c:pt>
                <c:pt idx="72">
                  <c:v>7.223240212576967E-3</c:v>
                </c:pt>
                <c:pt idx="73">
                  <c:v>2.010831138567791E-2</c:v>
                </c:pt>
                <c:pt idx="74">
                  <c:v>4.6547866447452589E-2</c:v>
                </c:pt>
                <c:pt idx="75">
                  <c:v>7.1689783649061992E-2</c:v>
                </c:pt>
                <c:pt idx="76">
                  <c:v>9.4714127256233946E-2</c:v>
                </c:pt>
                <c:pt idx="77">
                  <c:v>9.9826250015510765E-2</c:v>
                </c:pt>
                <c:pt idx="78">
                  <c:v>9.3996419418699143E-2</c:v>
                </c:pt>
                <c:pt idx="79">
                  <c:v>0.1057378118957395</c:v>
                </c:pt>
                <c:pt idx="80">
                  <c:v>9.0628879686523764E-2</c:v>
                </c:pt>
                <c:pt idx="81">
                  <c:v>3.9573125678626628E-2</c:v>
                </c:pt>
                <c:pt idx="82">
                  <c:v>1.454364344794783E-2</c:v>
                </c:pt>
                <c:pt idx="83">
                  <c:v>9.0694911608833299E-3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3F2-F44D-91BE-A7DD9A6D67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Solar Penetration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Capture Price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Inputs'!$H$1</c:f>
              <c:strCache>
                <c:ptCount val="1"/>
                <c:pt idx="0">
                  <c:v>DK1 Capture Price (EUR/MWh)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Inputs'!$H$2:$H$85</c:f>
              <c:numCache>
                <c:formatCode>General</c:formatCode>
                <c:ptCount val="84"/>
                <c:pt idx="12">
                  <c:v>25.22320957280251</c:v>
                </c:pt>
                <c:pt idx="13">
                  <c:v>22.83581899109792</c:v>
                </c:pt>
                <c:pt idx="14">
                  <c:v>15.94107348554973</c:v>
                </c:pt>
                <c:pt idx="15">
                  <c:v>10.36487590420421</c:v>
                </c:pt>
                <c:pt idx="16">
                  <c:v>15.478548945086001</c:v>
                </c:pt>
                <c:pt idx="17">
                  <c:v>27.313308227868689</c:v>
                </c:pt>
                <c:pt idx="18">
                  <c:v>24.831745178109159</c:v>
                </c:pt>
                <c:pt idx="19">
                  <c:v>33.876915422047851</c:v>
                </c:pt>
                <c:pt idx="20">
                  <c:v>38.935979003379593</c:v>
                </c:pt>
                <c:pt idx="21">
                  <c:v>31.927741533059191</c:v>
                </c:pt>
                <c:pt idx="22">
                  <c:v>26.005993265993261</c:v>
                </c:pt>
                <c:pt idx="23">
                  <c:v>34.795161290322582</c:v>
                </c:pt>
                <c:pt idx="24">
                  <c:v>55.422967607277918</c:v>
                </c:pt>
                <c:pt idx="25">
                  <c:v>47.542610979142587</c:v>
                </c:pt>
                <c:pt idx="26">
                  <c:v>44.550700915805493</c:v>
                </c:pt>
                <c:pt idx="27">
                  <c:v>43.594739828473003</c:v>
                </c:pt>
                <c:pt idx="28">
                  <c:v>47.655870575001217</c:v>
                </c:pt>
                <c:pt idx="29">
                  <c:v>70.543547911111062</c:v>
                </c:pt>
                <c:pt idx="30">
                  <c:v>78.568319747758608</c:v>
                </c:pt>
                <c:pt idx="31">
                  <c:v>81.983351136401794</c:v>
                </c:pt>
                <c:pt idx="32">
                  <c:v>116.20022495544841</c:v>
                </c:pt>
                <c:pt idx="33">
                  <c:v>126.53039520323949</c:v>
                </c:pt>
                <c:pt idx="34">
                  <c:v>160.77058330102949</c:v>
                </c:pt>
                <c:pt idx="35">
                  <c:v>228.8621705579358</c:v>
                </c:pt>
                <c:pt idx="36">
                  <c:v>123.20125067917191</c:v>
                </c:pt>
                <c:pt idx="37">
                  <c:v>117.67077903546</c:v>
                </c:pt>
                <c:pt idx="38">
                  <c:v>191.50807173506701</c:v>
                </c:pt>
                <c:pt idx="39">
                  <c:v>145.70138715926041</c:v>
                </c:pt>
                <c:pt idx="40">
                  <c:v>149.4185612445558</c:v>
                </c:pt>
                <c:pt idx="41">
                  <c:v>194.71103409481981</c:v>
                </c:pt>
                <c:pt idx="42">
                  <c:v>239.3981525107354</c:v>
                </c:pt>
                <c:pt idx="43">
                  <c:v>419.79263722660602</c:v>
                </c:pt>
                <c:pt idx="44">
                  <c:v>310.70739927266709</c:v>
                </c:pt>
                <c:pt idx="45">
                  <c:v>125.6295598680838</c:v>
                </c:pt>
                <c:pt idx="46">
                  <c:v>131.7111886265582</c:v>
                </c:pt>
                <c:pt idx="47">
                  <c:v>282.82379374207261</c:v>
                </c:pt>
                <c:pt idx="48">
                  <c:v>138.52998868426329</c:v>
                </c:pt>
                <c:pt idx="49">
                  <c:v>109.87697572135031</c:v>
                </c:pt>
                <c:pt idx="50">
                  <c:v>93.774190940695377</c:v>
                </c:pt>
                <c:pt idx="51">
                  <c:v>76.25042822265543</c:v>
                </c:pt>
                <c:pt idx="52">
                  <c:v>50.543487760082613</c:v>
                </c:pt>
                <c:pt idx="53">
                  <c:v>74.888982776218057</c:v>
                </c:pt>
                <c:pt idx="54">
                  <c:v>52.095599438463452</c:v>
                </c:pt>
                <c:pt idx="55">
                  <c:v>74.180426039978187</c:v>
                </c:pt>
                <c:pt idx="56">
                  <c:v>68.116869623396937</c:v>
                </c:pt>
                <c:pt idx="57">
                  <c:v>50.539090519702853</c:v>
                </c:pt>
                <c:pt idx="58">
                  <c:v>90.680805562425178</c:v>
                </c:pt>
                <c:pt idx="59">
                  <c:v>63.455327688788032</c:v>
                </c:pt>
                <c:pt idx="60">
                  <c:v>78.571316441678306</c:v>
                </c:pt>
                <c:pt idx="61">
                  <c:v>59.479486768055089</c:v>
                </c:pt>
                <c:pt idx="62">
                  <c:v>51.269783241554933</c:v>
                </c:pt>
                <c:pt idx="63">
                  <c:v>49.383940562011212</c:v>
                </c:pt>
                <c:pt idx="64">
                  <c:v>35.894148271408874</c:v>
                </c:pt>
                <c:pt idx="65">
                  <c:v>47.037633727397647</c:v>
                </c:pt>
                <c:pt idx="66">
                  <c:v>42.521773223099522</c:v>
                </c:pt>
                <c:pt idx="67">
                  <c:v>52.17121747504909</c:v>
                </c:pt>
                <c:pt idx="68">
                  <c:v>45.647504626217007</c:v>
                </c:pt>
                <c:pt idx="69">
                  <c:v>58.441583787091993</c:v>
                </c:pt>
                <c:pt idx="70">
                  <c:v>97.582352616331917</c:v>
                </c:pt>
                <c:pt idx="71">
                  <c:v>92.073217693833982</c:v>
                </c:pt>
                <c:pt idx="72">
                  <c:v>111.1945655985155</c:v>
                </c:pt>
                <c:pt idx="73">
                  <c:v>105.41315973788279</c:v>
                </c:pt>
                <c:pt idx="74">
                  <c:v>57.84566339627056</c:v>
                </c:pt>
                <c:pt idx="75">
                  <c:v>45.844395770687349</c:v>
                </c:pt>
                <c:pt idx="76">
                  <c:v>40.065667394009381</c:v>
                </c:pt>
                <c:pt idx="77">
                  <c:v>33.493381965196598</c:v>
                </c:pt>
                <c:pt idx="78">
                  <c:v>61.32224821093979</c:v>
                </c:pt>
                <c:pt idx="79">
                  <c:v>47.755824567457559</c:v>
                </c:pt>
                <c:pt idx="80">
                  <c:v>49.429094996057238</c:v>
                </c:pt>
                <c:pt idx="81">
                  <c:v>74.266634537895257</c:v>
                </c:pt>
                <c:pt idx="82">
                  <c:v>95.564531802521344</c:v>
                </c:pt>
                <c:pt idx="83">
                  <c:v>80.958034242780258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958-F247-8B60-5D30D7A804FC}"/>
            </c:ext>
          </c:extLst>
        </c:ser>
        <c:ser>
          <c:idx val="1"/>
          <c:order val="1"/>
          <c:tx>
            <c:strRef>
              <c:f>'Capture Price Inputs'!$I$1</c:f>
              <c:strCache>
                <c:ptCount val="1"/>
                <c:pt idx="0">
                  <c:v>DK2 Capture Price (EUR/MWh)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'Capture Price Inputs'!$I$2:$I$85</c:f>
              <c:numCache>
                <c:formatCode>General</c:formatCode>
                <c:ptCount val="84"/>
                <c:pt idx="12">
                  <c:v>29.86213642213642</c:v>
                </c:pt>
                <c:pt idx="13">
                  <c:v>23.555517829721889</c:v>
                </c:pt>
                <c:pt idx="14">
                  <c:v>17.149050692261021</c:v>
                </c:pt>
                <c:pt idx="15">
                  <c:v>13.252523128367081</c:v>
                </c:pt>
                <c:pt idx="16">
                  <c:v>18.594049382716051</c:v>
                </c:pt>
                <c:pt idx="17">
                  <c:v>35.21078005032583</c:v>
                </c:pt>
                <c:pt idx="18">
                  <c:v>26.450778046867001</c:v>
                </c:pt>
                <c:pt idx="19">
                  <c:v>44.113765015404859</c:v>
                </c:pt>
                <c:pt idx="20">
                  <c:v>41.853047880870562</c:v>
                </c:pt>
                <c:pt idx="21">
                  <c:v>33.600878372903331</c:v>
                </c:pt>
                <c:pt idx="22">
                  <c:v>37.749765625000002</c:v>
                </c:pt>
                <c:pt idx="23">
                  <c:v>44.191428571428567</c:v>
                </c:pt>
                <c:pt idx="24">
                  <c:v>57.072134410081453</c:v>
                </c:pt>
                <c:pt idx="25">
                  <c:v>52.285083654524577</c:v>
                </c:pt>
                <c:pt idx="26">
                  <c:v>47.422643011897812</c:v>
                </c:pt>
                <c:pt idx="27">
                  <c:v>45.901363748248833</c:v>
                </c:pt>
                <c:pt idx="28">
                  <c:v>50.258720231460799</c:v>
                </c:pt>
                <c:pt idx="29">
                  <c:v>69.469341653776226</c:v>
                </c:pt>
                <c:pt idx="30">
                  <c:v>77.933111551394319</c:v>
                </c:pt>
                <c:pt idx="31">
                  <c:v>84.512747690257029</c:v>
                </c:pt>
                <c:pt idx="32">
                  <c:v>118.7457227855615</c:v>
                </c:pt>
                <c:pt idx="33">
                  <c:v>122.3841235967906</c:v>
                </c:pt>
                <c:pt idx="34">
                  <c:v>153.62679427815749</c:v>
                </c:pt>
                <c:pt idx="35">
                  <c:v>244.48727859764409</c:v>
                </c:pt>
                <c:pt idx="36">
                  <c:v>129.67749023150819</c:v>
                </c:pt>
                <c:pt idx="37">
                  <c:v>108.80333899256409</c:v>
                </c:pt>
                <c:pt idx="38">
                  <c:v>186.0504424586062</c:v>
                </c:pt>
                <c:pt idx="39">
                  <c:v>143.53758886421849</c:v>
                </c:pt>
                <c:pt idx="40">
                  <c:v>146.25360234460331</c:v>
                </c:pt>
                <c:pt idx="41">
                  <c:v>192.2325905808319</c:v>
                </c:pt>
                <c:pt idx="42">
                  <c:v>212.3625858003895</c:v>
                </c:pt>
                <c:pt idx="43">
                  <c:v>397.17988485976059</c:v>
                </c:pt>
                <c:pt idx="44">
                  <c:v>315.92884279677901</c:v>
                </c:pt>
                <c:pt idx="45">
                  <c:v>120.1190076327392</c:v>
                </c:pt>
                <c:pt idx="46">
                  <c:v>134.0399027878758</c:v>
                </c:pt>
                <c:pt idx="47">
                  <c:v>303.26978481668573</c:v>
                </c:pt>
                <c:pt idx="48">
                  <c:v>120.8992864784306</c:v>
                </c:pt>
                <c:pt idx="49">
                  <c:v>103.112625406295</c:v>
                </c:pt>
                <c:pt idx="50">
                  <c:v>89.098468921641697</c:v>
                </c:pt>
                <c:pt idx="51">
                  <c:v>71.125099705594195</c:v>
                </c:pt>
                <c:pt idx="52">
                  <c:v>48.358083796456327</c:v>
                </c:pt>
                <c:pt idx="53">
                  <c:v>71.862090372222397</c:v>
                </c:pt>
                <c:pt idx="54">
                  <c:v>50.345966617092351</c:v>
                </c:pt>
                <c:pt idx="55">
                  <c:v>72.957992347987414</c:v>
                </c:pt>
                <c:pt idx="56">
                  <c:v>64.394484672464898</c:v>
                </c:pt>
                <c:pt idx="57">
                  <c:v>47.660255094286853</c:v>
                </c:pt>
                <c:pt idx="58">
                  <c:v>84.639978605265995</c:v>
                </c:pt>
                <c:pt idx="59">
                  <c:v>59.061746333079718</c:v>
                </c:pt>
                <c:pt idx="60">
                  <c:v>76.427202535219209</c:v>
                </c:pt>
                <c:pt idx="61">
                  <c:v>51.434379196547752</c:v>
                </c:pt>
                <c:pt idx="62">
                  <c:v>50.751163813053438</c:v>
                </c:pt>
                <c:pt idx="63">
                  <c:v>47.053967904827999</c:v>
                </c:pt>
                <c:pt idx="64">
                  <c:v>34.295794113692892</c:v>
                </c:pt>
                <c:pt idx="65">
                  <c:v>46.379384034583367</c:v>
                </c:pt>
                <c:pt idx="66">
                  <c:v>38.812821969471173</c:v>
                </c:pt>
                <c:pt idx="67">
                  <c:v>47.151863118292532</c:v>
                </c:pt>
                <c:pt idx="68">
                  <c:v>43.355946350842189</c:v>
                </c:pt>
                <c:pt idx="69">
                  <c:v>59.534937630286556</c:v>
                </c:pt>
                <c:pt idx="70">
                  <c:v>89.611277477917284</c:v>
                </c:pt>
                <c:pt idx="71">
                  <c:v>100.7961313991171</c:v>
                </c:pt>
                <c:pt idx="72">
                  <c:v>115.0822593270056</c:v>
                </c:pt>
                <c:pt idx="73">
                  <c:v>106.92318207316821</c:v>
                </c:pt>
                <c:pt idx="74">
                  <c:v>50.018062961268747</c:v>
                </c:pt>
                <c:pt idx="75">
                  <c:v>41.82584156307518</c:v>
                </c:pt>
                <c:pt idx="76">
                  <c:v>34.320660344591218</c:v>
                </c:pt>
                <c:pt idx="77">
                  <c:v>24.31568572006325</c:v>
                </c:pt>
                <c:pt idx="78">
                  <c:v>59.766943882147693</c:v>
                </c:pt>
                <c:pt idx="79">
                  <c:v>43.064604783544858</c:v>
                </c:pt>
                <c:pt idx="80">
                  <c:v>52.949405153808357</c:v>
                </c:pt>
                <c:pt idx="81">
                  <c:v>78.645730322406678</c:v>
                </c:pt>
                <c:pt idx="82">
                  <c:v>92.690454871532665</c:v>
                </c:pt>
                <c:pt idx="83">
                  <c:v>79.631228022083661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958-F247-8B60-5D30D7A804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Capture Price Ratio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Inputs'!$J$1</c:f>
              <c:strCache>
                <c:ptCount val="1"/>
                <c:pt idx="0">
                  <c:v>DK1 CPR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Inputs'!$J$2:$J$85</c:f>
              <c:numCache>
                <c:formatCode>General</c:formatCode>
                <c:ptCount val="84"/>
                <c:pt idx="12">
                  <c:v>1.0091486594474419</c:v>
                </c:pt>
                <c:pt idx="13">
                  <c:v>1.2985911686950511</c:v>
                </c:pt>
                <c:pt idx="14">
                  <c:v>0.8710146939215303</c:v>
                </c:pt>
                <c:pt idx="15">
                  <c:v>0.71315772558819213</c:v>
                </c:pt>
                <c:pt idx="16">
                  <c:v>0.96415576931205649</c:v>
                </c:pt>
                <c:pt idx="17">
                  <c:v>1.0394664137310941</c:v>
                </c:pt>
                <c:pt idx="18">
                  <c:v>1.0086181556608309</c:v>
                </c:pt>
                <c:pt idx="19">
                  <c:v>0.98082264407500741</c:v>
                </c:pt>
                <c:pt idx="20">
                  <c:v>1.0104044869130051</c:v>
                </c:pt>
                <c:pt idx="21">
                  <c:v>1.236802226812374</c:v>
                </c:pt>
                <c:pt idx="22">
                  <c:v>1.094777917215692</c:v>
                </c:pt>
                <c:pt idx="23">
                  <c:v>1.0082301641826621</c:v>
                </c:pt>
                <c:pt idx="24">
                  <c:v>1.103930861568265</c:v>
                </c:pt>
                <c:pt idx="25">
                  <c:v>1.0059479277054251</c:v>
                </c:pt>
                <c:pt idx="26">
                  <c:v>0.9871758725122356</c:v>
                </c:pt>
                <c:pt idx="27">
                  <c:v>0.90884647456650169</c:v>
                </c:pt>
                <c:pt idx="28">
                  <c:v>0.87751805187154364</c:v>
                </c:pt>
                <c:pt idx="29">
                  <c:v>0.95691427953473174</c:v>
                </c:pt>
                <c:pt idx="30">
                  <c:v>0.98211323715969778</c:v>
                </c:pt>
                <c:pt idx="31">
                  <c:v>0.99027147802450566</c:v>
                </c:pt>
                <c:pt idx="32">
                  <c:v>0.92690440483613579</c:v>
                </c:pt>
                <c:pt idx="33">
                  <c:v>1.0810885074134391</c:v>
                </c:pt>
                <c:pt idx="34">
                  <c:v>1.1338034085044659</c:v>
                </c:pt>
                <c:pt idx="35">
                  <c:v>1.2086769624549281</c:v>
                </c:pt>
                <c:pt idx="36">
                  <c:v>1.0441257304277269</c:v>
                </c:pt>
                <c:pt idx="37">
                  <c:v>1.04022281700981</c:v>
                </c:pt>
                <c:pt idx="38">
                  <c:v>0.81207759044207406</c:v>
                </c:pt>
                <c:pt idx="39">
                  <c:v>0.89039133384678326</c:v>
                </c:pt>
                <c:pt idx="40">
                  <c:v>0.86943016050498578</c:v>
                </c:pt>
                <c:pt idx="41">
                  <c:v>0.90803902012341908</c:v>
                </c:pt>
                <c:pt idx="42">
                  <c:v>0.87041791592949547</c:v>
                </c:pt>
                <c:pt idx="43">
                  <c:v>0.91908553046700026</c:v>
                </c:pt>
                <c:pt idx="44">
                  <c:v>0.90632901805683119</c:v>
                </c:pt>
                <c:pt idx="45">
                  <c:v>0.91612325253961768</c:v>
                </c:pt>
                <c:pt idx="46">
                  <c:v>0.94278612074660006</c:v>
                </c:pt>
                <c:pt idx="47">
                  <c:v>1.132810339248927</c:v>
                </c:pt>
                <c:pt idx="48">
                  <c:v>1.2309198691226539</c:v>
                </c:pt>
                <c:pt idx="49">
                  <c:v>0.93008781340266</c:v>
                </c:pt>
                <c:pt idx="50">
                  <c:v>0.94612539759598957</c:v>
                </c:pt>
                <c:pt idx="51">
                  <c:v>0.79203966120386338</c:v>
                </c:pt>
                <c:pt idx="52">
                  <c:v>0.68333610561519953</c:v>
                </c:pt>
                <c:pt idx="53">
                  <c:v>0.80965062086215667</c:v>
                </c:pt>
                <c:pt idx="54">
                  <c:v>0.80380421953260928</c:v>
                </c:pt>
                <c:pt idx="55">
                  <c:v>0.86289309777204071</c:v>
                </c:pt>
                <c:pt idx="56">
                  <c:v>0.8038389922187259</c:v>
                </c:pt>
                <c:pt idx="57">
                  <c:v>0.84083605560542263</c:v>
                </c:pt>
                <c:pt idx="58">
                  <c:v>1.028656893611996</c:v>
                </c:pt>
                <c:pt idx="59">
                  <c:v>0.91325607762876626</c:v>
                </c:pt>
                <c:pt idx="60">
                  <c:v>1.051614630458469</c:v>
                </c:pt>
                <c:pt idx="61">
                  <c:v>1.0144208291794441</c:v>
                </c:pt>
                <c:pt idx="62">
                  <c:v>0.8373818542217274</c:v>
                </c:pt>
                <c:pt idx="63">
                  <c:v>0.83468460161643787</c:v>
                </c:pt>
                <c:pt idx="64">
                  <c:v>0.61339845366508694</c:v>
                </c:pt>
                <c:pt idx="65">
                  <c:v>0.73781003223868646</c:v>
                </c:pt>
                <c:pt idx="66">
                  <c:v>0.68549949487061801</c:v>
                </c:pt>
                <c:pt idx="67">
                  <c:v>0.71512676219349525</c:v>
                </c:pt>
                <c:pt idx="68">
                  <c:v>0.63652522303957304</c:v>
                </c:pt>
                <c:pt idx="69">
                  <c:v>0.76175188075929667</c:v>
                </c:pt>
                <c:pt idx="70">
                  <c:v>1.0174940038611719</c:v>
                </c:pt>
                <c:pt idx="71">
                  <c:v>1.0025674160411211</c:v>
                </c:pt>
                <c:pt idx="72">
                  <c:v>1.135032584901597</c:v>
                </c:pt>
                <c:pt idx="73">
                  <c:v>0.93411665141872979</c:v>
                </c:pt>
                <c:pt idx="74">
                  <c:v>0.68579081688022481</c:v>
                </c:pt>
                <c:pt idx="75">
                  <c:v>0.60995353561832499</c:v>
                </c:pt>
                <c:pt idx="76">
                  <c:v>0.62375117423189408</c:v>
                </c:pt>
                <c:pt idx="77">
                  <c:v>0.56976432128633303</c:v>
                </c:pt>
                <c:pt idx="78">
                  <c:v>0.74058967108380014</c:v>
                </c:pt>
                <c:pt idx="79">
                  <c:v>0.64997112344594554</c:v>
                </c:pt>
                <c:pt idx="80">
                  <c:v>0.68273474898658593</c:v>
                </c:pt>
                <c:pt idx="81">
                  <c:v>0.94701517193480578</c:v>
                </c:pt>
                <c:pt idx="82">
                  <c:v>1.0289764309560969</c:v>
                </c:pt>
                <c:pt idx="83">
                  <c:v>0.98205388617926037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4A9-F944-8E9C-79EE6543331C}"/>
            </c:ext>
          </c:extLst>
        </c:ser>
        <c:ser>
          <c:idx val="1"/>
          <c:order val="1"/>
          <c:tx>
            <c:strRef>
              <c:f>'Capture Price Inputs'!$K$1</c:f>
              <c:strCache>
                <c:ptCount val="1"/>
                <c:pt idx="0">
                  <c:v>DK2 CPR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'Capture Price Inputs'!$K$2:$K$85</c:f>
              <c:numCache>
                <c:formatCode>General</c:formatCode>
                <c:ptCount val="84"/>
                <c:pt idx="12">
                  <c:v>1.090446324793763</c:v>
                </c:pt>
                <c:pt idx="13">
                  <c:v>1.251821301318464</c:v>
                </c:pt>
                <c:pt idx="14">
                  <c:v>0.85520775851277109</c:v>
                </c:pt>
                <c:pt idx="15">
                  <c:v>0.76362023547871605</c:v>
                </c:pt>
                <c:pt idx="16">
                  <c:v>0.97636938233545278</c:v>
                </c:pt>
                <c:pt idx="17">
                  <c:v>1.180647007173951</c:v>
                </c:pt>
                <c:pt idx="18">
                  <c:v>1.021791049952987</c:v>
                </c:pt>
                <c:pt idx="19">
                  <c:v>1.077948442472481</c:v>
                </c:pt>
                <c:pt idx="20">
                  <c:v>1.0591890923358069</c:v>
                </c:pt>
                <c:pt idx="21">
                  <c:v>1.247549053102559</c:v>
                </c:pt>
                <c:pt idx="22">
                  <c:v>1.057080411727209</c:v>
                </c:pt>
                <c:pt idx="23">
                  <c:v>1.125691191699302</c:v>
                </c:pt>
                <c:pt idx="24">
                  <c:v>1.122164979814525</c:v>
                </c:pt>
                <c:pt idx="25">
                  <c:v>0.9585139857498034</c:v>
                </c:pt>
                <c:pt idx="26">
                  <c:v>1.0147741726503949</c:v>
                </c:pt>
                <c:pt idx="27">
                  <c:v>0.95901643664766134</c:v>
                </c:pt>
                <c:pt idx="28">
                  <c:v>0.91033887361171206</c:v>
                </c:pt>
                <c:pt idx="29">
                  <c:v>0.94404491874816343</c:v>
                </c:pt>
                <c:pt idx="30">
                  <c:v>0.95692856904650769</c:v>
                </c:pt>
                <c:pt idx="31">
                  <c:v>1.001768528067071</c:v>
                </c:pt>
                <c:pt idx="32">
                  <c:v>0.95838336990944806</c:v>
                </c:pt>
                <c:pt idx="33">
                  <c:v>1.1445012658471321</c:v>
                </c:pt>
                <c:pt idx="34">
                  <c:v>1.1264608571418011</c:v>
                </c:pt>
                <c:pt idx="35">
                  <c:v>1.279578427053047</c:v>
                </c:pt>
                <c:pt idx="36">
                  <c:v>1.1617546523412821</c:v>
                </c:pt>
                <c:pt idx="37">
                  <c:v>1.084871924613185</c:v>
                </c:pt>
                <c:pt idx="38">
                  <c:v>0.81629582758371144</c:v>
                </c:pt>
                <c:pt idx="39">
                  <c:v>0.93918048773921026</c:v>
                </c:pt>
                <c:pt idx="40">
                  <c:v>0.89914563143311954</c:v>
                </c:pt>
                <c:pt idx="41">
                  <c:v>0.90151367457475784</c:v>
                </c:pt>
                <c:pt idx="42">
                  <c:v>0.90956244496775596</c:v>
                </c:pt>
                <c:pt idx="43">
                  <c:v>0.8830756108422062</c:v>
                </c:pt>
                <c:pt idx="44">
                  <c:v>0.96085369829588263</c:v>
                </c:pt>
                <c:pt idx="45">
                  <c:v>0.87743541957368609</c:v>
                </c:pt>
                <c:pt idx="46">
                  <c:v>0.92404474391789948</c:v>
                </c:pt>
                <c:pt idx="47">
                  <c:v>1.2185280560697289</c:v>
                </c:pt>
                <c:pt idx="48">
                  <c:v>1.2118663236304299</c:v>
                </c:pt>
                <c:pt idx="49">
                  <c:v>1.0244781228159621</c:v>
                </c:pt>
                <c:pt idx="50">
                  <c:v>0.99223631219701203</c:v>
                </c:pt>
                <c:pt idx="51">
                  <c:v>0.85025873478203906</c:v>
                </c:pt>
                <c:pt idx="52">
                  <c:v>0.73101748270540212</c:v>
                </c:pt>
                <c:pt idx="53">
                  <c:v>0.78603819917365525</c:v>
                </c:pt>
                <c:pt idx="54">
                  <c:v>0.77170348712471282</c:v>
                </c:pt>
                <c:pt idx="55">
                  <c:v>0.84546104105698361</c:v>
                </c:pt>
                <c:pt idx="56">
                  <c:v>0.75329173308453345</c:v>
                </c:pt>
                <c:pt idx="57">
                  <c:v>0.83723449033464103</c:v>
                </c:pt>
                <c:pt idx="58">
                  <c:v>1.038705241708771</c:v>
                </c:pt>
                <c:pt idx="59">
                  <c:v>0.83326707575628478</c:v>
                </c:pt>
                <c:pt idx="60">
                  <c:v>0.97714487510792902</c:v>
                </c:pt>
                <c:pt idx="61">
                  <c:v>0.93991726033346112</c:v>
                </c:pt>
                <c:pt idx="62">
                  <c:v>0.8314293202728863</c:v>
                </c:pt>
                <c:pt idx="63">
                  <c:v>0.77805107456374178</c:v>
                </c:pt>
                <c:pt idx="64">
                  <c:v>0.59005563427075769</c:v>
                </c:pt>
                <c:pt idx="65">
                  <c:v>0.69439585691141426</c:v>
                </c:pt>
                <c:pt idx="66">
                  <c:v>0.61762838453946423</c:v>
                </c:pt>
                <c:pt idx="67">
                  <c:v>0.64934714792296455</c:v>
                </c:pt>
                <c:pt idx="68">
                  <c:v>0.61574801135475132</c:v>
                </c:pt>
                <c:pt idx="69">
                  <c:v>0.78000735067931948</c:v>
                </c:pt>
                <c:pt idx="70">
                  <c:v>0.94047799551015088</c:v>
                </c:pt>
                <c:pt idx="71">
                  <c:v>1.0870067185479459</c:v>
                </c:pt>
                <c:pt idx="72">
                  <c:v>1.1494003648079021</c:v>
                </c:pt>
                <c:pt idx="73">
                  <c:v>0.90662384271333907</c:v>
                </c:pt>
                <c:pt idx="74">
                  <c:v>0.60374116471580297</c:v>
                </c:pt>
                <c:pt idx="75">
                  <c:v>0.55174367988103734</c:v>
                </c:pt>
                <c:pt idx="76">
                  <c:v>0.54405946330729504</c:v>
                </c:pt>
                <c:pt idx="77">
                  <c:v>0.4307606652121766</c:v>
                </c:pt>
                <c:pt idx="78">
                  <c:v>0.74746341861966192</c:v>
                </c:pt>
                <c:pt idx="79">
                  <c:v>0.57178942343359873</c:v>
                </c:pt>
                <c:pt idx="80">
                  <c:v>0.63573160083367797</c:v>
                </c:pt>
                <c:pt idx="81">
                  <c:v>0.95480840081563045</c:v>
                </c:pt>
                <c:pt idx="82">
                  <c:v>0.98927251294969987</c:v>
                </c:pt>
                <c:pt idx="83">
                  <c:v>0.97014796253594149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4A9-F944-8E9C-79EE654333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CPR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Solar Penetration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Inputs'!$F$1</c:f>
              <c:strCache>
                <c:ptCount val="1"/>
                <c:pt idx="0">
                  <c:v>DK1 Solar Penetration (%) — Primary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'Capture Price Inputs'!$F$2:$F$85</c:f>
              <c:numCache>
                <c:formatCode>General</c:formatCode>
                <c:ptCount val="84"/>
                <c:pt idx="12">
                  <c:v>2.2644478926294831E-3</c:v>
                </c:pt>
                <c:pt idx="13">
                  <c:v>5.2474520244822449E-3</c:v>
                </c:pt>
                <c:pt idx="14">
                  <c:v>2.020167759412729E-2</c:v>
                </c:pt>
                <c:pt idx="15">
                  <c:v>3.2427989612304697E-2</c:v>
                </c:pt>
                <c:pt idx="16">
                  <c:v>3.6080087237903569E-2</c:v>
                </c:pt>
                <c:pt idx="17">
                  <c:v>3.7413618831640891E-2</c:v>
                </c:pt>
                <c:pt idx="18">
                  <c:v>3.3998433859503921E-2</c:v>
                </c:pt>
                <c:pt idx="19">
                  <c:v>3.4224763142537661E-2</c:v>
                </c:pt>
                <c:pt idx="20">
                  <c:v>2.4330151939157239E-2</c:v>
                </c:pt>
                <c:pt idx="21">
                  <c:v>1.1490387549446779E-2</c:v>
                </c:pt>
                <c:pt idx="22">
                  <c:v>1.521101274151999E-4</c:v>
                </c:pt>
                <c:pt idx="23">
                  <c:v>1.472410662127807E-5</c:v>
                </c:pt>
                <c:pt idx="24">
                  <c:v>3.6313559990350909E-3</c:v>
                </c:pt>
                <c:pt idx="25">
                  <c:v>1.0868941718057299E-2</c:v>
                </c:pt>
                <c:pt idx="26">
                  <c:v>2.2382303907371628E-2</c:v>
                </c:pt>
                <c:pt idx="27">
                  <c:v>4.212837115783985E-2</c:v>
                </c:pt>
                <c:pt idx="28">
                  <c:v>3.3075052211960353E-2</c:v>
                </c:pt>
                <c:pt idx="29">
                  <c:v>4.9841661821819518E-2</c:v>
                </c:pt>
                <c:pt idx="30">
                  <c:v>4.85715434854639E-2</c:v>
                </c:pt>
                <c:pt idx="31">
                  <c:v>3.8876947944708702E-2</c:v>
                </c:pt>
                <c:pt idx="32">
                  <c:v>2.5932850179436289E-2</c:v>
                </c:pt>
                <c:pt idx="33">
                  <c:v>1.7460096431489061E-2</c:v>
                </c:pt>
                <c:pt idx="34">
                  <c:v>7.0293060058135041E-3</c:v>
                </c:pt>
                <c:pt idx="35">
                  <c:v>3.243365391886713E-3</c:v>
                </c:pt>
                <c:pt idx="36">
                  <c:v>6.6753155472480874E-3</c:v>
                </c:pt>
                <c:pt idx="37">
                  <c:v>1.7399571233002901E-2</c:v>
                </c:pt>
                <c:pt idx="38">
                  <c:v>6.1955070586442867E-2</c:v>
                </c:pt>
                <c:pt idx="39">
                  <c:v>8.404056603836467E-2</c:v>
                </c:pt>
                <c:pt idx="40">
                  <c:v>9.6876891420316108E-2</c:v>
                </c:pt>
                <c:pt idx="41">
                  <c:v>9.4962020744311482E-2</c:v>
                </c:pt>
                <c:pt idx="42">
                  <c:v>9.963556652585577E-2</c:v>
                </c:pt>
                <c:pt idx="43">
                  <c:v>8.9626978325266782E-2</c:v>
                </c:pt>
                <c:pt idx="44">
                  <c:v>6.6046498591704736E-2</c:v>
                </c:pt>
                <c:pt idx="45">
                  <c:v>3.7469414477654707E-2</c:v>
                </c:pt>
                <c:pt idx="46">
                  <c:v>1.046932675470221E-2</c:v>
                </c:pt>
                <c:pt idx="47">
                  <c:v>6.2291646451968653E-3</c:v>
                </c:pt>
                <c:pt idx="48">
                  <c:v>1.2460694276862919E-2</c:v>
                </c:pt>
                <c:pt idx="49">
                  <c:v>3.4376404191763639E-2</c:v>
                </c:pt>
                <c:pt idx="50">
                  <c:v>5.6477968577058592E-2</c:v>
                </c:pt>
                <c:pt idx="51">
                  <c:v>0.1509467292684683</c:v>
                </c:pt>
                <c:pt idx="52">
                  <c:v>0.18600333743842001</c:v>
                </c:pt>
                <c:pt idx="53">
                  <c:v>0.21892573712946101</c:v>
                </c:pt>
                <c:pt idx="54">
                  <c:v>0.18929524056345021</c:v>
                </c:pt>
                <c:pt idx="55">
                  <c:v>0.1493297980639493</c:v>
                </c:pt>
                <c:pt idx="56">
                  <c:v>0.13191654386548721</c:v>
                </c:pt>
                <c:pt idx="57">
                  <c:v>4.2864886456730103E-2</c:v>
                </c:pt>
                <c:pt idx="58">
                  <c:v>1.6003493537152379E-2</c:v>
                </c:pt>
                <c:pt idx="59">
                  <c:v>6.3905046726965339E-3</c:v>
                </c:pt>
                <c:pt idx="60">
                  <c:v>1.3417186050607519E-2</c:v>
                </c:pt>
                <c:pt idx="61">
                  <c:v>2.6436223837926501E-2</c:v>
                </c:pt>
                <c:pt idx="62">
                  <c:v>6.6233973400350477E-2</c:v>
                </c:pt>
                <c:pt idx="63">
                  <c:v>0.1084169878649764</c:v>
                </c:pt>
                <c:pt idx="64">
                  <c:v>0.18887031649880051</c:v>
                </c:pt>
                <c:pt idx="65">
                  <c:v>0.1715230569234828</c:v>
                </c:pt>
                <c:pt idx="66">
                  <c:v>0.1809062055635286</c:v>
                </c:pt>
                <c:pt idx="67">
                  <c:v>0.15512153111725799</c:v>
                </c:pt>
                <c:pt idx="68">
                  <c:v>0.1275567235314205</c:v>
                </c:pt>
                <c:pt idx="69">
                  <c:v>6.2873767847415107E-2</c:v>
                </c:pt>
                <c:pt idx="70">
                  <c:v>1.780902737610289E-2</c:v>
                </c:pt>
                <c:pt idx="71">
                  <c:v>6.7857975683456679E-3</c:v>
                </c:pt>
                <c:pt idx="72">
                  <c:v>1.366055484422285E-2</c:v>
                </c:pt>
                <c:pt idx="73">
                  <c:v>4.3419934817177687E-2</c:v>
                </c:pt>
                <c:pt idx="74">
                  <c:v>0.1120694547038418</c:v>
                </c:pt>
                <c:pt idx="75">
                  <c:v>0.14827548756052711</c:v>
                </c:pt>
                <c:pt idx="76">
                  <c:v>0.19244468175967161</c:v>
                </c:pt>
                <c:pt idx="77">
                  <c:v>0.18784829238523279</c:v>
                </c:pt>
                <c:pt idx="78">
                  <c:v>0.21828188848241209</c:v>
                </c:pt>
                <c:pt idx="79">
                  <c:v>0.19011684012808119</c:v>
                </c:pt>
                <c:pt idx="80">
                  <c:v>0.13816152724517919</c:v>
                </c:pt>
                <c:pt idx="81">
                  <c:v>6.9462071202051626E-2</c:v>
                </c:pt>
                <c:pt idx="82">
                  <c:v>2.6604970402147529E-2</c:v>
                </c:pt>
                <c:pt idx="83">
                  <c:v>1.40253486520015E-2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214-6446-A875-62264E3D0966}"/>
            </c:ext>
          </c:extLst>
        </c:ser>
        <c:ser>
          <c:idx val="1"/>
          <c:order val="1"/>
          <c:tx>
            <c:strRef>
              <c:f>'Capture Price Inputs'!$G$1</c:f>
              <c:strCache>
                <c:ptCount val="1"/>
                <c:pt idx="0">
                  <c:v>DK2 Solar Penetration (%) — Robustness</c:v>
                </c:pt>
              </c:strCache>
            </c:strRef>
          </c:tx>
          <c:spPr>
            <a:ln>
              <a:solidFill>
                <a:srgbClr val="FFD700"/>
              </a:solidFill>
              <a:prstDash val="solid"/>
            </a:ln>
          </c:spPr>
          <c:marker>
            <c:symbol val="none"/>
          </c:marker>
          <c:val>
            <c:numRef>
              <c:f>'Capture Price Inputs'!$G$2:$G$85</c:f>
              <c:numCache>
                <c:formatCode>General</c:formatCode>
                <c:ptCount val="84"/>
                <c:pt idx="12">
                  <c:v>1.864323044087839E-3</c:v>
                </c:pt>
                <c:pt idx="13">
                  <c:v>4.9613393448072352E-3</c:v>
                </c:pt>
                <c:pt idx="14">
                  <c:v>1.532033335337761E-2</c:v>
                </c:pt>
                <c:pt idx="15">
                  <c:v>2.6180595134545931E-2</c:v>
                </c:pt>
                <c:pt idx="16">
                  <c:v>3.2240930774166239E-2</c:v>
                </c:pt>
                <c:pt idx="17">
                  <c:v>3.0651812088155841E-2</c:v>
                </c:pt>
                <c:pt idx="18">
                  <c:v>2.998206800974695E-2</c:v>
                </c:pt>
                <c:pt idx="19">
                  <c:v>2.8034713414307081E-2</c:v>
                </c:pt>
                <c:pt idx="20">
                  <c:v>2.1736479101595249E-2</c:v>
                </c:pt>
                <c:pt idx="21">
                  <c:v>1.107911770574695E-2</c:v>
                </c:pt>
                <c:pt idx="22">
                  <c:v>1.1044611578332841E-4</c:v>
                </c:pt>
                <c:pt idx="23">
                  <c:v>5.6352433584062588E-6</c:v>
                </c:pt>
                <c:pt idx="24">
                  <c:v>3.104474131982996E-3</c:v>
                </c:pt>
                <c:pt idx="25">
                  <c:v>9.2483369487723587E-3</c:v>
                </c:pt>
                <c:pt idx="26">
                  <c:v>1.8474517045212829E-2</c:v>
                </c:pt>
                <c:pt idx="27">
                  <c:v>3.2694407483312787E-2</c:v>
                </c:pt>
                <c:pt idx="28">
                  <c:v>3.2945829294540187E-2</c:v>
                </c:pt>
                <c:pt idx="29">
                  <c:v>4.4480133140056069E-2</c:v>
                </c:pt>
                <c:pt idx="30">
                  <c:v>3.7049542537302173E-2</c:v>
                </c:pt>
                <c:pt idx="31">
                  <c:v>3.1857768834261987E-2</c:v>
                </c:pt>
                <c:pt idx="32">
                  <c:v>2.23981137027396E-2</c:v>
                </c:pt>
                <c:pt idx="33">
                  <c:v>1.267326343754744E-2</c:v>
                </c:pt>
                <c:pt idx="34">
                  <c:v>4.0132810857910267E-3</c:v>
                </c:pt>
                <c:pt idx="35">
                  <c:v>1.8226295838260991E-3</c:v>
                </c:pt>
                <c:pt idx="36">
                  <c:v>4.939556742877535E-3</c:v>
                </c:pt>
                <c:pt idx="37">
                  <c:v>1.3248485586698279E-2</c:v>
                </c:pt>
                <c:pt idx="38">
                  <c:v>3.4089330349121053E-2</c:v>
                </c:pt>
                <c:pt idx="39">
                  <c:v>5.5254436099578648E-2</c:v>
                </c:pt>
                <c:pt idx="40">
                  <c:v>6.5811459960859395E-2</c:v>
                </c:pt>
                <c:pt idx="41">
                  <c:v>6.4528229045867816E-2</c:v>
                </c:pt>
                <c:pt idx="42">
                  <c:v>6.7025803801952916E-2</c:v>
                </c:pt>
                <c:pt idx="43">
                  <c:v>6.1299924397195817E-2</c:v>
                </c:pt>
                <c:pt idx="44">
                  <c:v>4.5784276103507021E-2</c:v>
                </c:pt>
                <c:pt idx="45">
                  <c:v>2.9809058027035401E-2</c:v>
                </c:pt>
                <c:pt idx="46">
                  <c:v>7.8652952619005494E-3</c:v>
                </c:pt>
                <c:pt idx="47">
                  <c:v>4.5323555529735481E-3</c:v>
                </c:pt>
                <c:pt idx="48">
                  <c:v>5.8626527231366082E-3</c:v>
                </c:pt>
                <c:pt idx="49">
                  <c:v>1.8877648418373551E-2</c:v>
                </c:pt>
                <c:pt idx="50">
                  <c:v>3.7096229392005707E-2</c:v>
                </c:pt>
                <c:pt idx="51">
                  <c:v>8.0269966033824955E-2</c:v>
                </c:pt>
                <c:pt idx="52">
                  <c:v>0.1080032082802261</c:v>
                </c:pt>
                <c:pt idx="53">
                  <c:v>0.1144244665352921</c:v>
                </c:pt>
                <c:pt idx="54">
                  <c:v>0.10203074507159759</c:v>
                </c:pt>
                <c:pt idx="55">
                  <c:v>7.7931010532967707E-2</c:v>
                </c:pt>
                <c:pt idx="56">
                  <c:v>8.0909954639318743E-2</c:v>
                </c:pt>
                <c:pt idx="57">
                  <c:v>2.9172340215594381E-2</c:v>
                </c:pt>
                <c:pt idx="58">
                  <c:v>1.04098691216888E-2</c:v>
                </c:pt>
                <c:pt idx="59">
                  <c:v>3.809030164374855E-3</c:v>
                </c:pt>
                <c:pt idx="60">
                  <c:v>6.1781830729755079E-3</c:v>
                </c:pt>
                <c:pt idx="61">
                  <c:v>1.667231366864759E-2</c:v>
                </c:pt>
                <c:pt idx="62">
                  <c:v>4.1112806367337662E-2</c:v>
                </c:pt>
                <c:pt idx="63">
                  <c:v>6.5123378744806448E-2</c:v>
                </c:pt>
                <c:pt idx="64">
                  <c:v>0.106315341440858</c:v>
                </c:pt>
                <c:pt idx="65">
                  <c:v>0.1072729076610999</c:v>
                </c:pt>
                <c:pt idx="66">
                  <c:v>0.1057942634887733</c:v>
                </c:pt>
                <c:pt idx="67">
                  <c:v>9.3690832268705199E-2</c:v>
                </c:pt>
                <c:pt idx="68">
                  <c:v>7.2463202820400169E-2</c:v>
                </c:pt>
                <c:pt idx="69">
                  <c:v>3.6145253892379881E-2</c:v>
                </c:pt>
                <c:pt idx="70">
                  <c:v>8.6028414054236078E-3</c:v>
                </c:pt>
                <c:pt idx="71">
                  <c:v>4.1714684657767577E-3</c:v>
                </c:pt>
                <c:pt idx="72">
                  <c:v>7.223240212576967E-3</c:v>
                </c:pt>
                <c:pt idx="73">
                  <c:v>2.010831138567791E-2</c:v>
                </c:pt>
                <c:pt idx="74">
                  <c:v>4.6547866447452589E-2</c:v>
                </c:pt>
                <c:pt idx="75">
                  <c:v>7.1689783649061992E-2</c:v>
                </c:pt>
                <c:pt idx="76">
                  <c:v>9.4714127256233946E-2</c:v>
                </c:pt>
                <c:pt idx="77">
                  <c:v>9.9826250015510765E-2</c:v>
                </c:pt>
                <c:pt idx="78">
                  <c:v>9.3996419418699143E-2</c:v>
                </c:pt>
                <c:pt idx="79">
                  <c:v>0.1057378118957395</c:v>
                </c:pt>
                <c:pt idx="80">
                  <c:v>9.0628879686523764E-2</c:v>
                </c:pt>
                <c:pt idx="81">
                  <c:v>3.9573125678626628E-2</c:v>
                </c:pt>
                <c:pt idx="82">
                  <c:v>1.454364344794783E-2</c:v>
                </c:pt>
                <c:pt idx="83">
                  <c:v>9.0694911608833299E-3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214-6446-A875-62264E3D0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Solar Penetration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Capture Price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Inputs'!$H$1</c:f>
              <c:strCache>
                <c:ptCount val="1"/>
                <c:pt idx="0">
                  <c:v>DK1 Capture Price (EUR/MWh)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Inputs'!$H$2:$H$85</c:f>
              <c:numCache>
                <c:formatCode>General</c:formatCode>
                <c:ptCount val="84"/>
                <c:pt idx="12">
                  <c:v>25.22320957280251</c:v>
                </c:pt>
                <c:pt idx="13">
                  <c:v>22.83581899109792</c:v>
                </c:pt>
                <c:pt idx="14">
                  <c:v>15.94107348554973</c:v>
                </c:pt>
                <c:pt idx="15">
                  <c:v>10.36487590420421</c:v>
                </c:pt>
                <c:pt idx="16">
                  <c:v>15.478548945086001</c:v>
                </c:pt>
                <c:pt idx="17">
                  <c:v>27.313308227868689</c:v>
                </c:pt>
                <c:pt idx="18">
                  <c:v>24.831745178109159</c:v>
                </c:pt>
                <c:pt idx="19">
                  <c:v>33.876915422047851</c:v>
                </c:pt>
                <c:pt idx="20">
                  <c:v>38.935979003379593</c:v>
                </c:pt>
                <c:pt idx="21">
                  <c:v>31.927741533059191</c:v>
                </c:pt>
                <c:pt idx="22">
                  <c:v>26.005993265993261</c:v>
                </c:pt>
                <c:pt idx="23">
                  <c:v>34.795161290322582</c:v>
                </c:pt>
                <c:pt idx="24">
                  <c:v>55.422967607277918</c:v>
                </c:pt>
                <c:pt idx="25">
                  <c:v>47.542610979142587</c:v>
                </c:pt>
                <c:pt idx="26">
                  <c:v>44.550700915805493</c:v>
                </c:pt>
                <c:pt idx="27">
                  <c:v>43.594739828473003</c:v>
                </c:pt>
                <c:pt idx="28">
                  <c:v>47.655870575001217</c:v>
                </c:pt>
                <c:pt idx="29">
                  <c:v>70.543547911111062</c:v>
                </c:pt>
                <c:pt idx="30">
                  <c:v>78.568319747758608</c:v>
                </c:pt>
                <c:pt idx="31">
                  <c:v>81.983351136401794</c:v>
                </c:pt>
                <c:pt idx="32">
                  <c:v>116.20022495544841</c:v>
                </c:pt>
                <c:pt idx="33">
                  <c:v>126.53039520323949</c:v>
                </c:pt>
                <c:pt idx="34">
                  <c:v>160.77058330102949</c:v>
                </c:pt>
                <c:pt idx="35">
                  <c:v>228.8621705579358</c:v>
                </c:pt>
                <c:pt idx="36">
                  <c:v>123.20125067917191</c:v>
                </c:pt>
                <c:pt idx="37">
                  <c:v>117.67077903546</c:v>
                </c:pt>
                <c:pt idx="38">
                  <c:v>191.50807173506701</c:v>
                </c:pt>
                <c:pt idx="39">
                  <c:v>145.70138715926041</c:v>
                </c:pt>
                <c:pt idx="40">
                  <c:v>149.4185612445558</c:v>
                </c:pt>
                <c:pt idx="41">
                  <c:v>194.71103409481981</c:v>
                </c:pt>
                <c:pt idx="42">
                  <c:v>239.3981525107354</c:v>
                </c:pt>
                <c:pt idx="43">
                  <c:v>419.79263722660602</c:v>
                </c:pt>
                <c:pt idx="44">
                  <c:v>310.70739927266709</c:v>
                </c:pt>
                <c:pt idx="45">
                  <c:v>125.6295598680838</c:v>
                </c:pt>
                <c:pt idx="46">
                  <c:v>131.7111886265582</c:v>
                </c:pt>
                <c:pt idx="47">
                  <c:v>282.82379374207261</c:v>
                </c:pt>
                <c:pt idx="48">
                  <c:v>138.52998868426329</c:v>
                </c:pt>
                <c:pt idx="49">
                  <c:v>109.87697572135031</c:v>
                </c:pt>
                <c:pt idx="50">
                  <c:v>93.774190940695377</c:v>
                </c:pt>
                <c:pt idx="51">
                  <c:v>76.25042822265543</c:v>
                </c:pt>
                <c:pt idx="52">
                  <c:v>50.543487760082613</c:v>
                </c:pt>
                <c:pt idx="53">
                  <c:v>74.888982776218057</c:v>
                </c:pt>
                <c:pt idx="54">
                  <c:v>52.095599438463452</c:v>
                </c:pt>
                <c:pt idx="55">
                  <c:v>74.180426039978187</c:v>
                </c:pt>
                <c:pt idx="56">
                  <c:v>68.116869623396937</c:v>
                </c:pt>
                <c:pt idx="57">
                  <c:v>50.539090519702853</c:v>
                </c:pt>
                <c:pt idx="58">
                  <c:v>90.680805562425178</c:v>
                </c:pt>
                <c:pt idx="59">
                  <c:v>63.455327688788032</c:v>
                </c:pt>
                <c:pt idx="60">
                  <c:v>78.571316441678306</c:v>
                </c:pt>
                <c:pt idx="61">
                  <c:v>59.479486768055089</c:v>
                </c:pt>
                <c:pt idx="62">
                  <c:v>51.269783241554933</c:v>
                </c:pt>
                <c:pt idx="63">
                  <c:v>49.383940562011212</c:v>
                </c:pt>
                <c:pt idx="64">
                  <c:v>35.894148271408874</c:v>
                </c:pt>
                <c:pt idx="65">
                  <c:v>47.037633727397647</c:v>
                </c:pt>
                <c:pt idx="66">
                  <c:v>42.521773223099522</c:v>
                </c:pt>
                <c:pt idx="67">
                  <c:v>52.17121747504909</c:v>
                </c:pt>
                <c:pt idx="68">
                  <c:v>45.647504626217007</c:v>
                </c:pt>
                <c:pt idx="69">
                  <c:v>58.441583787091993</c:v>
                </c:pt>
                <c:pt idx="70">
                  <c:v>97.582352616331917</c:v>
                </c:pt>
                <c:pt idx="71">
                  <c:v>92.073217693833982</c:v>
                </c:pt>
                <c:pt idx="72">
                  <c:v>111.1945655985155</c:v>
                </c:pt>
                <c:pt idx="73">
                  <c:v>105.41315973788279</c:v>
                </c:pt>
                <c:pt idx="74">
                  <c:v>57.84566339627056</c:v>
                </c:pt>
                <c:pt idx="75">
                  <c:v>45.844395770687349</c:v>
                </c:pt>
                <c:pt idx="76">
                  <c:v>40.065667394009381</c:v>
                </c:pt>
                <c:pt idx="77">
                  <c:v>33.493381965196598</c:v>
                </c:pt>
                <c:pt idx="78">
                  <c:v>61.32224821093979</c:v>
                </c:pt>
                <c:pt idx="79">
                  <c:v>47.755824567457559</c:v>
                </c:pt>
                <c:pt idx="80">
                  <c:v>49.429094996057238</c:v>
                </c:pt>
                <c:pt idx="81">
                  <c:v>74.266634537895257</c:v>
                </c:pt>
                <c:pt idx="82">
                  <c:v>95.564531802521344</c:v>
                </c:pt>
                <c:pt idx="83">
                  <c:v>80.958034242780258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210-3E4F-832D-B3E2F6326E3C}"/>
            </c:ext>
          </c:extLst>
        </c:ser>
        <c:ser>
          <c:idx val="1"/>
          <c:order val="1"/>
          <c:tx>
            <c:strRef>
              <c:f>'Capture Price Inputs'!$I$1</c:f>
              <c:strCache>
                <c:ptCount val="1"/>
                <c:pt idx="0">
                  <c:v>DK2 Capture Price (EUR/MWh)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'Capture Price Inputs'!$I$2:$I$85</c:f>
              <c:numCache>
                <c:formatCode>General</c:formatCode>
                <c:ptCount val="84"/>
                <c:pt idx="12">
                  <c:v>29.86213642213642</c:v>
                </c:pt>
                <c:pt idx="13">
                  <c:v>23.555517829721889</c:v>
                </c:pt>
                <c:pt idx="14">
                  <c:v>17.149050692261021</c:v>
                </c:pt>
                <c:pt idx="15">
                  <c:v>13.252523128367081</c:v>
                </c:pt>
                <c:pt idx="16">
                  <c:v>18.594049382716051</c:v>
                </c:pt>
                <c:pt idx="17">
                  <c:v>35.21078005032583</c:v>
                </c:pt>
                <c:pt idx="18">
                  <c:v>26.450778046867001</c:v>
                </c:pt>
                <c:pt idx="19">
                  <c:v>44.113765015404859</c:v>
                </c:pt>
                <c:pt idx="20">
                  <c:v>41.853047880870562</c:v>
                </c:pt>
                <c:pt idx="21">
                  <c:v>33.600878372903331</c:v>
                </c:pt>
                <c:pt idx="22">
                  <c:v>37.749765625000002</c:v>
                </c:pt>
                <c:pt idx="23">
                  <c:v>44.191428571428567</c:v>
                </c:pt>
                <c:pt idx="24">
                  <c:v>57.072134410081453</c:v>
                </c:pt>
                <c:pt idx="25">
                  <c:v>52.285083654524577</c:v>
                </c:pt>
                <c:pt idx="26">
                  <c:v>47.422643011897812</c:v>
                </c:pt>
                <c:pt idx="27">
                  <c:v>45.901363748248833</c:v>
                </c:pt>
                <c:pt idx="28">
                  <c:v>50.258720231460799</c:v>
                </c:pt>
                <c:pt idx="29">
                  <c:v>69.469341653776226</c:v>
                </c:pt>
                <c:pt idx="30">
                  <c:v>77.933111551394319</c:v>
                </c:pt>
                <c:pt idx="31">
                  <c:v>84.512747690257029</c:v>
                </c:pt>
                <c:pt idx="32">
                  <c:v>118.7457227855615</c:v>
                </c:pt>
                <c:pt idx="33">
                  <c:v>122.3841235967906</c:v>
                </c:pt>
                <c:pt idx="34">
                  <c:v>153.62679427815749</c:v>
                </c:pt>
                <c:pt idx="35">
                  <c:v>244.48727859764409</c:v>
                </c:pt>
                <c:pt idx="36">
                  <c:v>129.67749023150819</c:v>
                </c:pt>
                <c:pt idx="37">
                  <c:v>108.80333899256409</c:v>
                </c:pt>
                <c:pt idx="38">
                  <c:v>186.0504424586062</c:v>
                </c:pt>
                <c:pt idx="39">
                  <c:v>143.53758886421849</c:v>
                </c:pt>
                <c:pt idx="40">
                  <c:v>146.25360234460331</c:v>
                </c:pt>
                <c:pt idx="41">
                  <c:v>192.2325905808319</c:v>
                </c:pt>
                <c:pt idx="42">
                  <c:v>212.3625858003895</c:v>
                </c:pt>
                <c:pt idx="43">
                  <c:v>397.17988485976059</c:v>
                </c:pt>
                <c:pt idx="44">
                  <c:v>315.92884279677901</c:v>
                </c:pt>
                <c:pt idx="45">
                  <c:v>120.1190076327392</c:v>
                </c:pt>
                <c:pt idx="46">
                  <c:v>134.0399027878758</c:v>
                </c:pt>
                <c:pt idx="47">
                  <c:v>303.26978481668573</c:v>
                </c:pt>
                <c:pt idx="48">
                  <c:v>120.8992864784306</c:v>
                </c:pt>
                <c:pt idx="49">
                  <c:v>103.112625406295</c:v>
                </c:pt>
                <c:pt idx="50">
                  <c:v>89.098468921641697</c:v>
                </c:pt>
                <c:pt idx="51">
                  <c:v>71.125099705594195</c:v>
                </c:pt>
                <c:pt idx="52">
                  <c:v>48.358083796456327</c:v>
                </c:pt>
                <c:pt idx="53">
                  <c:v>71.862090372222397</c:v>
                </c:pt>
                <c:pt idx="54">
                  <c:v>50.345966617092351</c:v>
                </c:pt>
                <c:pt idx="55">
                  <c:v>72.957992347987414</c:v>
                </c:pt>
                <c:pt idx="56">
                  <c:v>64.394484672464898</c:v>
                </c:pt>
                <c:pt idx="57">
                  <c:v>47.660255094286853</c:v>
                </c:pt>
                <c:pt idx="58">
                  <c:v>84.639978605265995</c:v>
                </c:pt>
                <c:pt idx="59">
                  <c:v>59.061746333079718</c:v>
                </c:pt>
                <c:pt idx="60">
                  <c:v>76.427202535219209</c:v>
                </c:pt>
                <c:pt idx="61">
                  <c:v>51.434379196547752</c:v>
                </c:pt>
                <c:pt idx="62">
                  <c:v>50.751163813053438</c:v>
                </c:pt>
                <c:pt idx="63">
                  <c:v>47.053967904827999</c:v>
                </c:pt>
                <c:pt idx="64">
                  <c:v>34.295794113692892</c:v>
                </c:pt>
                <c:pt idx="65">
                  <c:v>46.379384034583367</c:v>
                </c:pt>
                <c:pt idx="66">
                  <c:v>38.812821969471173</c:v>
                </c:pt>
                <c:pt idx="67">
                  <c:v>47.151863118292532</c:v>
                </c:pt>
                <c:pt idx="68">
                  <c:v>43.355946350842189</c:v>
                </c:pt>
                <c:pt idx="69">
                  <c:v>59.534937630286556</c:v>
                </c:pt>
                <c:pt idx="70">
                  <c:v>89.611277477917284</c:v>
                </c:pt>
                <c:pt idx="71">
                  <c:v>100.7961313991171</c:v>
                </c:pt>
                <c:pt idx="72">
                  <c:v>115.0822593270056</c:v>
                </c:pt>
                <c:pt idx="73">
                  <c:v>106.92318207316821</c:v>
                </c:pt>
                <c:pt idx="74">
                  <c:v>50.018062961268747</c:v>
                </c:pt>
                <c:pt idx="75">
                  <c:v>41.82584156307518</c:v>
                </c:pt>
                <c:pt idx="76">
                  <c:v>34.320660344591218</c:v>
                </c:pt>
                <c:pt idx="77">
                  <c:v>24.31568572006325</c:v>
                </c:pt>
                <c:pt idx="78">
                  <c:v>59.766943882147693</c:v>
                </c:pt>
                <c:pt idx="79">
                  <c:v>43.064604783544858</c:v>
                </c:pt>
                <c:pt idx="80">
                  <c:v>52.949405153808357</c:v>
                </c:pt>
                <c:pt idx="81">
                  <c:v>78.645730322406678</c:v>
                </c:pt>
                <c:pt idx="82">
                  <c:v>92.690454871532665</c:v>
                </c:pt>
                <c:pt idx="83">
                  <c:v>79.631228022083661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210-3E4F-832D-B3E2F6326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Capture Price Ratio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Inputs'!$J$1</c:f>
              <c:strCache>
                <c:ptCount val="1"/>
                <c:pt idx="0">
                  <c:v>DK1 CPR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Inputs'!$J$2:$J$85</c:f>
              <c:numCache>
                <c:formatCode>General</c:formatCode>
                <c:ptCount val="84"/>
                <c:pt idx="12">
                  <c:v>1.0091486594474419</c:v>
                </c:pt>
                <c:pt idx="13">
                  <c:v>1.2985911686950511</c:v>
                </c:pt>
                <c:pt idx="14">
                  <c:v>0.8710146939215303</c:v>
                </c:pt>
                <c:pt idx="15">
                  <c:v>0.71315772558819213</c:v>
                </c:pt>
                <c:pt idx="16">
                  <c:v>0.96415576931205649</c:v>
                </c:pt>
                <c:pt idx="17">
                  <c:v>1.0394664137310941</c:v>
                </c:pt>
                <c:pt idx="18">
                  <c:v>1.0086181556608309</c:v>
                </c:pt>
                <c:pt idx="19">
                  <c:v>0.98082264407500741</c:v>
                </c:pt>
                <c:pt idx="20">
                  <c:v>1.0104044869130051</c:v>
                </c:pt>
                <c:pt idx="21">
                  <c:v>1.236802226812374</c:v>
                </c:pt>
                <c:pt idx="22">
                  <c:v>1.094777917215692</c:v>
                </c:pt>
                <c:pt idx="23">
                  <c:v>1.0082301641826621</c:v>
                </c:pt>
                <c:pt idx="24">
                  <c:v>1.103930861568265</c:v>
                </c:pt>
                <c:pt idx="25">
                  <c:v>1.0059479277054251</c:v>
                </c:pt>
                <c:pt idx="26">
                  <c:v>0.9871758725122356</c:v>
                </c:pt>
                <c:pt idx="27">
                  <c:v>0.90884647456650169</c:v>
                </c:pt>
                <c:pt idx="28">
                  <c:v>0.87751805187154364</c:v>
                </c:pt>
                <c:pt idx="29">
                  <c:v>0.95691427953473174</c:v>
                </c:pt>
                <c:pt idx="30">
                  <c:v>0.98211323715969778</c:v>
                </c:pt>
                <c:pt idx="31">
                  <c:v>0.99027147802450566</c:v>
                </c:pt>
                <c:pt idx="32">
                  <c:v>0.92690440483613579</c:v>
                </c:pt>
                <c:pt idx="33">
                  <c:v>1.0810885074134391</c:v>
                </c:pt>
                <c:pt idx="34">
                  <c:v>1.1338034085044659</c:v>
                </c:pt>
                <c:pt idx="35">
                  <c:v>1.2086769624549281</c:v>
                </c:pt>
                <c:pt idx="36">
                  <c:v>1.0441257304277269</c:v>
                </c:pt>
                <c:pt idx="37">
                  <c:v>1.04022281700981</c:v>
                </c:pt>
                <c:pt idx="38">
                  <c:v>0.81207759044207406</c:v>
                </c:pt>
                <c:pt idx="39">
                  <c:v>0.89039133384678326</c:v>
                </c:pt>
                <c:pt idx="40">
                  <c:v>0.86943016050498578</c:v>
                </c:pt>
                <c:pt idx="41">
                  <c:v>0.90803902012341908</c:v>
                </c:pt>
                <c:pt idx="42">
                  <c:v>0.87041791592949547</c:v>
                </c:pt>
                <c:pt idx="43">
                  <c:v>0.91908553046700026</c:v>
                </c:pt>
                <c:pt idx="44">
                  <c:v>0.90632901805683119</c:v>
                </c:pt>
                <c:pt idx="45">
                  <c:v>0.91612325253961768</c:v>
                </c:pt>
                <c:pt idx="46">
                  <c:v>0.94278612074660006</c:v>
                </c:pt>
                <c:pt idx="47">
                  <c:v>1.132810339248927</c:v>
                </c:pt>
                <c:pt idx="48">
                  <c:v>1.2309198691226539</c:v>
                </c:pt>
                <c:pt idx="49">
                  <c:v>0.93008781340266</c:v>
                </c:pt>
                <c:pt idx="50">
                  <c:v>0.94612539759598957</c:v>
                </c:pt>
                <c:pt idx="51">
                  <c:v>0.79203966120386338</c:v>
                </c:pt>
                <c:pt idx="52">
                  <c:v>0.68333610561519953</c:v>
                </c:pt>
                <c:pt idx="53">
                  <c:v>0.80965062086215667</c:v>
                </c:pt>
                <c:pt idx="54">
                  <c:v>0.80380421953260928</c:v>
                </c:pt>
                <c:pt idx="55">
                  <c:v>0.86289309777204071</c:v>
                </c:pt>
                <c:pt idx="56">
                  <c:v>0.8038389922187259</c:v>
                </c:pt>
                <c:pt idx="57">
                  <c:v>0.84083605560542263</c:v>
                </c:pt>
                <c:pt idx="58">
                  <c:v>1.028656893611996</c:v>
                </c:pt>
                <c:pt idx="59">
                  <c:v>0.91325607762876626</c:v>
                </c:pt>
                <c:pt idx="60">
                  <c:v>1.051614630458469</c:v>
                </c:pt>
                <c:pt idx="61">
                  <c:v>1.0144208291794441</c:v>
                </c:pt>
                <c:pt idx="62">
                  <c:v>0.8373818542217274</c:v>
                </c:pt>
                <c:pt idx="63">
                  <c:v>0.83468460161643787</c:v>
                </c:pt>
                <c:pt idx="64">
                  <c:v>0.61339845366508694</c:v>
                </c:pt>
                <c:pt idx="65">
                  <c:v>0.73781003223868646</c:v>
                </c:pt>
                <c:pt idx="66">
                  <c:v>0.68549949487061801</c:v>
                </c:pt>
                <c:pt idx="67">
                  <c:v>0.71512676219349525</c:v>
                </c:pt>
                <c:pt idx="68">
                  <c:v>0.63652522303957304</c:v>
                </c:pt>
                <c:pt idx="69">
                  <c:v>0.76175188075929667</c:v>
                </c:pt>
                <c:pt idx="70">
                  <c:v>1.0174940038611719</c:v>
                </c:pt>
                <c:pt idx="71">
                  <c:v>1.0025674160411211</c:v>
                </c:pt>
                <c:pt idx="72">
                  <c:v>1.135032584901597</c:v>
                </c:pt>
                <c:pt idx="73">
                  <c:v>0.93411665141872979</c:v>
                </c:pt>
                <c:pt idx="74">
                  <c:v>0.68579081688022481</c:v>
                </c:pt>
                <c:pt idx="75">
                  <c:v>0.60995353561832499</c:v>
                </c:pt>
                <c:pt idx="76">
                  <c:v>0.62375117423189408</c:v>
                </c:pt>
                <c:pt idx="77">
                  <c:v>0.56976432128633303</c:v>
                </c:pt>
                <c:pt idx="78">
                  <c:v>0.74058967108380014</c:v>
                </c:pt>
                <c:pt idx="79">
                  <c:v>0.64997112344594554</c:v>
                </c:pt>
                <c:pt idx="80">
                  <c:v>0.68273474898658593</c:v>
                </c:pt>
                <c:pt idx="81">
                  <c:v>0.94701517193480578</c:v>
                </c:pt>
                <c:pt idx="82">
                  <c:v>1.0289764309560969</c:v>
                </c:pt>
                <c:pt idx="83">
                  <c:v>0.98205388617926037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163-CF4F-941D-6E11AD1727A7}"/>
            </c:ext>
          </c:extLst>
        </c:ser>
        <c:ser>
          <c:idx val="1"/>
          <c:order val="1"/>
          <c:tx>
            <c:strRef>
              <c:f>'Capture Price Inputs'!$K$1</c:f>
              <c:strCache>
                <c:ptCount val="1"/>
                <c:pt idx="0">
                  <c:v>DK2 CPR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'Capture Price Inputs'!$K$2:$K$85</c:f>
              <c:numCache>
                <c:formatCode>General</c:formatCode>
                <c:ptCount val="84"/>
                <c:pt idx="12">
                  <c:v>1.090446324793763</c:v>
                </c:pt>
                <c:pt idx="13">
                  <c:v>1.251821301318464</c:v>
                </c:pt>
                <c:pt idx="14">
                  <c:v>0.85520775851277109</c:v>
                </c:pt>
                <c:pt idx="15">
                  <c:v>0.76362023547871605</c:v>
                </c:pt>
                <c:pt idx="16">
                  <c:v>0.97636938233545278</c:v>
                </c:pt>
                <c:pt idx="17">
                  <c:v>1.180647007173951</c:v>
                </c:pt>
                <c:pt idx="18">
                  <c:v>1.021791049952987</c:v>
                </c:pt>
                <c:pt idx="19">
                  <c:v>1.077948442472481</c:v>
                </c:pt>
                <c:pt idx="20">
                  <c:v>1.0591890923358069</c:v>
                </c:pt>
                <c:pt idx="21">
                  <c:v>1.247549053102559</c:v>
                </c:pt>
                <c:pt idx="22">
                  <c:v>1.057080411727209</c:v>
                </c:pt>
                <c:pt idx="23">
                  <c:v>1.125691191699302</c:v>
                </c:pt>
                <c:pt idx="24">
                  <c:v>1.122164979814525</c:v>
                </c:pt>
                <c:pt idx="25">
                  <c:v>0.9585139857498034</c:v>
                </c:pt>
                <c:pt idx="26">
                  <c:v>1.0147741726503949</c:v>
                </c:pt>
                <c:pt idx="27">
                  <c:v>0.95901643664766134</c:v>
                </c:pt>
                <c:pt idx="28">
                  <c:v>0.91033887361171206</c:v>
                </c:pt>
                <c:pt idx="29">
                  <c:v>0.94404491874816343</c:v>
                </c:pt>
                <c:pt idx="30">
                  <c:v>0.95692856904650769</c:v>
                </c:pt>
                <c:pt idx="31">
                  <c:v>1.001768528067071</c:v>
                </c:pt>
                <c:pt idx="32">
                  <c:v>0.95838336990944806</c:v>
                </c:pt>
                <c:pt idx="33">
                  <c:v>1.1445012658471321</c:v>
                </c:pt>
                <c:pt idx="34">
                  <c:v>1.1264608571418011</c:v>
                </c:pt>
                <c:pt idx="35">
                  <c:v>1.279578427053047</c:v>
                </c:pt>
                <c:pt idx="36">
                  <c:v>1.1617546523412821</c:v>
                </c:pt>
                <c:pt idx="37">
                  <c:v>1.084871924613185</c:v>
                </c:pt>
                <c:pt idx="38">
                  <c:v>0.81629582758371144</c:v>
                </c:pt>
                <c:pt idx="39">
                  <c:v>0.93918048773921026</c:v>
                </c:pt>
                <c:pt idx="40">
                  <c:v>0.89914563143311954</c:v>
                </c:pt>
                <c:pt idx="41">
                  <c:v>0.90151367457475784</c:v>
                </c:pt>
                <c:pt idx="42">
                  <c:v>0.90956244496775596</c:v>
                </c:pt>
                <c:pt idx="43">
                  <c:v>0.8830756108422062</c:v>
                </c:pt>
                <c:pt idx="44">
                  <c:v>0.96085369829588263</c:v>
                </c:pt>
                <c:pt idx="45">
                  <c:v>0.87743541957368609</c:v>
                </c:pt>
                <c:pt idx="46">
                  <c:v>0.92404474391789948</c:v>
                </c:pt>
                <c:pt idx="47">
                  <c:v>1.2185280560697289</c:v>
                </c:pt>
                <c:pt idx="48">
                  <c:v>1.2118663236304299</c:v>
                </c:pt>
                <c:pt idx="49">
                  <c:v>1.0244781228159621</c:v>
                </c:pt>
                <c:pt idx="50">
                  <c:v>0.99223631219701203</c:v>
                </c:pt>
                <c:pt idx="51">
                  <c:v>0.85025873478203906</c:v>
                </c:pt>
                <c:pt idx="52">
                  <c:v>0.73101748270540212</c:v>
                </c:pt>
                <c:pt idx="53">
                  <c:v>0.78603819917365525</c:v>
                </c:pt>
                <c:pt idx="54">
                  <c:v>0.77170348712471282</c:v>
                </c:pt>
                <c:pt idx="55">
                  <c:v>0.84546104105698361</c:v>
                </c:pt>
                <c:pt idx="56">
                  <c:v>0.75329173308453345</c:v>
                </c:pt>
                <c:pt idx="57">
                  <c:v>0.83723449033464103</c:v>
                </c:pt>
                <c:pt idx="58">
                  <c:v>1.038705241708771</c:v>
                </c:pt>
                <c:pt idx="59">
                  <c:v>0.83326707575628478</c:v>
                </c:pt>
                <c:pt idx="60">
                  <c:v>0.97714487510792902</c:v>
                </c:pt>
                <c:pt idx="61">
                  <c:v>0.93991726033346112</c:v>
                </c:pt>
                <c:pt idx="62">
                  <c:v>0.8314293202728863</c:v>
                </c:pt>
                <c:pt idx="63">
                  <c:v>0.77805107456374178</c:v>
                </c:pt>
                <c:pt idx="64">
                  <c:v>0.59005563427075769</c:v>
                </c:pt>
                <c:pt idx="65">
                  <c:v>0.69439585691141426</c:v>
                </c:pt>
                <c:pt idx="66">
                  <c:v>0.61762838453946423</c:v>
                </c:pt>
                <c:pt idx="67">
                  <c:v>0.64934714792296455</c:v>
                </c:pt>
                <c:pt idx="68">
                  <c:v>0.61574801135475132</c:v>
                </c:pt>
                <c:pt idx="69">
                  <c:v>0.78000735067931948</c:v>
                </c:pt>
                <c:pt idx="70">
                  <c:v>0.94047799551015088</c:v>
                </c:pt>
                <c:pt idx="71">
                  <c:v>1.0870067185479459</c:v>
                </c:pt>
                <c:pt idx="72">
                  <c:v>1.1494003648079021</c:v>
                </c:pt>
                <c:pt idx="73">
                  <c:v>0.90662384271333907</c:v>
                </c:pt>
                <c:pt idx="74">
                  <c:v>0.60374116471580297</c:v>
                </c:pt>
                <c:pt idx="75">
                  <c:v>0.55174367988103734</c:v>
                </c:pt>
                <c:pt idx="76">
                  <c:v>0.54405946330729504</c:v>
                </c:pt>
                <c:pt idx="77">
                  <c:v>0.4307606652121766</c:v>
                </c:pt>
                <c:pt idx="78">
                  <c:v>0.74746341861966192</c:v>
                </c:pt>
                <c:pt idx="79">
                  <c:v>0.57178942343359873</c:v>
                </c:pt>
                <c:pt idx="80">
                  <c:v>0.63573160083367797</c:v>
                </c:pt>
                <c:pt idx="81">
                  <c:v>0.95480840081563045</c:v>
                </c:pt>
                <c:pt idx="82">
                  <c:v>0.98927251294969987</c:v>
                </c:pt>
                <c:pt idx="83">
                  <c:v>0.97014796253594149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163-CF4F-941D-6E11AD1727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CPR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Solar Penetration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Inputs'!$F$1</c:f>
              <c:strCache>
                <c:ptCount val="1"/>
                <c:pt idx="0">
                  <c:v>DK1 Solar Penetration (%) — Primary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'Capture Price Inputs'!$F$2:$F$85</c:f>
              <c:numCache>
                <c:formatCode>General</c:formatCode>
                <c:ptCount val="84"/>
                <c:pt idx="12">
                  <c:v>2.2644478926294831E-3</c:v>
                </c:pt>
                <c:pt idx="13">
                  <c:v>5.2474520244822449E-3</c:v>
                </c:pt>
                <c:pt idx="14">
                  <c:v>2.020167759412729E-2</c:v>
                </c:pt>
                <c:pt idx="15">
                  <c:v>3.2427989612304697E-2</c:v>
                </c:pt>
                <c:pt idx="16">
                  <c:v>3.6080087237903569E-2</c:v>
                </c:pt>
                <c:pt idx="17">
                  <c:v>3.7413618831640891E-2</c:v>
                </c:pt>
                <c:pt idx="18">
                  <c:v>3.3998433859503921E-2</c:v>
                </c:pt>
                <c:pt idx="19">
                  <c:v>3.4224763142537661E-2</c:v>
                </c:pt>
                <c:pt idx="20">
                  <c:v>2.4330151939157239E-2</c:v>
                </c:pt>
                <c:pt idx="21">
                  <c:v>1.1490387549446779E-2</c:v>
                </c:pt>
                <c:pt idx="22">
                  <c:v>1.521101274151999E-4</c:v>
                </c:pt>
                <c:pt idx="23">
                  <c:v>1.472410662127807E-5</c:v>
                </c:pt>
                <c:pt idx="24">
                  <c:v>3.6313559990350909E-3</c:v>
                </c:pt>
                <c:pt idx="25">
                  <c:v>1.0868941718057299E-2</c:v>
                </c:pt>
                <c:pt idx="26">
                  <c:v>2.2382303907371628E-2</c:v>
                </c:pt>
                <c:pt idx="27">
                  <c:v>4.212837115783985E-2</c:v>
                </c:pt>
                <c:pt idx="28">
                  <c:v>3.3075052211960353E-2</c:v>
                </c:pt>
                <c:pt idx="29">
                  <c:v>4.9841661821819518E-2</c:v>
                </c:pt>
                <c:pt idx="30">
                  <c:v>4.85715434854639E-2</c:v>
                </c:pt>
                <c:pt idx="31">
                  <c:v>3.8876947944708702E-2</c:v>
                </c:pt>
                <c:pt idx="32">
                  <c:v>2.5932850179436289E-2</c:v>
                </c:pt>
                <c:pt idx="33">
                  <c:v>1.7460096431489061E-2</c:v>
                </c:pt>
                <c:pt idx="34">
                  <c:v>7.0293060058135041E-3</c:v>
                </c:pt>
                <c:pt idx="35">
                  <c:v>3.243365391886713E-3</c:v>
                </c:pt>
                <c:pt idx="36">
                  <c:v>6.6753155472480874E-3</c:v>
                </c:pt>
                <c:pt idx="37">
                  <c:v>1.7399571233002901E-2</c:v>
                </c:pt>
                <c:pt idx="38">
                  <c:v>6.1955070586442867E-2</c:v>
                </c:pt>
                <c:pt idx="39">
                  <c:v>8.404056603836467E-2</c:v>
                </c:pt>
                <c:pt idx="40">
                  <c:v>9.6876891420316108E-2</c:v>
                </c:pt>
                <c:pt idx="41">
                  <c:v>9.4962020744311482E-2</c:v>
                </c:pt>
                <c:pt idx="42">
                  <c:v>9.963556652585577E-2</c:v>
                </c:pt>
                <c:pt idx="43">
                  <c:v>8.9626978325266782E-2</c:v>
                </c:pt>
                <c:pt idx="44">
                  <c:v>6.6046498591704736E-2</c:v>
                </c:pt>
                <c:pt idx="45">
                  <c:v>3.7469414477654707E-2</c:v>
                </c:pt>
                <c:pt idx="46">
                  <c:v>1.046932675470221E-2</c:v>
                </c:pt>
                <c:pt idx="47">
                  <c:v>6.2291646451968653E-3</c:v>
                </c:pt>
                <c:pt idx="48">
                  <c:v>1.2460694276862919E-2</c:v>
                </c:pt>
                <c:pt idx="49">
                  <c:v>3.4376404191763639E-2</c:v>
                </c:pt>
                <c:pt idx="50">
                  <c:v>5.6477968577058592E-2</c:v>
                </c:pt>
                <c:pt idx="51">
                  <c:v>0.1509467292684683</c:v>
                </c:pt>
                <c:pt idx="52">
                  <c:v>0.18600333743842001</c:v>
                </c:pt>
                <c:pt idx="53">
                  <c:v>0.21892573712946101</c:v>
                </c:pt>
                <c:pt idx="54">
                  <c:v>0.18929524056345021</c:v>
                </c:pt>
                <c:pt idx="55">
                  <c:v>0.1493297980639493</c:v>
                </c:pt>
                <c:pt idx="56">
                  <c:v>0.13191654386548721</c:v>
                </c:pt>
                <c:pt idx="57">
                  <c:v>4.2864886456730103E-2</c:v>
                </c:pt>
                <c:pt idx="58">
                  <c:v>1.6003493537152379E-2</c:v>
                </c:pt>
                <c:pt idx="59">
                  <c:v>6.3905046726965339E-3</c:v>
                </c:pt>
                <c:pt idx="60">
                  <c:v>1.3417186050607519E-2</c:v>
                </c:pt>
                <c:pt idx="61">
                  <c:v>2.6436223837926501E-2</c:v>
                </c:pt>
                <c:pt idx="62">
                  <c:v>6.6233973400350477E-2</c:v>
                </c:pt>
                <c:pt idx="63">
                  <c:v>0.1084169878649764</c:v>
                </c:pt>
                <c:pt idx="64">
                  <c:v>0.18887031649880051</c:v>
                </c:pt>
                <c:pt idx="65">
                  <c:v>0.1715230569234828</c:v>
                </c:pt>
                <c:pt idx="66">
                  <c:v>0.1809062055635286</c:v>
                </c:pt>
                <c:pt idx="67">
                  <c:v>0.15512153111725799</c:v>
                </c:pt>
                <c:pt idx="68">
                  <c:v>0.1275567235314205</c:v>
                </c:pt>
                <c:pt idx="69">
                  <c:v>6.2873767847415107E-2</c:v>
                </c:pt>
                <c:pt idx="70">
                  <c:v>1.780902737610289E-2</c:v>
                </c:pt>
                <c:pt idx="71">
                  <c:v>6.7857975683456679E-3</c:v>
                </c:pt>
                <c:pt idx="72">
                  <c:v>1.366055484422285E-2</c:v>
                </c:pt>
                <c:pt idx="73">
                  <c:v>4.3419934817177687E-2</c:v>
                </c:pt>
                <c:pt idx="74">
                  <c:v>0.1120694547038418</c:v>
                </c:pt>
                <c:pt idx="75">
                  <c:v>0.14827548756052711</c:v>
                </c:pt>
                <c:pt idx="76">
                  <c:v>0.19244468175967161</c:v>
                </c:pt>
                <c:pt idx="77">
                  <c:v>0.18784829238523279</c:v>
                </c:pt>
                <c:pt idx="78">
                  <c:v>0.21828188848241209</c:v>
                </c:pt>
                <c:pt idx="79">
                  <c:v>0.19011684012808119</c:v>
                </c:pt>
                <c:pt idx="80">
                  <c:v>0.13816152724517919</c:v>
                </c:pt>
                <c:pt idx="81">
                  <c:v>6.9462071202051626E-2</c:v>
                </c:pt>
                <c:pt idx="82">
                  <c:v>2.6604970402147529E-2</c:v>
                </c:pt>
                <c:pt idx="83">
                  <c:v>1.40253486520015E-2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6D5-8246-8A61-0449066A551E}"/>
            </c:ext>
          </c:extLst>
        </c:ser>
        <c:ser>
          <c:idx val="1"/>
          <c:order val="1"/>
          <c:tx>
            <c:strRef>
              <c:f>'Capture Price Inputs'!$G$1</c:f>
              <c:strCache>
                <c:ptCount val="1"/>
                <c:pt idx="0">
                  <c:v>DK2 Solar Penetration (%) — Robustness</c:v>
                </c:pt>
              </c:strCache>
            </c:strRef>
          </c:tx>
          <c:spPr>
            <a:ln>
              <a:solidFill>
                <a:srgbClr val="FFD700"/>
              </a:solidFill>
              <a:prstDash val="solid"/>
            </a:ln>
          </c:spPr>
          <c:marker>
            <c:symbol val="none"/>
          </c:marker>
          <c:val>
            <c:numRef>
              <c:f>'Capture Price Inputs'!$G$2:$G$85</c:f>
              <c:numCache>
                <c:formatCode>General</c:formatCode>
                <c:ptCount val="84"/>
                <c:pt idx="12">
                  <c:v>1.864323044087839E-3</c:v>
                </c:pt>
                <c:pt idx="13">
                  <c:v>4.9613393448072352E-3</c:v>
                </c:pt>
                <c:pt idx="14">
                  <c:v>1.532033335337761E-2</c:v>
                </c:pt>
                <c:pt idx="15">
                  <c:v>2.6180595134545931E-2</c:v>
                </c:pt>
                <c:pt idx="16">
                  <c:v>3.2240930774166239E-2</c:v>
                </c:pt>
                <c:pt idx="17">
                  <c:v>3.0651812088155841E-2</c:v>
                </c:pt>
                <c:pt idx="18">
                  <c:v>2.998206800974695E-2</c:v>
                </c:pt>
                <c:pt idx="19">
                  <c:v>2.8034713414307081E-2</c:v>
                </c:pt>
                <c:pt idx="20">
                  <c:v>2.1736479101595249E-2</c:v>
                </c:pt>
                <c:pt idx="21">
                  <c:v>1.107911770574695E-2</c:v>
                </c:pt>
                <c:pt idx="22">
                  <c:v>1.1044611578332841E-4</c:v>
                </c:pt>
                <c:pt idx="23">
                  <c:v>5.6352433584062588E-6</c:v>
                </c:pt>
                <c:pt idx="24">
                  <c:v>3.104474131982996E-3</c:v>
                </c:pt>
                <c:pt idx="25">
                  <c:v>9.2483369487723587E-3</c:v>
                </c:pt>
                <c:pt idx="26">
                  <c:v>1.8474517045212829E-2</c:v>
                </c:pt>
                <c:pt idx="27">
                  <c:v>3.2694407483312787E-2</c:v>
                </c:pt>
                <c:pt idx="28">
                  <c:v>3.2945829294540187E-2</c:v>
                </c:pt>
                <c:pt idx="29">
                  <c:v>4.4480133140056069E-2</c:v>
                </c:pt>
                <c:pt idx="30">
                  <c:v>3.7049542537302173E-2</c:v>
                </c:pt>
                <c:pt idx="31">
                  <c:v>3.1857768834261987E-2</c:v>
                </c:pt>
                <c:pt idx="32">
                  <c:v>2.23981137027396E-2</c:v>
                </c:pt>
                <c:pt idx="33">
                  <c:v>1.267326343754744E-2</c:v>
                </c:pt>
                <c:pt idx="34">
                  <c:v>4.0132810857910267E-3</c:v>
                </c:pt>
                <c:pt idx="35">
                  <c:v>1.8226295838260991E-3</c:v>
                </c:pt>
                <c:pt idx="36">
                  <c:v>4.939556742877535E-3</c:v>
                </c:pt>
                <c:pt idx="37">
                  <c:v>1.3248485586698279E-2</c:v>
                </c:pt>
                <c:pt idx="38">
                  <c:v>3.4089330349121053E-2</c:v>
                </c:pt>
                <c:pt idx="39">
                  <c:v>5.5254436099578648E-2</c:v>
                </c:pt>
                <c:pt idx="40">
                  <c:v>6.5811459960859395E-2</c:v>
                </c:pt>
                <c:pt idx="41">
                  <c:v>6.4528229045867816E-2</c:v>
                </c:pt>
                <c:pt idx="42">
                  <c:v>6.7025803801952916E-2</c:v>
                </c:pt>
                <c:pt idx="43">
                  <c:v>6.1299924397195817E-2</c:v>
                </c:pt>
                <c:pt idx="44">
                  <c:v>4.5784276103507021E-2</c:v>
                </c:pt>
                <c:pt idx="45">
                  <c:v>2.9809058027035401E-2</c:v>
                </c:pt>
                <c:pt idx="46">
                  <c:v>7.8652952619005494E-3</c:v>
                </c:pt>
                <c:pt idx="47">
                  <c:v>4.5323555529735481E-3</c:v>
                </c:pt>
                <c:pt idx="48">
                  <c:v>5.8626527231366082E-3</c:v>
                </c:pt>
                <c:pt idx="49">
                  <c:v>1.8877648418373551E-2</c:v>
                </c:pt>
                <c:pt idx="50">
                  <c:v>3.7096229392005707E-2</c:v>
                </c:pt>
                <c:pt idx="51">
                  <c:v>8.0269966033824955E-2</c:v>
                </c:pt>
                <c:pt idx="52">
                  <c:v>0.1080032082802261</c:v>
                </c:pt>
                <c:pt idx="53">
                  <c:v>0.1144244665352921</c:v>
                </c:pt>
                <c:pt idx="54">
                  <c:v>0.10203074507159759</c:v>
                </c:pt>
                <c:pt idx="55">
                  <c:v>7.7931010532967707E-2</c:v>
                </c:pt>
                <c:pt idx="56">
                  <c:v>8.0909954639318743E-2</c:v>
                </c:pt>
                <c:pt idx="57">
                  <c:v>2.9172340215594381E-2</c:v>
                </c:pt>
                <c:pt idx="58">
                  <c:v>1.04098691216888E-2</c:v>
                </c:pt>
                <c:pt idx="59">
                  <c:v>3.809030164374855E-3</c:v>
                </c:pt>
                <c:pt idx="60">
                  <c:v>6.1781830729755079E-3</c:v>
                </c:pt>
                <c:pt idx="61">
                  <c:v>1.667231366864759E-2</c:v>
                </c:pt>
                <c:pt idx="62">
                  <c:v>4.1112806367337662E-2</c:v>
                </c:pt>
                <c:pt idx="63">
                  <c:v>6.5123378744806448E-2</c:v>
                </c:pt>
                <c:pt idx="64">
                  <c:v>0.106315341440858</c:v>
                </c:pt>
                <c:pt idx="65">
                  <c:v>0.1072729076610999</c:v>
                </c:pt>
                <c:pt idx="66">
                  <c:v>0.1057942634887733</c:v>
                </c:pt>
                <c:pt idx="67">
                  <c:v>9.3690832268705199E-2</c:v>
                </c:pt>
                <c:pt idx="68">
                  <c:v>7.2463202820400169E-2</c:v>
                </c:pt>
                <c:pt idx="69">
                  <c:v>3.6145253892379881E-2</c:v>
                </c:pt>
                <c:pt idx="70">
                  <c:v>8.6028414054236078E-3</c:v>
                </c:pt>
                <c:pt idx="71">
                  <c:v>4.1714684657767577E-3</c:v>
                </c:pt>
                <c:pt idx="72">
                  <c:v>7.223240212576967E-3</c:v>
                </c:pt>
                <c:pt idx="73">
                  <c:v>2.010831138567791E-2</c:v>
                </c:pt>
                <c:pt idx="74">
                  <c:v>4.6547866447452589E-2</c:v>
                </c:pt>
                <c:pt idx="75">
                  <c:v>7.1689783649061992E-2</c:v>
                </c:pt>
                <c:pt idx="76">
                  <c:v>9.4714127256233946E-2</c:v>
                </c:pt>
                <c:pt idx="77">
                  <c:v>9.9826250015510765E-2</c:v>
                </c:pt>
                <c:pt idx="78">
                  <c:v>9.3996419418699143E-2</c:v>
                </c:pt>
                <c:pt idx="79">
                  <c:v>0.1057378118957395</c:v>
                </c:pt>
                <c:pt idx="80">
                  <c:v>9.0628879686523764E-2</c:v>
                </c:pt>
                <c:pt idx="81">
                  <c:v>3.9573125678626628E-2</c:v>
                </c:pt>
                <c:pt idx="82">
                  <c:v>1.454364344794783E-2</c:v>
                </c:pt>
                <c:pt idx="83">
                  <c:v>9.0694911608833299E-3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6D5-8246-8A61-0449066A55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Solar Penetration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Capture Price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Inputs'!$H$1</c:f>
              <c:strCache>
                <c:ptCount val="1"/>
                <c:pt idx="0">
                  <c:v>DK1 Capture Price (EUR/MWh)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Inputs'!$H$2:$H$85</c:f>
              <c:numCache>
                <c:formatCode>General</c:formatCode>
                <c:ptCount val="84"/>
                <c:pt idx="12">
                  <c:v>25.22320957280251</c:v>
                </c:pt>
                <c:pt idx="13">
                  <c:v>22.83581899109792</c:v>
                </c:pt>
                <c:pt idx="14">
                  <c:v>15.94107348554973</c:v>
                </c:pt>
                <c:pt idx="15">
                  <c:v>10.36487590420421</c:v>
                </c:pt>
                <c:pt idx="16">
                  <c:v>15.478548945086001</c:v>
                </c:pt>
                <c:pt idx="17">
                  <c:v>27.313308227868689</c:v>
                </c:pt>
                <c:pt idx="18">
                  <c:v>24.831745178109159</c:v>
                </c:pt>
                <c:pt idx="19">
                  <c:v>33.876915422047851</c:v>
                </c:pt>
                <c:pt idx="20">
                  <c:v>38.935979003379593</c:v>
                </c:pt>
                <c:pt idx="21">
                  <c:v>31.927741533059191</c:v>
                </c:pt>
                <c:pt idx="22">
                  <c:v>26.005993265993261</c:v>
                </c:pt>
                <c:pt idx="23">
                  <c:v>34.795161290322582</c:v>
                </c:pt>
                <c:pt idx="24">
                  <c:v>55.422967607277918</c:v>
                </c:pt>
                <c:pt idx="25">
                  <c:v>47.542610979142587</c:v>
                </c:pt>
                <c:pt idx="26">
                  <c:v>44.550700915805493</c:v>
                </c:pt>
                <c:pt idx="27">
                  <c:v>43.594739828473003</c:v>
                </c:pt>
                <c:pt idx="28">
                  <c:v>47.655870575001217</c:v>
                </c:pt>
                <c:pt idx="29">
                  <c:v>70.543547911111062</c:v>
                </c:pt>
                <c:pt idx="30">
                  <c:v>78.568319747758608</c:v>
                </c:pt>
                <c:pt idx="31">
                  <c:v>81.983351136401794</c:v>
                </c:pt>
                <c:pt idx="32">
                  <c:v>116.20022495544841</c:v>
                </c:pt>
                <c:pt idx="33">
                  <c:v>126.53039520323949</c:v>
                </c:pt>
                <c:pt idx="34">
                  <c:v>160.77058330102949</c:v>
                </c:pt>
                <c:pt idx="35">
                  <c:v>228.8621705579358</c:v>
                </c:pt>
                <c:pt idx="36">
                  <c:v>123.20125067917191</c:v>
                </c:pt>
                <c:pt idx="37">
                  <c:v>117.67077903546</c:v>
                </c:pt>
                <c:pt idx="38">
                  <c:v>191.50807173506701</c:v>
                </c:pt>
                <c:pt idx="39">
                  <c:v>145.70138715926041</c:v>
                </c:pt>
                <c:pt idx="40">
                  <c:v>149.4185612445558</c:v>
                </c:pt>
                <c:pt idx="41">
                  <c:v>194.71103409481981</c:v>
                </c:pt>
                <c:pt idx="42">
                  <c:v>239.3981525107354</c:v>
                </c:pt>
                <c:pt idx="43">
                  <c:v>419.79263722660602</c:v>
                </c:pt>
                <c:pt idx="44">
                  <c:v>310.70739927266709</c:v>
                </c:pt>
                <c:pt idx="45">
                  <c:v>125.6295598680838</c:v>
                </c:pt>
                <c:pt idx="46">
                  <c:v>131.7111886265582</c:v>
                </c:pt>
                <c:pt idx="47">
                  <c:v>282.82379374207261</c:v>
                </c:pt>
                <c:pt idx="48">
                  <c:v>138.52998868426329</c:v>
                </c:pt>
                <c:pt idx="49">
                  <c:v>109.87697572135031</c:v>
                </c:pt>
                <c:pt idx="50">
                  <c:v>93.774190940695377</c:v>
                </c:pt>
                <c:pt idx="51">
                  <c:v>76.25042822265543</c:v>
                </c:pt>
                <c:pt idx="52">
                  <c:v>50.543487760082613</c:v>
                </c:pt>
                <c:pt idx="53">
                  <c:v>74.888982776218057</c:v>
                </c:pt>
                <c:pt idx="54">
                  <c:v>52.095599438463452</c:v>
                </c:pt>
                <c:pt idx="55">
                  <c:v>74.180426039978187</c:v>
                </c:pt>
                <c:pt idx="56">
                  <c:v>68.116869623396937</c:v>
                </c:pt>
                <c:pt idx="57">
                  <c:v>50.539090519702853</c:v>
                </c:pt>
                <c:pt idx="58">
                  <c:v>90.680805562425178</c:v>
                </c:pt>
                <c:pt idx="59">
                  <c:v>63.455327688788032</c:v>
                </c:pt>
                <c:pt idx="60">
                  <c:v>78.571316441678306</c:v>
                </c:pt>
                <c:pt idx="61">
                  <c:v>59.479486768055089</c:v>
                </c:pt>
                <c:pt idx="62">
                  <c:v>51.269783241554933</c:v>
                </c:pt>
                <c:pt idx="63">
                  <c:v>49.383940562011212</c:v>
                </c:pt>
                <c:pt idx="64">
                  <c:v>35.894148271408874</c:v>
                </c:pt>
                <c:pt idx="65">
                  <c:v>47.037633727397647</c:v>
                </c:pt>
                <c:pt idx="66">
                  <c:v>42.521773223099522</c:v>
                </c:pt>
                <c:pt idx="67">
                  <c:v>52.17121747504909</c:v>
                </c:pt>
                <c:pt idx="68">
                  <c:v>45.647504626217007</c:v>
                </c:pt>
                <c:pt idx="69">
                  <c:v>58.441583787091993</c:v>
                </c:pt>
                <c:pt idx="70">
                  <c:v>97.582352616331917</c:v>
                </c:pt>
                <c:pt idx="71">
                  <c:v>92.073217693833982</c:v>
                </c:pt>
                <c:pt idx="72">
                  <c:v>111.1945655985155</c:v>
                </c:pt>
                <c:pt idx="73">
                  <c:v>105.41315973788279</c:v>
                </c:pt>
                <c:pt idx="74">
                  <c:v>57.84566339627056</c:v>
                </c:pt>
                <c:pt idx="75">
                  <c:v>45.844395770687349</c:v>
                </c:pt>
                <c:pt idx="76">
                  <c:v>40.065667394009381</c:v>
                </c:pt>
                <c:pt idx="77">
                  <c:v>33.493381965196598</c:v>
                </c:pt>
                <c:pt idx="78">
                  <c:v>61.32224821093979</c:v>
                </c:pt>
                <c:pt idx="79">
                  <c:v>47.755824567457559</c:v>
                </c:pt>
                <c:pt idx="80">
                  <c:v>49.429094996057238</c:v>
                </c:pt>
                <c:pt idx="81">
                  <c:v>74.266634537895257</c:v>
                </c:pt>
                <c:pt idx="82">
                  <c:v>95.564531802521344</c:v>
                </c:pt>
                <c:pt idx="83">
                  <c:v>80.958034242780258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09-FA41-B3F8-C741707D8535}"/>
            </c:ext>
          </c:extLst>
        </c:ser>
        <c:ser>
          <c:idx val="1"/>
          <c:order val="1"/>
          <c:tx>
            <c:strRef>
              <c:f>'Capture Price Inputs'!$I$1</c:f>
              <c:strCache>
                <c:ptCount val="1"/>
                <c:pt idx="0">
                  <c:v>DK2 Capture Price (EUR/MWh)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'Capture Price Inputs'!$I$2:$I$85</c:f>
              <c:numCache>
                <c:formatCode>General</c:formatCode>
                <c:ptCount val="84"/>
                <c:pt idx="12">
                  <c:v>29.86213642213642</c:v>
                </c:pt>
                <c:pt idx="13">
                  <c:v>23.555517829721889</c:v>
                </c:pt>
                <c:pt idx="14">
                  <c:v>17.149050692261021</c:v>
                </c:pt>
                <c:pt idx="15">
                  <c:v>13.252523128367081</c:v>
                </c:pt>
                <c:pt idx="16">
                  <c:v>18.594049382716051</c:v>
                </c:pt>
                <c:pt idx="17">
                  <c:v>35.21078005032583</c:v>
                </c:pt>
                <c:pt idx="18">
                  <c:v>26.450778046867001</c:v>
                </c:pt>
                <c:pt idx="19">
                  <c:v>44.113765015404859</c:v>
                </c:pt>
                <c:pt idx="20">
                  <c:v>41.853047880870562</c:v>
                </c:pt>
                <c:pt idx="21">
                  <c:v>33.600878372903331</c:v>
                </c:pt>
                <c:pt idx="22">
                  <c:v>37.749765625000002</c:v>
                </c:pt>
                <c:pt idx="23">
                  <c:v>44.191428571428567</c:v>
                </c:pt>
                <c:pt idx="24">
                  <c:v>57.072134410081453</c:v>
                </c:pt>
                <c:pt idx="25">
                  <c:v>52.285083654524577</c:v>
                </c:pt>
                <c:pt idx="26">
                  <c:v>47.422643011897812</c:v>
                </c:pt>
                <c:pt idx="27">
                  <c:v>45.901363748248833</c:v>
                </c:pt>
                <c:pt idx="28">
                  <c:v>50.258720231460799</c:v>
                </c:pt>
                <c:pt idx="29">
                  <c:v>69.469341653776226</c:v>
                </c:pt>
                <c:pt idx="30">
                  <c:v>77.933111551394319</c:v>
                </c:pt>
                <c:pt idx="31">
                  <c:v>84.512747690257029</c:v>
                </c:pt>
                <c:pt idx="32">
                  <c:v>118.7457227855615</c:v>
                </c:pt>
                <c:pt idx="33">
                  <c:v>122.3841235967906</c:v>
                </c:pt>
                <c:pt idx="34">
                  <c:v>153.62679427815749</c:v>
                </c:pt>
                <c:pt idx="35">
                  <c:v>244.48727859764409</c:v>
                </c:pt>
                <c:pt idx="36">
                  <c:v>129.67749023150819</c:v>
                </c:pt>
                <c:pt idx="37">
                  <c:v>108.80333899256409</c:v>
                </c:pt>
                <c:pt idx="38">
                  <c:v>186.0504424586062</c:v>
                </c:pt>
                <c:pt idx="39">
                  <c:v>143.53758886421849</c:v>
                </c:pt>
                <c:pt idx="40">
                  <c:v>146.25360234460331</c:v>
                </c:pt>
                <c:pt idx="41">
                  <c:v>192.2325905808319</c:v>
                </c:pt>
                <c:pt idx="42">
                  <c:v>212.3625858003895</c:v>
                </c:pt>
                <c:pt idx="43">
                  <c:v>397.17988485976059</c:v>
                </c:pt>
                <c:pt idx="44">
                  <c:v>315.92884279677901</c:v>
                </c:pt>
                <c:pt idx="45">
                  <c:v>120.1190076327392</c:v>
                </c:pt>
                <c:pt idx="46">
                  <c:v>134.0399027878758</c:v>
                </c:pt>
                <c:pt idx="47">
                  <c:v>303.26978481668573</c:v>
                </c:pt>
                <c:pt idx="48">
                  <c:v>120.8992864784306</c:v>
                </c:pt>
                <c:pt idx="49">
                  <c:v>103.112625406295</c:v>
                </c:pt>
                <c:pt idx="50">
                  <c:v>89.098468921641697</c:v>
                </c:pt>
                <c:pt idx="51">
                  <c:v>71.125099705594195</c:v>
                </c:pt>
                <c:pt idx="52">
                  <c:v>48.358083796456327</c:v>
                </c:pt>
                <c:pt idx="53">
                  <c:v>71.862090372222397</c:v>
                </c:pt>
                <c:pt idx="54">
                  <c:v>50.345966617092351</c:v>
                </c:pt>
                <c:pt idx="55">
                  <c:v>72.957992347987414</c:v>
                </c:pt>
                <c:pt idx="56">
                  <c:v>64.394484672464898</c:v>
                </c:pt>
                <c:pt idx="57">
                  <c:v>47.660255094286853</c:v>
                </c:pt>
                <c:pt idx="58">
                  <c:v>84.639978605265995</c:v>
                </c:pt>
                <c:pt idx="59">
                  <c:v>59.061746333079718</c:v>
                </c:pt>
                <c:pt idx="60">
                  <c:v>76.427202535219209</c:v>
                </c:pt>
                <c:pt idx="61">
                  <c:v>51.434379196547752</c:v>
                </c:pt>
                <c:pt idx="62">
                  <c:v>50.751163813053438</c:v>
                </c:pt>
                <c:pt idx="63">
                  <c:v>47.053967904827999</c:v>
                </c:pt>
                <c:pt idx="64">
                  <c:v>34.295794113692892</c:v>
                </c:pt>
                <c:pt idx="65">
                  <c:v>46.379384034583367</c:v>
                </c:pt>
                <c:pt idx="66">
                  <c:v>38.812821969471173</c:v>
                </c:pt>
                <c:pt idx="67">
                  <c:v>47.151863118292532</c:v>
                </c:pt>
                <c:pt idx="68">
                  <c:v>43.355946350842189</c:v>
                </c:pt>
                <c:pt idx="69">
                  <c:v>59.534937630286556</c:v>
                </c:pt>
                <c:pt idx="70">
                  <c:v>89.611277477917284</c:v>
                </c:pt>
                <c:pt idx="71">
                  <c:v>100.7961313991171</c:v>
                </c:pt>
                <c:pt idx="72">
                  <c:v>115.0822593270056</c:v>
                </c:pt>
                <c:pt idx="73">
                  <c:v>106.92318207316821</c:v>
                </c:pt>
                <c:pt idx="74">
                  <c:v>50.018062961268747</c:v>
                </c:pt>
                <c:pt idx="75">
                  <c:v>41.82584156307518</c:v>
                </c:pt>
                <c:pt idx="76">
                  <c:v>34.320660344591218</c:v>
                </c:pt>
                <c:pt idx="77">
                  <c:v>24.31568572006325</c:v>
                </c:pt>
                <c:pt idx="78">
                  <c:v>59.766943882147693</c:v>
                </c:pt>
                <c:pt idx="79">
                  <c:v>43.064604783544858</c:v>
                </c:pt>
                <c:pt idx="80">
                  <c:v>52.949405153808357</c:v>
                </c:pt>
                <c:pt idx="81">
                  <c:v>78.645730322406678</c:v>
                </c:pt>
                <c:pt idx="82">
                  <c:v>92.690454871532665</c:v>
                </c:pt>
                <c:pt idx="83">
                  <c:v>79.631228022083661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09-FA41-B3F8-C741707D85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Capture Price Ratio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Inputs'!$J$1</c:f>
              <c:strCache>
                <c:ptCount val="1"/>
                <c:pt idx="0">
                  <c:v>DK1 CPR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Inputs'!$J$2:$J$85</c:f>
              <c:numCache>
                <c:formatCode>General</c:formatCode>
                <c:ptCount val="84"/>
                <c:pt idx="12">
                  <c:v>1.0091486594474419</c:v>
                </c:pt>
                <c:pt idx="13">
                  <c:v>1.2985911686950511</c:v>
                </c:pt>
                <c:pt idx="14">
                  <c:v>0.8710146939215303</c:v>
                </c:pt>
                <c:pt idx="15">
                  <c:v>0.71315772558819213</c:v>
                </c:pt>
                <c:pt idx="16">
                  <c:v>0.96415576931205649</c:v>
                </c:pt>
                <c:pt idx="17">
                  <c:v>1.0394664137310941</c:v>
                </c:pt>
                <c:pt idx="18">
                  <c:v>1.0086181556608309</c:v>
                </c:pt>
                <c:pt idx="19">
                  <c:v>0.98082264407500741</c:v>
                </c:pt>
                <c:pt idx="20">
                  <c:v>1.0104044869130051</c:v>
                </c:pt>
                <c:pt idx="21">
                  <c:v>1.236802226812374</c:v>
                </c:pt>
                <c:pt idx="22">
                  <c:v>1.094777917215692</c:v>
                </c:pt>
                <c:pt idx="23">
                  <c:v>1.0082301641826621</c:v>
                </c:pt>
                <c:pt idx="24">
                  <c:v>1.103930861568265</c:v>
                </c:pt>
                <c:pt idx="25">
                  <c:v>1.0059479277054251</c:v>
                </c:pt>
                <c:pt idx="26">
                  <c:v>0.9871758725122356</c:v>
                </c:pt>
                <c:pt idx="27">
                  <c:v>0.90884647456650169</c:v>
                </c:pt>
                <c:pt idx="28">
                  <c:v>0.87751805187154364</c:v>
                </c:pt>
                <c:pt idx="29">
                  <c:v>0.95691427953473174</c:v>
                </c:pt>
                <c:pt idx="30">
                  <c:v>0.98211323715969778</c:v>
                </c:pt>
                <c:pt idx="31">
                  <c:v>0.99027147802450566</c:v>
                </c:pt>
                <c:pt idx="32">
                  <c:v>0.92690440483613579</c:v>
                </c:pt>
                <c:pt idx="33">
                  <c:v>1.0810885074134391</c:v>
                </c:pt>
                <c:pt idx="34">
                  <c:v>1.1338034085044659</c:v>
                </c:pt>
                <c:pt idx="35">
                  <c:v>1.2086769624549281</c:v>
                </c:pt>
                <c:pt idx="36">
                  <c:v>1.0441257304277269</c:v>
                </c:pt>
                <c:pt idx="37">
                  <c:v>1.04022281700981</c:v>
                </c:pt>
                <c:pt idx="38">
                  <c:v>0.81207759044207406</c:v>
                </c:pt>
                <c:pt idx="39">
                  <c:v>0.89039133384678326</c:v>
                </c:pt>
                <c:pt idx="40">
                  <c:v>0.86943016050498578</c:v>
                </c:pt>
                <c:pt idx="41">
                  <c:v>0.90803902012341908</c:v>
                </c:pt>
                <c:pt idx="42">
                  <c:v>0.87041791592949547</c:v>
                </c:pt>
                <c:pt idx="43">
                  <c:v>0.91908553046700026</c:v>
                </c:pt>
                <c:pt idx="44">
                  <c:v>0.90632901805683119</c:v>
                </c:pt>
                <c:pt idx="45">
                  <c:v>0.91612325253961768</c:v>
                </c:pt>
                <c:pt idx="46">
                  <c:v>0.94278612074660006</c:v>
                </c:pt>
                <c:pt idx="47">
                  <c:v>1.132810339248927</c:v>
                </c:pt>
                <c:pt idx="48">
                  <c:v>1.2309198691226539</c:v>
                </c:pt>
                <c:pt idx="49">
                  <c:v>0.93008781340266</c:v>
                </c:pt>
                <c:pt idx="50">
                  <c:v>0.94612539759598957</c:v>
                </c:pt>
                <c:pt idx="51">
                  <c:v>0.79203966120386338</c:v>
                </c:pt>
                <c:pt idx="52">
                  <c:v>0.68333610561519953</c:v>
                </c:pt>
                <c:pt idx="53">
                  <c:v>0.80965062086215667</c:v>
                </c:pt>
                <c:pt idx="54">
                  <c:v>0.80380421953260928</c:v>
                </c:pt>
                <c:pt idx="55">
                  <c:v>0.86289309777204071</c:v>
                </c:pt>
                <c:pt idx="56">
                  <c:v>0.8038389922187259</c:v>
                </c:pt>
                <c:pt idx="57">
                  <c:v>0.84083605560542263</c:v>
                </c:pt>
                <c:pt idx="58">
                  <c:v>1.028656893611996</c:v>
                </c:pt>
                <c:pt idx="59">
                  <c:v>0.91325607762876626</c:v>
                </c:pt>
                <c:pt idx="60">
                  <c:v>1.051614630458469</c:v>
                </c:pt>
                <c:pt idx="61">
                  <c:v>1.0144208291794441</c:v>
                </c:pt>
                <c:pt idx="62">
                  <c:v>0.8373818542217274</c:v>
                </c:pt>
                <c:pt idx="63">
                  <c:v>0.83468460161643787</c:v>
                </c:pt>
                <c:pt idx="64">
                  <c:v>0.61339845366508694</c:v>
                </c:pt>
                <c:pt idx="65">
                  <c:v>0.73781003223868646</c:v>
                </c:pt>
                <c:pt idx="66">
                  <c:v>0.68549949487061801</c:v>
                </c:pt>
                <c:pt idx="67">
                  <c:v>0.71512676219349525</c:v>
                </c:pt>
                <c:pt idx="68">
                  <c:v>0.63652522303957304</c:v>
                </c:pt>
                <c:pt idx="69">
                  <c:v>0.76175188075929667</c:v>
                </c:pt>
                <c:pt idx="70">
                  <c:v>1.0174940038611719</c:v>
                </c:pt>
                <c:pt idx="71">
                  <c:v>1.0025674160411211</c:v>
                </c:pt>
                <c:pt idx="72">
                  <c:v>1.135032584901597</c:v>
                </c:pt>
                <c:pt idx="73">
                  <c:v>0.93411665141872979</c:v>
                </c:pt>
                <c:pt idx="74">
                  <c:v>0.68579081688022481</c:v>
                </c:pt>
                <c:pt idx="75">
                  <c:v>0.60995353561832499</c:v>
                </c:pt>
                <c:pt idx="76">
                  <c:v>0.62375117423189408</c:v>
                </c:pt>
                <c:pt idx="77">
                  <c:v>0.56976432128633303</c:v>
                </c:pt>
                <c:pt idx="78">
                  <c:v>0.74058967108380014</c:v>
                </c:pt>
                <c:pt idx="79">
                  <c:v>0.64997112344594554</c:v>
                </c:pt>
                <c:pt idx="80">
                  <c:v>0.68273474898658593</c:v>
                </c:pt>
                <c:pt idx="81">
                  <c:v>0.94701517193480578</c:v>
                </c:pt>
                <c:pt idx="82">
                  <c:v>1.0289764309560969</c:v>
                </c:pt>
                <c:pt idx="83">
                  <c:v>0.98205388617926037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BE3-FB43-B8D1-130C0B94D495}"/>
            </c:ext>
          </c:extLst>
        </c:ser>
        <c:ser>
          <c:idx val="1"/>
          <c:order val="1"/>
          <c:tx>
            <c:strRef>
              <c:f>'Capture Price Inputs'!$K$1</c:f>
              <c:strCache>
                <c:ptCount val="1"/>
                <c:pt idx="0">
                  <c:v>DK2 CPR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'Capture Price Inputs'!$K$2:$K$85</c:f>
              <c:numCache>
                <c:formatCode>General</c:formatCode>
                <c:ptCount val="84"/>
                <c:pt idx="12">
                  <c:v>1.090446324793763</c:v>
                </c:pt>
                <c:pt idx="13">
                  <c:v>1.251821301318464</c:v>
                </c:pt>
                <c:pt idx="14">
                  <c:v>0.85520775851277109</c:v>
                </c:pt>
                <c:pt idx="15">
                  <c:v>0.76362023547871605</c:v>
                </c:pt>
                <c:pt idx="16">
                  <c:v>0.97636938233545278</c:v>
                </c:pt>
                <c:pt idx="17">
                  <c:v>1.180647007173951</c:v>
                </c:pt>
                <c:pt idx="18">
                  <c:v>1.021791049952987</c:v>
                </c:pt>
                <c:pt idx="19">
                  <c:v>1.077948442472481</c:v>
                </c:pt>
                <c:pt idx="20">
                  <c:v>1.0591890923358069</c:v>
                </c:pt>
                <c:pt idx="21">
                  <c:v>1.247549053102559</c:v>
                </c:pt>
                <c:pt idx="22">
                  <c:v>1.057080411727209</c:v>
                </c:pt>
                <c:pt idx="23">
                  <c:v>1.125691191699302</c:v>
                </c:pt>
                <c:pt idx="24">
                  <c:v>1.122164979814525</c:v>
                </c:pt>
                <c:pt idx="25">
                  <c:v>0.9585139857498034</c:v>
                </c:pt>
                <c:pt idx="26">
                  <c:v>1.0147741726503949</c:v>
                </c:pt>
                <c:pt idx="27">
                  <c:v>0.95901643664766134</c:v>
                </c:pt>
                <c:pt idx="28">
                  <c:v>0.91033887361171206</c:v>
                </c:pt>
                <c:pt idx="29">
                  <c:v>0.94404491874816343</c:v>
                </c:pt>
                <c:pt idx="30">
                  <c:v>0.95692856904650769</c:v>
                </c:pt>
                <c:pt idx="31">
                  <c:v>1.001768528067071</c:v>
                </c:pt>
                <c:pt idx="32">
                  <c:v>0.95838336990944806</c:v>
                </c:pt>
                <c:pt idx="33">
                  <c:v>1.1445012658471321</c:v>
                </c:pt>
                <c:pt idx="34">
                  <c:v>1.1264608571418011</c:v>
                </c:pt>
                <c:pt idx="35">
                  <c:v>1.279578427053047</c:v>
                </c:pt>
                <c:pt idx="36">
                  <c:v>1.1617546523412821</c:v>
                </c:pt>
                <c:pt idx="37">
                  <c:v>1.084871924613185</c:v>
                </c:pt>
                <c:pt idx="38">
                  <c:v>0.81629582758371144</c:v>
                </c:pt>
                <c:pt idx="39">
                  <c:v>0.93918048773921026</c:v>
                </c:pt>
                <c:pt idx="40">
                  <c:v>0.89914563143311954</c:v>
                </c:pt>
                <c:pt idx="41">
                  <c:v>0.90151367457475784</c:v>
                </c:pt>
                <c:pt idx="42">
                  <c:v>0.90956244496775596</c:v>
                </c:pt>
                <c:pt idx="43">
                  <c:v>0.8830756108422062</c:v>
                </c:pt>
                <c:pt idx="44">
                  <c:v>0.96085369829588263</c:v>
                </c:pt>
                <c:pt idx="45">
                  <c:v>0.87743541957368609</c:v>
                </c:pt>
                <c:pt idx="46">
                  <c:v>0.92404474391789948</c:v>
                </c:pt>
                <c:pt idx="47">
                  <c:v>1.2185280560697289</c:v>
                </c:pt>
                <c:pt idx="48">
                  <c:v>1.2118663236304299</c:v>
                </c:pt>
                <c:pt idx="49">
                  <c:v>1.0244781228159621</c:v>
                </c:pt>
                <c:pt idx="50">
                  <c:v>0.99223631219701203</c:v>
                </c:pt>
                <c:pt idx="51">
                  <c:v>0.85025873478203906</c:v>
                </c:pt>
                <c:pt idx="52">
                  <c:v>0.73101748270540212</c:v>
                </c:pt>
                <c:pt idx="53">
                  <c:v>0.78603819917365525</c:v>
                </c:pt>
                <c:pt idx="54">
                  <c:v>0.77170348712471282</c:v>
                </c:pt>
                <c:pt idx="55">
                  <c:v>0.84546104105698361</c:v>
                </c:pt>
                <c:pt idx="56">
                  <c:v>0.75329173308453345</c:v>
                </c:pt>
                <c:pt idx="57">
                  <c:v>0.83723449033464103</c:v>
                </c:pt>
                <c:pt idx="58">
                  <c:v>1.038705241708771</c:v>
                </c:pt>
                <c:pt idx="59">
                  <c:v>0.83326707575628478</c:v>
                </c:pt>
                <c:pt idx="60">
                  <c:v>0.97714487510792902</c:v>
                </c:pt>
                <c:pt idx="61">
                  <c:v>0.93991726033346112</c:v>
                </c:pt>
                <c:pt idx="62">
                  <c:v>0.8314293202728863</c:v>
                </c:pt>
                <c:pt idx="63">
                  <c:v>0.77805107456374178</c:v>
                </c:pt>
                <c:pt idx="64">
                  <c:v>0.59005563427075769</c:v>
                </c:pt>
                <c:pt idx="65">
                  <c:v>0.69439585691141426</c:v>
                </c:pt>
                <c:pt idx="66">
                  <c:v>0.61762838453946423</c:v>
                </c:pt>
                <c:pt idx="67">
                  <c:v>0.64934714792296455</c:v>
                </c:pt>
                <c:pt idx="68">
                  <c:v>0.61574801135475132</c:v>
                </c:pt>
                <c:pt idx="69">
                  <c:v>0.78000735067931948</c:v>
                </c:pt>
                <c:pt idx="70">
                  <c:v>0.94047799551015088</c:v>
                </c:pt>
                <c:pt idx="71">
                  <c:v>1.0870067185479459</c:v>
                </c:pt>
                <c:pt idx="72">
                  <c:v>1.1494003648079021</c:v>
                </c:pt>
                <c:pt idx="73">
                  <c:v>0.90662384271333907</c:v>
                </c:pt>
                <c:pt idx="74">
                  <c:v>0.60374116471580297</c:v>
                </c:pt>
                <c:pt idx="75">
                  <c:v>0.55174367988103734</c:v>
                </c:pt>
                <c:pt idx="76">
                  <c:v>0.54405946330729504</c:v>
                </c:pt>
                <c:pt idx="77">
                  <c:v>0.4307606652121766</c:v>
                </c:pt>
                <c:pt idx="78">
                  <c:v>0.74746341861966192</c:v>
                </c:pt>
                <c:pt idx="79">
                  <c:v>0.57178942343359873</c:v>
                </c:pt>
                <c:pt idx="80">
                  <c:v>0.63573160083367797</c:v>
                </c:pt>
                <c:pt idx="81">
                  <c:v>0.95480840081563045</c:v>
                </c:pt>
                <c:pt idx="82">
                  <c:v>0.98927251294969987</c:v>
                </c:pt>
                <c:pt idx="83">
                  <c:v>0.97014796253594149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BE3-FB43-B8D1-130C0B94D4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CPR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Solar Penetration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Inputs'!$F$1</c:f>
              <c:strCache>
                <c:ptCount val="1"/>
                <c:pt idx="0">
                  <c:v>DK1 Solar Penetration (%) — Primary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'Capture Price Inputs'!$F$2:$F$85</c:f>
              <c:numCache>
                <c:formatCode>General</c:formatCode>
                <c:ptCount val="84"/>
                <c:pt idx="12">
                  <c:v>2.2644478926294831E-3</c:v>
                </c:pt>
                <c:pt idx="13">
                  <c:v>5.2474520244822449E-3</c:v>
                </c:pt>
                <c:pt idx="14">
                  <c:v>2.020167759412729E-2</c:v>
                </c:pt>
                <c:pt idx="15">
                  <c:v>3.2427989612304697E-2</c:v>
                </c:pt>
                <c:pt idx="16">
                  <c:v>3.6080087237903569E-2</c:v>
                </c:pt>
                <c:pt idx="17">
                  <c:v>3.7413618831640891E-2</c:v>
                </c:pt>
                <c:pt idx="18">
                  <c:v>3.3998433859503921E-2</c:v>
                </c:pt>
                <c:pt idx="19">
                  <c:v>3.4224763142537661E-2</c:v>
                </c:pt>
                <c:pt idx="20">
                  <c:v>2.4330151939157239E-2</c:v>
                </c:pt>
                <c:pt idx="21">
                  <c:v>1.1490387549446779E-2</c:v>
                </c:pt>
                <c:pt idx="22">
                  <c:v>1.521101274151999E-4</c:v>
                </c:pt>
                <c:pt idx="23">
                  <c:v>1.472410662127807E-5</c:v>
                </c:pt>
                <c:pt idx="24">
                  <c:v>3.6313559990350909E-3</c:v>
                </c:pt>
                <c:pt idx="25">
                  <c:v>1.0868941718057299E-2</c:v>
                </c:pt>
                <c:pt idx="26">
                  <c:v>2.2382303907371628E-2</c:v>
                </c:pt>
                <c:pt idx="27">
                  <c:v>4.212837115783985E-2</c:v>
                </c:pt>
                <c:pt idx="28">
                  <c:v>3.3075052211960353E-2</c:v>
                </c:pt>
                <c:pt idx="29">
                  <c:v>4.9841661821819518E-2</c:v>
                </c:pt>
                <c:pt idx="30">
                  <c:v>4.85715434854639E-2</c:v>
                </c:pt>
                <c:pt idx="31">
                  <c:v>3.8876947944708702E-2</c:v>
                </c:pt>
                <c:pt idx="32">
                  <c:v>2.5932850179436289E-2</c:v>
                </c:pt>
                <c:pt idx="33">
                  <c:v>1.7460096431489061E-2</c:v>
                </c:pt>
                <c:pt idx="34">
                  <c:v>7.0293060058135041E-3</c:v>
                </c:pt>
                <c:pt idx="35">
                  <c:v>3.243365391886713E-3</c:v>
                </c:pt>
                <c:pt idx="36">
                  <c:v>6.6753155472480874E-3</c:v>
                </c:pt>
                <c:pt idx="37">
                  <c:v>1.7399571233002901E-2</c:v>
                </c:pt>
                <c:pt idx="38">
                  <c:v>6.1955070586442867E-2</c:v>
                </c:pt>
                <c:pt idx="39">
                  <c:v>8.404056603836467E-2</c:v>
                </c:pt>
                <c:pt idx="40">
                  <c:v>9.6876891420316108E-2</c:v>
                </c:pt>
                <c:pt idx="41">
                  <c:v>9.4962020744311482E-2</c:v>
                </c:pt>
                <c:pt idx="42">
                  <c:v>9.963556652585577E-2</c:v>
                </c:pt>
                <c:pt idx="43">
                  <c:v>8.9626978325266782E-2</c:v>
                </c:pt>
                <c:pt idx="44">
                  <c:v>6.6046498591704736E-2</c:v>
                </c:pt>
                <c:pt idx="45">
                  <c:v>3.7469414477654707E-2</c:v>
                </c:pt>
                <c:pt idx="46">
                  <c:v>1.046932675470221E-2</c:v>
                </c:pt>
                <c:pt idx="47">
                  <c:v>6.2291646451968653E-3</c:v>
                </c:pt>
                <c:pt idx="48">
                  <c:v>1.2460694276862919E-2</c:v>
                </c:pt>
                <c:pt idx="49">
                  <c:v>3.4376404191763639E-2</c:v>
                </c:pt>
                <c:pt idx="50">
                  <c:v>5.6477968577058592E-2</c:v>
                </c:pt>
                <c:pt idx="51">
                  <c:v>0.1509467292684683</c:v>
                </c:pt>
                <c:pt idx="52">
                  <c:v>0.18600333743842001</c:v>
                </c:pt>
                <c:pt idx="53">
                  <c:v>0.21892573712946101</c:v>
                </c:pt>
                <c:pt idx="54">
                  <c:v>0.18929524056345021</c:v>
                </c:pt>
                <c:pt idx="55">
                  <c:v>0.1493297980639493</c:v>
                </c:pt>
                <c:pt idx="56">
                  <c:v>0.13191654386548721</c:v>
                </c:pt>
                <c:pt idx="57">
                  <c:v>4.2864886456730103E-2</c:v>
                </c:pt>
                <c:pt idx="58">
                  <c:v>1.6003493537152379E-2</c:v>
                </c:pt>
                <c:pt idx="59">
                  <c:v>6.3905046726965339E-3</c:v>
                </c:pt>
                <c:pt idx="60">
                  <c:v>1.3417186050607519E-2</c:v>
                </c:pt>
                <c:pt idx="61">
                  <c:v>2.6436223837926501E-2</c:v>
                </c:pt>
                <c:pt idx="62">
                  <c:v>6.6233973400350477E-2</c:v>
                </c:pt>
                <c:pt idx="63">
                  <c:v>0.1084169878649764</c:v>
                </c:pt>
                <c:pt idx="64">
                  <c:v>0.18887031649880051</c:v>
                </c:pt>
                <c:pt idx="65">
                  <c:v>0.1715230569234828</c:v>
                </c:pt>
                <c:pt idx="66">
                  <c:v>0.1809062055635286</c:v>
                </c:pt>
                <c:pt idx="67">
                  <c:v>0.15512153111725799</c:v>
                </c:pt>
                <c:pt idx="68">
                  <c:v>0.1275567235314205</c:v>
                </c:pt>
                <c:pt idx="69">
                  <c:v>6.2873767847415107E-2</c:v>
                </c:pt>
                <c:pt idx="70">
                  <c:v>1.780902737610289E-2</c:v>
                </c:pt>
                <c:pt idx="71">
                  <c:v>6.7857975683456679E-3</c:v>
                </c:pt>
                <c:pt idx="72">
                  <c:v>1.366055484422285E-2</c:v>
                </c:pt>
                <c:pt idx="73">
                  <c:v>4.3419934817177687E-2</c:v>
                </c:pt>
                <c:pt idx="74">
                  <c:v>0.1120694547038418</c:v>
                </c:pt>
                <c:pt idx="75">
                  <c:v>0.14827548756052711</c:v>
                </c:pt>
                <c:pt idx="76">
                  <c:v>0.19244468175967161</c:v>
                </c:pt>
                <c:pt idx="77">
                  <c:v>0.18784829238523279</c:v>
                </c:pt>
                <c:pt idx="78">
                  <c:v>0.21828188848241209</c:v>
                </c:pt>
                <c:pt idx="79">
                  <c:v>0.19011684012808119</c:v>
                </c:pt>
                <c:pt idx="80">
                  <c:v>0.13816152724517919</c:v>
                </c:pt>
                <c:pt idx="81">
                  <c:v>6.9462071202051626E-2</c:v>
                </c:pt>
                <c:pt idx="82">
                  <c:v>2.6604970402147529E-2</c:v>
                </c:pt>
                <c:pt idx="83">
                  <c:v>1.40253486520015E-2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3AE-5B4D-A03A-9C5BAA87061D}"/>
            </c:ext>
          </c:extLst>
        </c:ser>
        <c:ser>
          <c:idx val="1"/>
          <c:order val="1"/>
          <c:tx>
            <c:strRef>
              <c:f>'Capture Price Inputs'!$G$1</c:f>
              <c:strCache>
                <c:ptCount val="1"/>
                <c:pt idx="0">
                  <c:v>DK2 Solar Penetration (%) — Robustness</c:v>
                </c:pt>
              </c:strCache>
            </c:strRef>
          </c:tx>
          <c:spPr>
            <a:ln>
              <a:solidFill>
                <a:srgbClr val="FFD700"/>
              </a:solidFill>
              <a:prstDash val="solid"/>
            </a:ln>
          </c:spPr>
          <c:marker>
            <c:symbol val="none"/>
          </c:marker>
          <c:val>
            <c:numRef>
              <c:f>'Capture Price Inputs'!$G$2:$G$85</c:f>
              <c:numCache>
                <c:formatCode>General</c:formatCode>
                <c:ptCount val="84"/>
                <c:pt idx="12">
                  <c:v>1.864323044087839E-3</c:v>
                </c:pt>
                <c:pt idx="13">
                  <c:v>4.9613393448072352E-3</c:v>
                </c:pt>
                <c:pt idx="14">
                  <c:v>1.532033335337761E-2</c:v>
                </c:pt>
                <c:pt idx="15">
                  <c:v>2.6180595134545931E-2</c:v>
                </c:pt>
                <c:pt idx="16">
                  <c:v>3.2240930774166239E-2</c:v>
                </c:pt>
                <c:pt idx="17">
                  <c:v>3.0651812088155841E-2</c:v>
                </c:pt>
                <c:pt idx="18">
                  <c:v>2.998206800974695E-2</c:v>
                </c:pt>
                <c:pt idx="19">
                  <c:v>2.8034713414307081E-2</c:v>
                </c:pt>
                <c:pt idx="20">
                  <c:v>2.1736479101595249E-2</c:v>
                </c:pt>
                <c:pt idx="21">
                  <c:v>1.107911770574695E-2</c:v>
                </c:pt>
                <c:pt idx="22">
                  <c:v>1.1044611578332841E-4</c:v>
                </c:pt>
                <c:pt idx="23">
                  <c:v>5.6352433584062588E-6</c:v>
                </c:pt>
                <c:pt idx="24">
                  <c:v>3.104474131982996E-3</c:v>
                </c:pt>
                <c:pt idx="25">
                  <c:v>9.2483369487723587E-3</c:v>
                </c:pt>
                <c:pt idx="26">
                  <c:v>1.8474517045212829E-2</c:v>
                </c:pt>
                <c:pt idx="27">
                  <c:v>3.2694407483312787E-2</c:v>
                </c:pt>
                <c:pt idx="28">
                  <c:v>3.2945829294540187E-2</c:v>
                </c:pt>
                <c:pt idx="29">
                  <c:v>4.4480133140056069E-2</c:v>
                </c:pt>
                <c:pt idx="30">
                  <c:v>3.7049542537302173E-2</c:v>
                </c:pt>
                <c:pt idx="31">
                  <c:v>3.1857768834261987E-2</c:v>
                </c:pt>
                <c:pt idx="32">
                  <c:v>2.23981137027396E-2</c:v>
                </c:pt>
                <c:pt idx="33">
                  <c:v>1.267326343754744E-2</c:v>
                </c:pt>
                <c:pt idx="34">
                  <c:v>4.0132810857910267E-3</c:v>
                </c:pt>
                <c:pt idx="35">
                  <c:v>1.8226295838260991E-3</c:v>
                </c:pt>
                <c:pt idx="36">
                  <c:v>4.939556742877535E-3</c:v>
                </c:pt>
                <c:pt idx="37">
                  <c:v>1.3248485586698279E-2</c:v>
                </c:pt>
                <c:pt idx="38">
                  <c:v>3.4089330349121053E-2</c:v>
                </c:pt>
                <c:pt idx="39">
                  <c:v>5.5254436099578648E-2</c:v>
                </c:pt>
                <c:pt idx="40">
                  <c:v>6.5811459960859395E-2</c:v>
                </c:pt>
                <c:pt idx="41">
                  <c:v>6.4528229045867816E-2</c:v>
                </c:pt>
                <c:pt idx="42">
                  <c:v>6.7025803801952916E-2</c:v>
                </c:pt>
                <c:pt idx="43">
                  <c:v>6.1299924397195817E-2</c:v>
                </c:pt>
                <c:pt idx="44">
                  <c:v>4.5784276103507021E-2</c:v>
                </c:pt>
                <c:pt idx="45">
                  <c:v>2.9809058027035401E-2</c:v>
                </c:pt>
                <c:pt idx="46">
                  <c:v>7.8652952619005494E-3</c:v>
                </c:pt>
                <c:pt idx="47">
                  <c:v>4.5323555529735481E-3</c:v>
                </c:pt>
                <c:pt idx="48">
                  <c:v>5.8626527231366082E-3</c:v>
                </c:pt>
                <c:pt idx="49">
                  <c:v>1.8877648418373551E-2</c:v>
                </c:pt>
                <c:pt idx="50">
                  <c:v>3.7096229392005707E-2</c:v>
                </c:pt>
                <c:pt idx="51">
                  <c:v>8.0269966033824955E-2</c:v>
                </c:pt>
                <c:pt idx="52">
                  <c:v>0.1080032082802261</c:v>
                </c:pt>
                <c:pt idx="53">
                  <c:v>0.1144244665352921</c:v>
                </c:pt>
                <c:pt idx="54">
                  <c:v>0.10203074507159759</c:v>
                </c:pt>
                <c:pt idx="55">
                  <c:v>7.7931010532967707E-2</c:v>
                </c:pt>
                <c:pt idx="56">
                  <c:v>8.0909954639318743E-2</c:v>
                </c:pt>
                <c:pt idx="57">
                  <c:v>2.9172340215594381E-2</c:v>
                </c:pt>
                <c:pt idx="58">
                  <c:v>1.04098691216888E-2</c:v>
                </c:pt>
                <c:pt idx="59">
                  <c:v>3.809030164374855E-3</c:v>
                </c:pt>
                <c:pt idx="60">
                  <c:v>6.1781830729755079E-3</c:v>
                </c:pt>
                <c:pt idx="61">
                  <c:v>1.667231366864759E-2</c:v>
                </c:pt>
                <c:pt idx="62">
                  <c:v>4.1112806367337662E-2</c:v>
                </c:pt>
                <c:pt idx="63">
                  <c:v>6.5123378744806448E-2</c:v>
                </c:pt>
                <c:pt idx="64">
                  <c:v>0.106315341440858</c:v>
                </c:pt>
                <c:pt idx="65">
                  <c:v>0.1072729076610999</c:v>
                </c:pt>
                <c:pt idx="66">
                  <c:v>0.1057942634887733</c:v>
                </c:pt>
                <c:pt idx="67">
                  <c:v>9.3690832268705199E-2</c:v>
                </c:pt>
                <c:pt idx="68">
                  <c:v>7.2463202820400169E-2</c:v>
                </c:pt>
                <c:pt idx="69">
                  <c:v>3.6145253892379881E-2</c:v>
                </c:pt>
                <c:pt idx="70">
                  <c:v>8.6028414054236078E-3</c:v>
                </c:pt>
                <c:pt idx="71">
                  <c:v>4.1714684657767577E-3</c:v>
                </c:pt>
                <c:pt idx="72">
                  <c:v>7.223240212576967E-3</c:v>
                </c:pt>
                <c:pt idx="73">
                  <c:v>2.010831138567791E-2</c:v>
                </c:pt>
                <c:pt idx="74">
                  <c:v>4.6547866447452589E-2</c:v>
                </c:pt>
                <c:pt idx="75">
                  <c:v>7.1689783649061992E-2</c:v>
                </c:pt>
                <c:pt idx="76">
                  <c:v>9.4714127256233946E-2</c:v>
                </c:pt>
                <c:pt idx="77">
                  <c:v>9.9826250015510765E-2</c:v>
                </c:pt>
                <c:pt idx="78">
                  <c:v>9.3996419418699143E-2</c:v>
                </c:pt>
                <c:pt idx="79">
                  <c:v>0.1057378118957395</c:v>
                </c:pt>
                <c:pt idx="80">
                  <c:v>9.0628879686523764E-2</c:v>
                </c:pt>
                <c:pt idx="81">
                  <c:v>3.9573125678626628E-2</c:v>
                </c:pt>
                <c:pt idx="82">
                  <c:v>1.454364344794783E-2</c:v>
                </c:pt>
                <c:pt idx="83">
                  <c:v>9.0694911608833299E-3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3AE-5B4D-A03A-9C5BAA8706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Solar Penetration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Capture Price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Inputs'!$H$1</c:f>
              <c:strCache>
                <c:ptCount val="1"/>
                <c:pt idx="0">
                  <c:v>DK1 Capture Price (EUR/MWh)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Inputs'!$H$2:$H$85</c:f>
              <c:numCache>
                <c:formatCode>General</c:formatCode>
                <c:ptCount val="84"/>
                <c:pt idx="12">
                  <c:v>25.22320957280251</c:v>
                </c:pt>
                <c:pt idx="13">
                  <c:v>22.83581899109792</c:v>
                </c:pt>
                <c:pt idx="14">
                  <c:v>15.94107348554973</c:v>
                </c:pt>
                <c:pt idx="15">
                  <c:v>10.36487590420421</c:v>
                </c:pt>
                <c:pt idx="16">
                  <c:v>15.478548945086001</c:v>
                </c:pt>
                <c:pt idx="17">
                  <c:v>27.313308227868689</c:v>
                </c:pt>
                <c:pt idx="18">
                  <c:v>24.831745178109159</c:v>
                </c:pt>
                <c:pt idx="19">
                  <c:v>33.876915422047851</c:v>
                </c:pt>
                <c:pt idx="20">
                  <c:v>38.935979003379593</c:v>
                </c:pt>
                <c:pt idx="21">
                  <c:v>31.927741533059191</c:v>
                </c:pt>
                <c:pt idx="22">
                  <c:v>26.005993265993261</c:v>
                </c:pt>
                <c:pt idx="23">
                  <c:v>34.795161290322582</c:v>
                </c:pt>
                <c:pt idx="24">
                  <c:v>55.422967607277918</c:v>
                </c:pt>
                <c:pt idx="25">
                  <c:v>47.542610979142587</c:v>
                </c:pt>
                <c:pt idx="26">
                  <c:v>44.550700915805493</c:v>
                </c:pt>
                <c:pt idx="27">
                  <c:v>43.594739828473003</c:v>
                </c:pt>
                <c:pt idx="28">
                  <c:v>47.655870575001217</c:v>
                </c:pt>
                <c:pt idx="29">
                  <c:v>70.543547911111062</c:v>
                </c:pt>
                <c:pt idx="30">
                  <c:v>78.568319747758608</c:v>
                </c:pt>
                <c:pt idx="31">
                  <c:v>81.983351136401794</c:v>
                </c:pt>
                <c:pt idx="32">
                  <c:v>116.20022495544841</c:v>
                </c:pt>
                <c:pt idx="33">
                  <c:v>126.53039520323949</c:v>
                </c:pt>
                <c:pt idx="34">
                  <c:v>160.77058330102949</c:v>
                </c:pt>
                <c:pt idx="35">
                  <c:v>228.8621705579358</c:v>
                </c:pt>
                <c:pt idx="36">
                  <c:v>123.20125067917191</c:v>
                </c:pt>
                <c:pt idx="37">
                  <c:v>117.67077903546</c:v>
                </c:pt>
                <c:pt idx="38">
                  <c:v>191.50807173506701</c:v>
                </c:pt>
                <c:pt idx="39">
                  <c:v>145.70138715926041</c:v>
                </c:pt>
                <c:pt idx="40">
                  <c:v>149.4185612445558</c:v>
                </c:pt>
                <c:pt idx="41">
                  <c:v>194.71103409481981</c:v>
                </c:pt>
                <c:pt idx="42">
                  <c:v>239.3981525107354</c:v>
                </c:pt>
                <c:pt idx="43">
                  <c:v>419.79263722660602</c:v>
                </c:pt>
                <c:pt idx="44">
                  <c:v>310.70739927266709</c:v>
                </c:pt>
                <c:pt idx="45">
                  <c:v>125.6295598680838</c:v>
                </c:pt>
                <c:pt idx="46">
                  <c:v>131.7111886265582</c:v>
                </c:pt>
                <c:pt idx="47">
                  <c:v>282.82379374207261</c:v>
                </c:pt>
                <c:pt idx="48">
                  <c:v>138.52998868426329</c:v>
                </c:pt>
                <c:pt idx="49">
                  <c:v>109.87697572135031</c:v>
                </c:pt>
                <c:pt idx="50">
                  <c:v>93.774190940695377</c:v>
                </c:pt>
                <c:pt idx="51">
                  <c:v>76.25042822265543</c:v>
                </c:pt>
                <c:pt idx="52">
                  <c:v>50.543487760082613</c:v>
                </c:pt>
                <c:pt idx="53">
                  <c:v>74.888982776218057</c:v>
                </c:pt>
                <c:pt idx="54">
                  <c:v>52.095599438463452</c:v>
                </c:pt>
                <c:pt idx="55">
                  <c:v>74.180426039978187</c:v>
                </c:pt>
                <c:pt idx="56">
                  <c:v>68.116869623396937</c:v>
                </c:pt>
                <c:pt idx="57">
                  <c:v>50.539090519702853</c:v>
                </c:pt>
                <c:pt idx="58">
                  <c:v>90.680805562425178</c:v>
                </c:pt>
                <c:pt idx="59">
                  <c:v>63.455327688788032</c:v>
                </c:pt>
                <c:pt idx="60">
                  <c:v>78.571316441678306</c:v>
                </c:pt>
                <c:pt idx="61">
                  <c:v>59.479486768055089</c:v>
                </c:pt>
                <c:pt idx="62">
                  <c:v>51.269783241554933</c:v>
                </c:pt>
                <c:pt idx="63">
                  <c:v>49.383940562011212</c:v>
                </c:pt>
                <c:pt idx="64">
                  <c:v>35.894148271408874</c:v>
                </c:pt>
                <c:pt idx="65">
                  <c:v>47.037633727397647</c:v>
                </c:pt>
                <c:pt idx="66">
                  <c:v>42.521773223099522</c:v>
                </c:pt>
                <c:pt idx="67">
                  <c:v>52.17121747504909</c:v>
                </c:pt>
                <c:pt idx="68">
                  <c:v>45.647504626217007</c:v>
                </c:pt>
                <c:pt idx="69">
                  <c:v>58.441583787091993</c:v>
                </c:pt>
                <c:pt idx="70">
                  <c:v>97.582352616331917</c:v>
                </c:pt>
                <c:pt idx="71">
                  <c:v>92.073217693833982</c:v>
                </c:pt>
                <c:pt idx="72">
                  <c:v>111.1945655985155</c:v>
                </c:pt>
                <c:pt idx="73">
                  <c:v>105.41315973788279</c:v>
                </c:pt>
                <c:pt idx="74">
                  <c:v>57.84566339627056</c:v>
                </c:pt>
                <c:pt idx="75">
                  <c:v>45.844395770687349</c:v>
                </c:pt>
                <c:pt idx="76">
                  <c:v>40.065667394009381</c:v>
                </c:pt>
                <c:pt idx="77">
                  <c:v>33.493381965196598</c:v>
                </c:pt>
                <c:pt idx="78">
                  <c:v>61.32224821093979</c:v>
                </c:pt>
                <c:pt idx="79">
                  <c:v>47.755824567457559</c:v>
                </c:pt>
                <c:pt idx="80">
                  <c:v>49.429094996057238</c:v>
                </c:pt>
                <c:pt idx="81">
                  <c:v>74.266634537895257</c:v>
                </c:pt>
                <c:pt idx="82">
                  <c:v>95.564531802521344</c:v>
                </c:pt>
                <c:pt idx="83">
                  <c:v>80.958034242780258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6EE-544A-A7E8-356675F489CE}"/>
            </c:ext>
          </c:extLst>
        </c:ser>
        <c:ser>
          <c:idx val="1"/>
          <c:order val="1"/>
          <c:tx>
            <c:strRef>
              <c:f>'Capture Price Inputs'!$I$1</c:f>
              <c:strCache>
                <c:ptCount val="1"/>
                <c:pt idx="0">
                  <c:v>DK2 Capture Price (EUR/MWh)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'Capture Price Inputs'!$I$2:$I$85</c:f>
              <c:numCache>
                <c:formatCode>General</c:formatCode>
                <c:ptCount val="84"/>
                <c:pt idx="12">
                  <c:v>29.86213642213642</c:v>
                </c:pt>
                <c:pt idx="13">
                  <c:v>23.555517829721889</c:v>
                </c:pt>
                <c:pt idx="14">
                  <c:v>17.149050692261021</c:v>
                </c:pt>
                <c:pt idx="15">
                  <c:v>13.252523128367081</c:v>
                </c:pt>
                <c:pt idx="16">
                  <c:v>18.594049382716051</c:v>
                </c:pt>
                <c:pt idx="17">
                  <c:v>35.21078005032583</c:v>
                </c:pt>
                <c:pt idx="18">
                  <c:v>26.450778046867001</c:v>
                </c:pt>
                <c:pt idx="19">
                  <c:v>44.113765015404859</c:v>
                </c:pt>
                <c:pt idx="20">
                  <c:v>41.853047880870562</c:v>
                </c:pt>
                <c:pt idx="21">
                  <c:v>33.600878372903331</c:v>
                </c:pt>
                <c:pt idx="22">
                  <c:v>37.749765625000002</c:v>
                </c:pt>
                <c:pt idx="23">
                  <c:v>44.191428571428567</c:v>
                </c:pt>
                <c:pt idx="24">
                  <c:v>57.072134410081453</c:v>
                </c:pt>
                <c:pt idx="25">
                  <c:v>52.285083654524577</c:v>
                </c:pt>
                <c:pt idx="26">
                  <c:v>47.422643011897812</c:v>
                </c:pt>
                <c:pt idx="27">
                  <c:v>45.901363748248833</c:v>
                </c:pt>
                <c:pt idx="28">
                  <c:v>50.258720231460799</c:v>
                </c:pt>
                <c:pt idx="29">
                  <c:v>69.469341653776226</c:v>
                </c:pt>
                <c:pt idx="30">
                  <c:v>77.933111551394319</c:v>
                </c:pt>
                <c:pt idx="31">
                  <c:v>84.512747690257029</c:v>
                </c:pt>
                <c:pt idx="32">
                  <c:v>118.7457227855615</c:v>
                </c:pt>
                <c:pt idx="33">
                  <c:v>122.3841235967906</c:v>
                </c:pt>
                <c:pt idx="34">
                  <c:v>153.62679427815749</c:v>
                </c:pt>
                <c:pt idx="35">
                  <c:v>244.48727859764409</c:v>
                </c:pt>
                <c:pt idx="36">
                  <c:v>129.67749023150819</c:v>
                </c:pt>
                <c:pt idx="37">
                  <c:v>108.80333899256409</c:v>
                </c:pt>
                <c:pt idx="38">
                  <c:v>186.0504424586062</c:v>
                </c:pt>
                <c:pt idx="39">
                  <c:v>143.53758886421849</c:v>
                </c:pt>
                <c:pt idx="40">
                  <c:v>146.25360234460331</c:v>
                </c:pt>
                <c:pt idx="41">
                  <c:v>192.2325905808319</c:v>
                </c:pt>
                <c:pt idx="42">
                  <c:v>212.3625858003895</c:v>
                </c:pt>
                <c:pt idx="43">
                  <c:v>397.17988485976059</c:v>
                </c:pt>
                <c:pt idx="44">
                  <c:v>315.92884279677901</c:v>
                </c:pt>
                <c:pt idx="45">
                  <c:v>120.1190076327392</c:v>
                </c:pt>
                <c:pt idx="46">
                  <c:v>134.0399027878758</c:v>
                </c:pt>
                <c:pt idx="47">
                  <c:v>303.26978481668573</c:v>
                </c:pt>
                <c:pt idx="48">
                  <c:v>120.8992864784306</c:v>
                </c:pt>
                <c:pt idx="49">
                  <c:v>103.112625406295</c:v>
                </c:pt>
                <c:pt idx="50">
                  <c:v>89.098468921641697</c:v>
                </c:pt>
                <c:pt idx="51">
                  <c:v>71.125099705594195</c:v>
                </c:pt>
                <c:pt idx="52">
                  <c:v>48.358083796456327</c:v>
                </c:pt>
                <c:pt idx="53">
                  <c:v>71.862090372222397</c:v>
                </c:pt>
                <c:pt idx="54">
                  <c:v>50.345966617092351</c:v>
                </c:pt>
                <c:pt idx="55">
                  <c:v>72.957992347987414</c:v>
                </c:pt>
                <c:pt idx="56">
                  <c:v>64.394484672464898</c:v>
                </c:pt>
                <c:pt idx="57">
                  <c:v>47.660255094286853</c:v>
                </c:pt>
                <c:pt idx="58">
                  <c:v>84.639978605265995</c:v>
                </c:pt>
                <c:pt idx="59">
                  <c:v>59.061746333079718</c:v>
                </c:pt>
                <c:pt idx="60">
                  <c:v>76.427202535219209</c:v>
                </c:pt>
                <c:pt idx="61">
                  <c:v>51.434379196547752</c:v>
                </c:pt>
                <c:pt idx="62">
                  <c:v>50.751163813053438</c:v>
                </c:pt>
                <c:pt idx="63">
                  <c:v>47.053967904827999</c:v>
                </c:pt>
                <c:pt idx="64">
                  <c:v>34.295794113692892</c:v>
                </c:pt>
                <c:pt idx="65">
                  <c:v>46.379384034583367</c:v>
                </c:pt>
                <c:pt idx="66">
                  <c:v>38.812821969471173</c:v>
                </c:pt>
                <c:pt idx="67">
                  <c:v>47.151863118292532</c:v>
                </c:pt>
                <c:pt idx="68">
                  <c:v>43.355946350842189</c:v>
                </c:pt>
                <c:pt idx="69">
                  <c:v>59.534937630286556</c:v>
                </c:pt>
                <c:pt idx="70">
                  <c:v>89.611277477917284</c:v>
                </c:pt>
                <c:pt idx="71">
                  <c:v>100.7961313991171</c:v>
                </c:pt>
                <c:pt idx="72">
                  <c:v>115.0822593270056</c:v>
                </c:pt>
                <c:pt idx="73">
                  <c:v>106.92318207316821</c:v>
                </c:pt>
                <c:pt idx="74">
                  <c:v>50.018062961268747</c:v>
                </c:pt>
                <c:pt idx="75">
                  <c:v>41.82584156307518</c:v>
                </c:pt>
                <c:pt idx="76">
                  <c:v>34.320660344591218</c:v>
                </c:pt>
                <c:pt idx="77">
                  <c:v>24.31568572006325</c:v>
                </c:pt>
                <c:pt idx="78">
                  <c:v>59.766943882147693</c:v>
                </c:pt>
                <c:pt idx="79">
                  <c:v>43.064604783544858</c:v>
                </c:pt>
                <c:pt idx="80">
                  <c:v>52.949405153808357</c:v>
                </c:pt>
                <c:pt idx="81">
                  <c:v>78.645730322406678</c:v>
                </c:pt>
                <c:pt idx="82">
                  <c:v>92.690454871532665</c:v>
                </c:pt>
                <c:pt idx="83">
                  <c:v>79.631228022083661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6EE-544A-A7E8-356675F489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Capture Price Ratio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Inputs'!$J$1</c:f>
              <c:strCache>
                <c:ptCount val="1"/>
                <c:pt idx="0">
                  <c:v>DK1 CPR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Inputs'!$J$2:$J$85</c:f>
              <c:numCache>
                <c:formatCode>General</c:formatCode>
                <c:ptCount val="84"/>
                <c:pt idx="12">
                  <c:v>1.0091486594474419</c:v>
                </c:pt>
                <c:pt idx="13">
                  <c:v>1.2985911686950511</c:v>
                </c:pt>
                <c:pt idx="14">
                  <c:v>0.8710146939215303</c:v>
                </c:pt>
                <c:pt idx="15">
                  <c:v>0.71315772558819213</c:v>
                </c:pt>
                <c:pt idx="16">
                  <c:v>0.96415576931205649</c:v>
                </c:pt>
                <c:pt idx="17">
                  <c:v>1.0394664137310941</c:v>
                </c:pt>
                <c:pt idx="18">
                  <c:v>1.0086181556608309</c:v>
                </c:pt>
                <c:pt idx="19">
                  <c:v>0.98082264407500741</c:v>
                </c:pt>
                <c:pt idx="20">
                  <c:v>1.0104044869130051</c:v>
                </c:pt>
                <c:pt idx="21">
                  <c:v>1.236802226812374</c:v>
                </c:pt>
                <c:pt idx="22">
                  <c:v>1.094777917215692</c:v>
                </c:pt>
                <c:pt idx="23">
                  <c:v>1.0082301641826621</c:v>
                </c:pt>
                <c:pt idx="24">
                  <c:v>1.103930861568265</c:v>
                </c:pt>
                <c:pt idx="25">
                  <c:v>1.0059479277054251</c:v>
                </c:pt>
                <c:pt idx="26">
                  <c:v>0.9871758725122356</c:v>
                </c:pt>
                <c:pt idx="27">
                  <c:v>0.90884647456650169</c:v>
                </c:pt>
                <c:pt idx="28">
                  <c:v>0.87751805187154364</c:v>
                </c:pt>
                <c:pt idx="29">
                  <c:v>0.95691427953473174</c:v>
                </c:pt>
                <c:pt idx="30">
                  <c:v>0.98211323715969778</c:v>
                </c:pt>
                <c:pt idx="31">
                  <c:v>0.99027147802450566</c:v>
                </c:pt>
                <c:pt idx="32">
                  <c:v>0.92690440483613579</c:v>
                </c:pt>
                <c:pt idx="33">
                  <c:v>1.0810885074134391</c:v>
                </c:pt>
                <c:pt idx="34">
                  <c:v>1.1338034085044659</c:v>
                </c:pt>
                <c:pt idx="35">
                  <c:v>1.2086769624549281</c:v>
                </c:pt>
                <c:pt idx="36">
                  <c:v>1.0441257304277269</c:v>
                </c:pt>
                <c:pt idx="37">
                  <c:v>1.04022281700981</c:v>
                </c:pt>
                <c:pt idx="38">
                  <c:v>0.81207759044207406</c:v>
                </c:pt>
                <c:pt idx="39">
                  <c:v>0.89039133384678326</c:v>
                </c:pt>
                <c:pt idx="40">
                  <c:v>0.86943016050498578</c:v>
                </c:pt>
                <c:pt idx="41">
                  <c:v>0.90803902012341908</c:v>
                </c:pt>
                <c:pt idx="42">
                  <c:v>0.87041791592949547</c:v>
                </c:pt>
                <c:pt idx="43">
                  <c:v>0.91908553046700026</c:v>
                </c:pt>
                <c:pt idx="44">
                  <c:v>0.90632901805683119</c:v>
                </c:pt>
                <c:pt idx="45">
                  <c:v>0.91612325253961768</c:v>
                </c:pt>
                <c:pt idx="46">
                  <c:v>0.94278612074660006</c:v>
                </c:pt>
                <c:pt idx="47">
                  <c:v>1.132810339248927</c:v>
                </c:pt>
                <c:pt idx="48">
                  <c:v>1.2309198691226539</c:v>
                </c:pt>
                <c:pt idx="49">
                  <c:v>0.93008781340266</c:v>
                </c:pt>
                <c:pt idx="50">
                  <c:v>0.94612539759598957</c:v>
                </c:pt>
                <c:pt idx="51">
                  <c:v>0.79203966120386338</c:v>
                </c:pt>
                <c:pt idx="52">
                  <c:v>0.68333610561519953</c:v>
                </c:pt>
                <c:pt idx="53">
                  <c:v>0.80965062086215667</c:v>
                </c:pt>
                <c:pt idx="54">
                  <c:v>0.80380421953260928</c:v>
                </c:pt>
                <c:pt idx="55">
                  <c:v>0.86289309777204071</c:v>
                </c:pt>
                <c:pt idx="56">
                  <c:v>0.8038389922187259</c:v>
                </c:pt>
                <c:pt idx="57">
                  <c:v>0.84083605560542263</c:v>
                </c:pt>
                <c:pt idx="58">
                  <c:v>1.028656893611996</c:v>
                </c:pt>
                <c:pt idx="59">
                  <c:v>0.91325607762876626</c:v>
                </c:pt>
                <c:pt idx="60">
                  <c:v>1.051614630458469</c:v>
                </c:pt>
                <c:pt idx="61">
                  <c:v>1.0144208291794441</c:v>
                </c:pt>
                <c:pt idx="62">
                  <c:v>0.8373818542217274</c:v>
                </c:pt>
                <c:pt idx="63">
                  <c:v>0.83468460161643787</c:v>
                </c:pt>
                <c:pt idx="64">
                  <c:v>0.61339845366508694</c:v>
                </c:pt>
                <c:pt idx="65">
                  <c:v>0.73781003223868646</c:v>
                </c:pt>
                <c:pt idx="66">
                  <c:v>0.68549949487061801</c:v>
                </c:pt>
                <c:pt idx="67">
                  <c:v>0.71512676219349525</c:v>
                </c:pt>
                <c:pt idx="68">
                  <c:v>0.63652522303957304</c:v>
                </c:pt>
                <c:pt idx="69">
                  <c:v>0.76175188075929667</c:v>
                </c:pt>
                <c:pt idx="70">
                  <c:v>1.0174940038611719</c:v>
                </c:pt>
                <c:pt idx="71">
                  <c:v>1.0025674160411211</c:v>
                </c:pt>
                <c:pt idx="72">
                  <c:v>1.135032584901597</c:v>
                </c:pt>
                <c:pt idx="73">
                  <c:v>0.93411665141872979</c:v>
                </c:pt>
                <c:pt idx="74">
                  <c:v>0.68579081688022481</c:v>
                </c:pt>
                <c:pt idx="75">
                  <c:v>0.60995353561832499</c:v>
                </c:pt>
                <c:pt idx="76">
                  <c:v>0.62375117423189408</c:v>
                </c:pt>
                <c:pt idx="77">
                  <c:v>0.56976432128633303</c:v>
                </c:pt>
                <c:pt idx="78">
                  <c:v>0.74058967108380014</c:v>
                </c:pt>
                <c:pt idx="79">
                  <c:v>0.64997112344594554</c:v>
                </c:pt>
                <c:pt idx="80">
                  <c:v>0.68273474898658593</c:v>
                </c:pt>
                <c:pt idx="81">
                  <c:v>0.94701517193480578</c:v>
                </c:pt>
                <c:pt idx="82">
                  <c:v>1.0289764309560969</c:v>
                </c:pt>
                <c:pt idx="83">
                  <c:v>0.98205388617926037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B79-314D-82EF-97B0B30F7C56}"/>
            </c:ext>
          </c:extLst>
        </c:ser>
        <c:ser>
          <c:idx val="1"/>
          <c:order val="1"/>
          <c:tx>
            <c:strRef>
              <c:f>'Capture Price Inputs'!$K$1</c:f>
              <c:strCache>
                <c:ptCount val="1"/>
                <c:pt idx="0">
                  <c:v>DK2 CPR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'Capture Price Inputs'!$K$2:$K$85</c:f>
              <c:numCache>
                <c:formatCode>General</c:formatCode>
                <c:ptCount val="84"/>
                <c:pt idx="12">
                  <c:v>1.090446324793763</c:v>
                </c:pt>
                <c:pt idx="13">
                  <c:v>1.251821301318464</c:v>
                </c:pt>
                <c:pt idx="14">
                  <c:v>0.85520775851277109</c:v>
                </c:pt>
                <c:pt idx="15">
                  <c:v>0.76362023547871605</c:v>
                </c:pt>
                <c:pt idx="16">
                  <c:v>0.97636938233545278</c:v>
                </c:pt>
                <c:pt idx="17">
                  <c:v>1.180647007173951</c:v>
                </c:pt>
                <c:pt idx="18">
                  <c:v>1.021791049952987</c:v>
                </c:pt>
                <c:pt idx="19">
                  <c:v>1.077948442472481</c:v>
                </c:pt>
                <c:pt idx="20">
                  <c:v>1.0591890923358069</c:v>
                </c:pt>
                <c:pt idx="21">
                  <c:v>1.247549053102559</c:v>
                </c:pt>
                <c:pt idx="22">
                  <c:v>1.057080411727209</c:v>
                </c:pt>
                <c:pt idx="23">
                  <c:v>1.125691191699302</c:v>
                </c:pt>
                <c:pt idx="24">
                  <c:v>1.122164979814525</c:v>
                </c:pt>
                <c:pt idx="25">
                  <c:v>0.9585139857498034</c:v>
                </c:pt>
                <c:pt idx="26">
                  <c:v>1.0147741726503949</c:v>
                </c:pt>
                <c:pt idx="27">
                  <c:v>0.95901643664766134</c:v>
                </c:pt>
                <c:pt idx="28">
                  <c:v>0.91033887361171206</c:v>
                </c:pt>
                <c:pt idx="29">
                  <c:v>0.94404491874816343</c:v>
                </c:pt>
                <c:pt idx="30">
                  <c:v>0.95692856904650769</c:v>
                </c:pt>
                <c:pt idx="31">
                  <c:v>1.001768528067071</c:v>
                </c:pt>
                <c:pt idx="32">
                  <c:v>0.95838336990944806</c:v>
                </c:pt>
                <c:pt idx="33">
                  <c:v>1.1445012658471321</c:v>
                </c:pt>
                <c:pt idx="34">
                  <c:v>1.1264608571418011</c:v>
                </c:pt>
                <c:pt idx="35">
                  <c:v>1.279578427053047</c:v>
                </c:pt>
                <c:pt idx="36">
                  <c:v>1.1617546523412821</c:v>
                </c:pt>
                <c:pt idx="37">
                  <c:v>1.084871924613185</c:v>
                </c:pt>
                <c:pt idx="38">
                  <c:v>0.81629582758371144</c:v>
                </c:pt>
                <c:pt idx="39">
                  <c:v>0.93918048773921026</c:v>
                </c:pt>
                <c:pt idx="40">
                  <c:v>0.89914563143311954</c:v>
                </c:pt>
                <c:pt idx="41">
                  <c:v>0.90151367457475784</c:v>
                </c:pt>
                <c:pt idx="42">
                  <c:v>0.90956244496775596</c:v>
                </c:pt>
                <c:pt idx="43">
                  <c:v>0.8830756108422062</c:v>
                </c:pt>
                <c:pt idx="44">
                  <c:v>0.96085369829588263</c:v>
                </c:pt>
                <c:pt idx="45">
                  <c:v>0.87743541957368609</c:v>
                </c:pt>
                <c:pt idx="46">
                  <c:v>0.92404474391789948</c:v>
                </c:pt>
                <c:pt idx="47">
                  <c:v>1.2185280560697289</c:v>
                </c:pt>
                <c:pt idx="48">
                  <c:v>1.2118663236304299</c:v>
                </c:pt>
                <c:pt idx="49">
                  <c:v>1.0244781228159621</c:v>
                </c:pt>
                <c:pt idx="50">
                  <c:v>0.99223631219701203</c:v>
                </c:pt>
                <c:pt idx="51">
                  <c:v>0.85025873478203906</c:v>
                </c:pt>
                <c:pt idx="52">
                  <c:v>0.73101748270540212</c:v>
                </c:pt>
                <c:pt idx="53">
                  <c:v>0.78603819917365525</c:v>
                </c:pt>
                <c:pt idx="54">
                  <c:v>0.77170348712471282</c:v>
                </c:pt>
                <c:pt idx="55">
                  <c:v>0.84546104105698361</c:v>
                </c:pt>
                <c:pt idx="56">
                  <c:v>0.75329173308453345</c:v>
                </c:pt>
                <c:pt idx="57">
                  <c:v>0.83723449033464103</c:v>
                </c:pt>
                <c:pt idx="58">
                  <c:v>1.038705241708771</c:v>
                </c:pt>
                <c:pt idx="59">
                  <c:v>0.83326707575628478</c:v>
                </c:pt>
                <c:pt idx="60">
                  <c:v>0.97714487510792902</c:v>
                </c:pt>
                <c:pt idx="61">
                  <c:v>0.93991726033346112</c:v>
                </c:pt>
                <c:pt idx="62">
                  <c:v>0.8314293202728863</c:v>
                </c:pt>
                <c:pt idx="63">
                  <c:v>0.77805107456374178</c:v>
                </c:pt>
                <c:pt idx="64">
                  <c:v>0.59005563427075769</c:v>
                </c:pt>
                <c:pt idx="65">
                  <c:v>0.69439585691141426</c:v>
                </c:pt>
                <c:pt idx="66">
                  <c:v>0.61762838453946423</c:v>
                </c:pt>
                <c:pt idx="67">
                  <c:v>0.64934714792296455</c:v>
                </c:pt>
                <c:pt idx="68">
                  <c:v>0.61574801135475132</c:v>
                </c:pt>
                <c:pt idx="69">
                  <c:v>0.78000735067931948</c:v>
                </c:pt>
                <c:pt idx="70">
                  <c:v>0.94047799551015088</c:v>
                </c:pt>
                <c:pt idx="71">
                  <c:v>1.0870067185479459</c:v>
                </c:pt>
                <c:pt idx="72">
                  <c:v>1.1494003648079021</c:v>
                </c:pt>
                <c:pt idx="73">
                  <c:v>0.90662384271333907</c:v>
                </c:pt>
                <c:pt idx="74">
                  <c:v>0.60374116471580297</c:v>
                </c:pt>
                <c:pt idx="75">
                  <c:v>0.55174367988103734</c:v>
                </c:pt>
                <c:pt idx="76">
                  <c:v>0.54405946330729504</c:v>
                </c:pt>
                <c:pt idx="77">
                  <c:v>0.4307606652121766</c:v>
                </c:pt>
                <c:pt idx="78">
                  <c:v>0.74746341861966192</c:v>
                </c:pt>
                <c:pt idx="79">
                  <c:v>0.57178942343359873</c:v>
                </c:pt>
                <c:pt idx="80">
                  <c:v>0.63573160083367797</c:v>
                </c:pt>
                <c:pt idx="81">
                  <c:v>0.95480840081563045</c:v>
                </c:pt>
                <c:pt idx="82">
                  <c:v>0.98927251294969987</c:v>
                </c:pt>
                <c:pt idx="83">
                  <c:v>0.97014796253594149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B79-314D-82EF-97B0B30F7C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CPR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Solar Penetration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Inputs'!$F$1</c:f>
              <c:strCache>
                <c:ptCount val="1"/>
                <c:pt idx="0">
                  <c:v>DK1 Solar Penetration (%) — Primary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'Capture Price Inputs'!$F$2:$F$85</c:f>
              <c:numCache>
                <c:formatCode>General</c:formatCode>
                <c:ptCount val="84"/>
                <c:pt idx="12">
                  <c:v>2.2644478926294831E-3</c:v>
                </c:pt>
                <c:pt idx="13">
                  <c:v>5.2474520244822449E-3</c:v>
                </c:pt>
                <c:pt idx="14">
                  <c:v>2.020167759412729E-2</c:v>
                </c:pt>
                <c:pt idx="15">
                  <c:v>3.2427989612304697E-2</c:v>
                </c:pt>
                <c:pt idx="16">
                  <c:v>3.6080087237903569E-2</c:v>
                </c:pt>
                <c:pt idx="17">
                  <c:v>3.7413618831640891E-2</c:v>
                </c:pt>
                <c:pt idx="18">
                  <c:v>3.3998433859503921E-2</c:v>
                </c:pt>
                <c:pt idx="19">
                  <c:v>3.4224763142537661E-2</c:v>
                </c:pt>
                <c:pt idx="20">
                  <c:v>2.4330151939157239E-2</c:v>
                </c:pt>
                <c:pt idx="21">
                  <c:v>1.1490387549446779E-2</c:v>
                </c:pt>
                <c:pt idx="22">
                  <c:v>1.521101274151999E-4</c:v>
                </c:pt>
                <c:pt idx="23">
                  <c:v>1.472410662127807E-5</c:v>
                </c:pt>
                <c:pt idx="24">
                  <c:v>3.6313559990350909E-3</c:v>
                </c:pt>
                <c:pt idx="25">
                  <c:v>1.0868941718057299E-2</c:v>
                </c:pt>
                <c:pt idx="26">
                  <c:v>2.2382303907371628E-2</c:v>
                </c:pt>
                <c:pt idx="27">
                  <c:v>4.212837115783985E-2</c:v>
                </c:pt>
                <c:pt idx="28">
                  <c:v>3.3075052211960353E-2</c:v>
                </c:pt>
                <c:pt idx="29">
                  <c:v>4.9841661821819518E-2</c:v>
                </c:pt>
                <c:pt idx="30">
                  <c:v>4.85715434854639E-2</c:v>
                </c:pt>
                <c:pt idx="31">
                  <c:v>3.8876947944708702E-2</c:v>
                </c:pt>
                <c:pt idx="32">
                  <c:v>2.5932850179436289E-2</c:v>
                </c:pt>
                <c:pt idx="33">
                  <c:v>1.7460096431489061E-2</c:v>
                </c:pt>
                <c:pt idx="34">
                  <c:v>7.0293060058135041E-3</c:v>
                </c:pt>
                <c:pt idx="35">
                  <c:v>3.243365391886713E-3</c:v>
                </c:pt>
                <c:pt idx="36">
                  <c:v>6.6753155472480874E-3</c:v>
                </c:pt>
                <c:pt idx="37">
                  <c:v>1.7399571233002901E-2</c:v>
                </c:pt>
                <c:pt idx="38">
                  <c:v>6.1955070586442867E-2</c:v>
                </c:pt>
                <c:pt idx="39">
                  <c:v>8.404056603836467E-2</c:v>
                </c:pt>
                <c:pt idx="40">
                  <c:v>9.6876891420316108E-2</c:v>
                </c:pt>
                <c:pt idx="41">
                  <c:v>9.4962020744311482E-2</c:v>
                </c:pt>
                <c:pt idx="42">
                  <c:v>9.963556652585577E-2</c:v>
                </c:pt>
                <c:pt idx="43">
                  <c:v>8.9626978325266782E-2</c:v>
                </c:pt>
                <c:pt idx="44">
                  <c:v>6.6046498591704736E-2</c:v>
                </c:pt>
                <c:pt idx="45">
                  <c:v>3.7469414477654707E-2</c:v>
                </c:pt>
                <c:pt idx="46">
                  <c:v>1.046932675470221E-2</c:v>
                </c:pt>
                <c:pt idx="47">
                  <c:v>6.2291646451968653E-3</c:v>
                </c:pt>
                <c:pt idx="48">
                  <c:v>1.2460694276862919E-2</c:v>
                </c:pt>
                <c:pt idx="49">
                  <c:v>3.4376404191763639E-2</c:v>
                </c:pt>
                <c:pt idx="50">
                  <c:v>5.6477968577058592E-2</c:v>
                </c:pt>
                <c:pt idx="51">
                  <c:v>0.1509467292684683</c:v>
                </c:pt>
                <c:pt idx="52">
                  <c:v>0.18600333743842001</c:v>
                </c:pt>
                <c:pt idx="53">
                  <c:v>0.21892573712946101</c:v>
                </c:pt>
                <c:pt idx="54">
                  <c:v>0.18929524056345021</c:v>
                </c:pt>
                <c:pt idx="55">
                  <c:v>0.1493297980639493</c:v>
                </c:pt>
                <c:pt idx="56">
                  <c:v>0.13191654386548721</c:v>
                </c:pt>
                <c:pt idx="57">
                  <c:v>4.2864886456730103E-2</c:v>
                </c:pt>
                <c:pt idx="58">
                  <c:v>1.6003493537152379E-2</c:v>
                </c:pt>
                <c:pt idx="59">
                  <c:v>6.3905046726965339E-3</c:v>
                </c:pt>
                <c:pt idx="60">
                  <c:v>1.3417186050607519E-2</c:v>
                </c:pt>
                <c:pt idx="61">
                  <c:v>2.6436223837926501E-2</c:v>
                </c:pt>
                <c:pt idx="62">
                  <c:v>6.6233973400350477E-2</c:v>
                </c:pt>
                <c:pt idx="63">
                  <c:v>0.1084169878649764</c:v>
                </c:pt>
                <c:pt idx="64">
                  <c:v>0.18887031649880051</c:v>
                </c:pt>
                <c:pt idx="65">
                  <c:v>0.1715230569234828</c:v>
                </c:pt>
                <c:pt idx="66">
                  <c:v>0.1809062055635286</c:v>
                </c:pt>
                <c:pt idx="67">
                  <c:v>0.15512153111725799</c:v>
                </c:pt>
                <c:pt idx="68">
                  <c:v>0.1275567235314205</c:v>
                </c:pt>
                <c:pt idx="69">
                  <c:v>6.2873767847415107E-2</c:v>
                </c:pt>
                <c:pt idx="70">
                  <c:v>1.780902737610289E-2</c:v>
                </c:pt>
                <c:pt idx="71">
                  <c:v>6.7857975683456679E-3</c:v>
                </c:pt>
                <c:pt idx="72">
                  <c:v>1.366055484422285E-2</c:v>
                </c:pt>
                <c:pt idx="73">
                  <c:v>4.3419934817177687E-2</c:v>
                </c:pt>
                <c:pt idx="74">
                  <c:v>0.1120694547038418</c:v>
                </c:pt>
                <c:pt idx="75">
                  <c:v>0.14827548756052711</c:v>
                </c:pt>
                <c:pt idx="76">
                  <c:v>0.19244468175967161</c:v>
                </c:pt>
                <c:pt idx="77">
                  <c:v>0.18784829238523279</c:v>
                </c:pt>
                <c:pt idx="78">
                  <c:v>0.21828188848241209</c:v>
                </c:pt>
                <c:pt idx="79">
                  <c:v>0.19011684012808119</c:v>
                </c:pt>
                <c:pt idx="80">
                  <c:v>0.13816152724517919</c:v>
                </c:pt>
                <c:pt idx="81">
                  <c:v>6.9462071202051626E-2</c:v>
                </c:pt>
                <c:pt idx="82">
                  <c:v>2.6604970402147529E-2</c:v>
                </c:pt>
                <c:pt idx="83">
                  <c:v>1.40253486520015E-2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C6-A848-A15C-0FD53B7A691E}"/>
            </c:ext>
          </c:extLst>
        </c:ser>
        <c:ser>
          <c:idx val="1"/>
          <c:order val="1"/>
          <c:tx>
            <c:strRef>
              <c:f>'Capture Price Inputs'!$G$1</c:f>
              <c:strCache>
                <c:ptCount val="1"/>
                <c:pt idx="0">
                  <c:v>DK2 Solar Penetration (%) — Robustness</c:v>
                </c:pt>
              </c:strCache>
            </c:strRef>
          </c:tx>
          <c:spPr>
            <a:ln>
              <a:solidFill>
                <a:srgbClr val="FFD700"/>
              </a:solidFill>
              <a:prstDash val="solid"/>
            </a:ln>
          </c:spPr>
          <c:marker>
            <c:symbol val="none"/>
          </c:marker>
          <c:val>
            <c:numRef>
              <c:f>'Capture Price Inputs'!$G$2:$G$85</c:f>
              <c:numCache>
                <c:formatCode>General</c:formatCode>
                <c:ptCount val="84"/>
                <c:pt idx="12">
                  <c:v>1.864323044087839E-3</c:v>
                </c:pt>
                <c:pt idx="13">
                  <c:v>4.9613393448072352E-3</c:v>
                </c:pt>
                <c:pt idx="14">
                  <c:v>1.532033335337761E-2</c:v>
                </c:pt>
                <c:pt idx="15">
                  <c:v>2.6180595134545931E-2</c:v>
                </c:pt>
                <c:pt idx="16">
                  <c:v>3.2240930774166239E-2</c:v>
                </c:pt>
                <c:pt idx="17">
                  <c:v>3.0651812088155841E-2</c:v>
                </c:pt>
                <c:pt idx="18">
                  <c:v>2.998206800974695E-2</c:v>
                </c:pt>
                <c:pt idx="19">
                  <c:v>2.8034713414307081E-2</c:v>
                </c:pt>
                <c:pt idx="20">
                  <c:v>2.1736479101595249E-2</c:v>
                </c:pt>
                <c:pt idx="21">
                  <c:v>1.107911770574695E-2</c:v>
                </c:pt>
                <c:pt idx="22">
                  <c:v>1.1044611578332841E-4</c:v>
                </c:pt>
                <c:pt idx="23">
                  <c:v>5.6352433584062588E-6</c:v>
                </c:pt>
                <c:pt idx="24">
                  <c:v>3.104474131982996E-3</c:v>
                </c:pt>
                <c:pt idx="25">
                  <c:v>9.2483369487723587E-3</c:v>
                </c:pt>
                <c:pt idx="26">
                  <c:v>1.8474517045212829E-2</c:v>
                </c:pt>
                <c:pt idx="27">
                  <c:v>3.2694407483312787E-2</c:v>
                </c:pt>
                <c:pt idx="28">
                  <c:v>3.2945829294540187E-2</c:v>
                </c:pt>
                <c:pt idx="29">
                  <c:v>4.4480133140056069E-2</c:v>
                </c:pt>
                <c:pt idx="30">
                  <c:v>3.7049542537302173E-2</c:v>
                </c:pt>
                <c:pt idx="31">
                  <c:v>3.1857768834261987E-2</c:v>
                </c:pt>
                <c:pt idx="32">
                  <c:v>2.23981137027396E-2</c:v>
                </c:pt>
                <c:pt idx="33">
                  <c:v>1.267326343754744E-2</c:v>
                </c:pt>
                <c:pt idx="34">
                  <c:v>4.0132810857910267E-3</c:v>
                </c:pt>
                <c:pt idx="35">
                  <c:v>1.8226295838260991E-3</c:v>
                </c:pt>
                <c:pt idx="36">
                  <c:v>4.939556742877535E-3</c:v>
                </c:pt>
                <c:pt idx="37">
                  <c:v>1.3248485586698279E-2</c:v>
                </c:pt>
                <c:pt idx="38">
                  <c:v>3.4089330349121053E-2</c:v>
                </c:pt>
                <c:pt idx="39">
                  <c:v>5.5254436099578648E-2</c:v>
                </c:pt>
                <c:pt idx="40">
                  <c:v>6.5811459960859395E-2</c:v>
                </c:pt>
                <c:pt idx="41">
                  <c:v>6.4528229045867816E-2</c:v>
                </c:pt>
                <c:pt idx="42">
                  <c:v>6.7025803801952916E-2</c:v>
                </c:pt>
                <c:pt idx="43">
                  <c:v>6.1299924397195817E-2</c:v>
                </c:pt>
                <c:pt idx="44">
                  <c:v>4.5784276103507021E-2</c:v>
                </c:pt>
                <c:pt idx="45">
                  <c:v>2.9809058027035401E-2</c:v>
                </c:pt>
                <c:pt idx="46">
                  <c:v>7.8652952619005494E-3</c:v>
                </c:pt>
                <c:pt idx="47">
                  <c:v>4.5323555529735481E-3</c:v>
                </c:pt>
                <c:pt idx="48">
                  <c:v>5.8626527231366082E-3</c:v>
                </c:pt>
                <c:pt idx="49">
                  <c:v>1.8877648418373551E-2</c:v>
                </c:pt>
                <c:pt idx="50">
                  <c:v>3.7096229392005707E-2</c:v>
                </c:pt>
                <c:pt idx="51">
                  <c:v>8.0269966033824955E-2</c:v>
                </c:pt>
                <c:pt idx="52">
                  <c:v>0.1080032082802261</c:v>
                </c:pt>
                <c:pt idx="53">
                  <c:v>0.1144244665352921</c:v>
                </c:pt>
                <c:pt idx="54">
                  <c:v>0.10203074507159759</c:v>
                </c:pt>
                <c:pt idx="55">
                  <c:v>7.7931010532967707E-2</c:v>
                </c:pt>
                <c:pt idx="56">
                  <c:v>8.0909954639318743E-2</c:v>
                </c:pt>
                <c:pt idx="57">
                  <c:v>2.9172340215594381E-2</c:v>
                </c:pt>
                <c:pt idx="58">
                  <c:v>1.04098691216888E-2</c:v>
                </c:pt>
                <c:pt idx="59">
                  <c:v>3.809030164374855E-3</c:v>
                </c:pt>
                <c:pt idx="60">
                  <c:v>6.1781830729755079E-3</c:v>
                </c:pt>
                <c:pt idx="61">
                  <c:v>1.667231366864759E-2</c:v>
                </c:pt>
                <c:pt idx="62">
                  <c:v>4.1112806367337662E-2</c:v>
                </c:pt>
                <c:pt idx="63">
                  <c:v>6.5123378744806448E-2</c:v>
                </c:pt>
                <c:pt idx="64">
                  <c:v>0.106315341440858</c:v>
                </c:pt>
                <c:pt idx="65">
                  <c:v>0.1072729076610999</c:v>
                </c:pt>
                <c:pt idx="66">
                  <c:v>0.1057942634887733</c:v>
                </c:pt>
                <c:pt idx="67">
                  <c:v>9.3690832268705199E-2</c:v>
                </c:pt>
                <c:pt idx="68">
                  <c:v>7.2463202820400169E-2</c:v>
                </c:pt>
                <c:pt idx="69">
                  <c:v>3.6145253892379881E-2</c:v>
                </c:pt>
                <c:pt idx="70">
                  <c:v>8.6028414054236078E-3</c:v>
                </c:pt>
                <c:pt idx="71">
                  <c:v>4.1714684657767577E-3</c:v>
                </c:pt>
                <c:pt idx="72">
                  <c:v>7.223240212576967E-3</c:v>
                </c:pt>
                <c:pt idx="73">
                  <c:v>2.010831138567791E-2</c:v>
                </c:pt>
                <c:pt idx="74">
                  <c:v>4.6547866447452589E-2</c:v>
                </c:pt>
                <c:pt idx="75">
                  <c:v>7.1689783649061992E-2</c:v>
                </c:pt>
                <c:pt idx="76">
                  <c:v>9.4714127256233946E-2</c:v>
                </c:pt>
                <c:pt idx="77">
                  <c:v>9.9826250015510765E-2</c:v>
                </c:pt>
                <c:pt idx="78">
                  <c:v>9.3996419418699143E-2</c:v>
                </c:pt>
                <c:pt idx="79">
                  <c:v>0.1057378118957395</c:v>
                </c:pt>
                <c:pt idx="80">
                  <c:v>9.0628879686523764E-2</c:v>
                </c:pt>
                <c:pt idx="81">
                  <c:v>3.9573125678626628E-2</c:v>
                </c:pt>
                <c:pt idx="82">
                  <c:v>1.454364344794783E-2</c:v>
                </c:pt>
                <c:pt idx="83">
                  <c:v>9.0694911608833299E-3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C6-A848-A15C-0FD53B7A69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Solar Penetration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Capture Price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Inputs'!$H$1</c:f>
              <c:strCache>
                <c:ptCount val="1"/>
                <c:pt idx="0">
                  <c:v>DK1 Capture Price (EUR/MWh)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Inputs'!$H$2:$H$85</c:f>
              <c:numCache>
                <c:formatCode>General</c:formatCode>
                <c:ptCount val="84"/>
                <c:pt idx="12">
                  <c:v>25.22320957280251</c:v>
                </c:pt>
                <c:pt idx="13">
                  <c:v>22.83581899109792</c:v>
                </c:pt>
                <c:pt idx="14">
                  <c:v>15.94107348554973</c:v>
                </c:pt>
                <c:pt idx="15">
                  <c:v>10.36487590420421</c:v>
                </c:pt>
                <c:pt idx="16">
                  <c:v>15.478548945086001</c:v>
                </c:pt>
                <c:pt idx="17">
                  <c:v>27.313308227868689</c:v>
                </c:pt>
                <c:pt idx="18">
                  <c:v>24.831745178109159</c:v>
                </c:pt>
                <c:pt idx="19">
                  <c:v>33.876915422047851</c:v>
                </c:pt>
                <c:pt idx="20">
                  <c:v>38.935979003379593</c:v>
                </c:pt>
                <c:pt idx="21">
                  <c:v>31.927741533059191</c:v>
                </c:pt>
                <c:pt idx="22">
                  <c:v>26.005993265993261</c:v>
                </c:pt>
                <c:pt idx="23">
                  <c:v>34.795161290322582</c:v>
                </c:pt>
                <c:pt idx="24">
                  <c:v>55.422967607277918</c:v>
                </c:pt>
                <c:pt idx="25">
                  <c:v>47.542610979142587</c:v>
                </c:pt>
                <c:pt idx="26">
                  <c:v>44.550700915805493</c:v>
                </c:pt>
                <c:pt idx="27">
                  <c:v>43.594739828473003</c:v>
                </c:pt>
                <c:pt idx="28">
                  <c:v>47.655870575001217</c:v>
                </c:pt>
                <c:pt idx="29">
                  <c:v>70.543547911111062</c:v>
                </c:pt>
                <c:pt idx="30">
                  <c:v>78.568319747758608</c:v>
                </c:pt>
                <c:pt idx="31">
                  <c:v>81.983351136401794</c:v>
                </c:pt>
                <c:pt idx="32">
                  <c:v>116.20022495544841</c:v>
                </c:pt>
                <c:pt idx="33">
                  <c:v>126.53039520323949</c:v>
                </c:pt>
                <c:pt idx="34">
                  <c:v>160.77058330102949</c:v>
                </c:pt>
                <c:pt idx="35">
                  <c:v>228.8621705579358</c:v>
                </c:pt>
                <c:pt idx="36">
                  <c:v>123.20125067917191</c:v>
                </c:pt>
                <c:pt idx="37">
                  <c:v>117.67077903546</c:v>
                </c:pt>
                <c:pt idx="38">
                  <c:v>191.50807173506701</c:v>
                </c:pt>
                <c:pt idx="39">
                  <c:v>145.70138715926041</c:v>
                </c:pt>
                <c:pt idx="40">
                  <c:v>149.4185612445558</c:v>
                </c:pt>
                <c:pt idx="41">
                  <c:v>194.71103409481981</c:v>
                </c:pt>
                <c:pt idx="42">
                  <c:v>239.3981525107354</c:v>
                </c:pt>
                <c:pt idx="43">
                  <c:v>419.79263722660602</c:v>
                </c:pt>
                <c:pt idx="44">
                  <c:v>310.70739927266709</c:v>
                </c:pt>
                <c:pt idx="45">
                  <c:v>125.6295598680838</c:v>
                </c:pt>
                <c:pt idx="46">
                  <c:v>131.7111886265582</c:v>
                </c:pt>
                <c:pt idx="47">
                  <c:v>282.82379374207261</c:v>
                </c:pt>
                <c:pt idx="48">
                  <c:v>138.52998868426329</c:v>
                </c:pt>
                <c:pt idx="49">
                  <c:v>109.87697572135031</c:v>
                </c:pt>
                <c:pt idx="50">
                  <c:v>93.774190940695377</c:v>
                </c:pt>
                <c:pt idx="51">
                  <c:v>76.25042822265543</c:v>
                </c:pt>
                <c:pt idx="52">
                  <c:v>50.543487760082613</c:v>
                </c:pt>
                <c:pt idx="53">
                  <c:v>74.888982776218057</c:v>
                </c:pt>
                <c:pt idx="54">
                  <c:v>52.095599438463452</c:v>
                </c:pt>
                <c:pt idx="55">
                  <c:v>74.180426039978187</c:v>
                </c:pt>
                <c:pt idx="56">
                  <c:v>68.116869623396937</c:v>
                </c:pt>
                <c:pt idx="57">
                  <c:v>50.539090519702853</c:v>
                </c:pt>
                <c:pt idx="58">
                  <c:v>90.680805562425178</c:v>
                </c:pt>
                <c:pt idx="59">
                  <c:v>63.455327688788032</c:v>
                </c:pt>
                <c:pt idx="60">
                  <c:v>78.571316441678306</c:v>
                </c:pt>
                <c:pt idx="61">
                  <c:v>59.479486768055089</c:v>
                </c:pt>
                <c:pt idx="62">
                  <c:v>51.269783241554933</c:v>
                </c:pt>
                <c:pt idx="63">
                  <c:v>49.383940562011212</c:v>
                </c:pt>
                <c:pt idx="64">
                  <c:v>35.894148271408874</c:v>
                </c:pt>
                <c:pt idx="65">
                  <c:v>47.037633727397647</c:v>
                </c:pt>
                <c:pt idx="66">
                  <c:v>42.521773223099522</c:v>
                </c:pt>
                <c:pt idx="67">
                  <c:v>52.17121747504909</c:v>
                </c:pt>
                <c:pt idx="68">
                  <c:v>45.647504626217007</c:v>
                </c:pt>
                <c:pt idx="69">
                  <c:v>58.441583787091993</c:v>
                </c:pt>
                <c:pt idx="70">
                  <c:v>97.582352616331917</c:v>
                </c:pt>
                <c:pt idx="71">
                  <c:v>92.073217693833982</c:v>
                </c:pt>
                <c:pt idx="72">
                  <c:v>111.1945655985155</c:v>
                </c:pt>
                <c:pt idx="73">
                  <c:v>105.41315973788279</c:v>
                </c:pt>
                <c:pt idx="74">
                  <c:v>57.84566339627056</c:v>
                </c:pt>
                <c:pt idx="75">
                  <c:v>45.844395770687349</c:v>
                </c:pt>
                <c:pt idx="76">
                  <c:v>40.065667394009381</c:v>
                </c:pt>
                <c:pt idx="77">
                  <c:v>33.493381965196598</c:v>
                </c:pt>
                <c:pt idx="78">
                  <c:v>61.32224821093979</c:v>
                </c:pt>
                <c:pt idx="79">
                  <c:v>47.755824567457559</c:v>
                </c:pt>
                <c:pt idx="80">
                  <c:v>49.429094996057238</c:v>
                </c:pt>
                <c:pt idx="81">
                  <c:v>74.266634537895257</c:v>
                </c:pt>
                <c:pt idx="82">
                  <c:v>95.564531802521344</c:v>
                </c:pt>
                <c:pt idx="83">
                  <c:v>80.958034242780258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A4B-A142-8A99-08888E19CF4C}"/>
            </c:ext>
          </c:extLst>
        </c:ser>
        <c:ser>
          <c:idx val="1"/>
          <c:order val="1"/>
          <c:tx>
            <c:strRef>
              <c:f>'Capture Price Inputs'!$I$1</c:f>
              <c:strCache>
                <c:ptCount val="1"/>
                <c:pt idx="0">
                  <c:v>DK2 Capture Price (EUR/MWh)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'Capture Price Inputs'!$I$2:$I$85</c:f>
              <c:numCache>
                <c:formatCode>General</c:formatCode>
                <c:ptCount val="84"/>
                <c:pt idx="12">
                  <c:v>29.86213642213642</c:v>
                </c:pt>
                <c:pt idx="13">
                  <c:v>23.555517829721889</c:v>
                </c:pt>
                <c:pt idx="14">
                  <c:v>17.149050692261021</c:v>
                </c:pt>
                <c:pt idx="15">
                  <c:v>13.252523128367081</c:v>
                </c:pt>
                <c:pt idx="16">
                  <c:v>18.594049382716051</c:v>
                </c:pt>
                <c:pt idx="17">
                  <c:v>35.21078005032583</c:v>
                </c:pt>
                <c:pt idx="18">
                  <c:v>26.450778046867001</c:v>
                </c:pt>
                <c:pt idx="19">
                  <c:v>44.113765015404859</c:v>
                </c:pt>
                <c:pt idx="20">
                  <c:v>41.853047880870562</c:v>
                </c:pt>
                <c:pt idx="21">
                  <c:v>33.600878372903331</c:v>
                </c:pt>
                <c:pt idx="22">
                  <c:v>37.749765625000002</c:v>
                </c:pt>
                <c:pt idx="23">
                  <c:v>44.191428571428567</c:v>
                </c:pt>
                <c:pt idx="24">
                  <c:v>57.072134410081453</c:v>
                </c:pt>
                <c:pt idx="25">
                  <c:v>52.285083654524577</c:v>
                </c:pt>
                <c:pt idx="26">
                  <c:v>47.422643011897812</c:v>
                </c:pt>
                <c:pt idx="27">
                  <c:v>45.901363748248833</c:v>
                </c:pt>
                <c:pt idx="28">
                  <c:v>50.258720231460799</c:v>
                </c:pt>
                <c:pt idx="29">
                  <c:v>69.469341653776226</c:v>
                </c:pt>
                <c:pt idx="30">
                  <c:v>77.933111551394319</c:v>
                </c:pt>
                <c:pt idx="31">
                  <c:v>84.512747690257029</c:v>
                </c:pt>
                <c:pt idx="32">
                  <c:v>118.7457227855615</c:v>
                </c:pt>
                <c:pt idx="33">
                  <c:v>122.3841235967906</c:v>
                </c:pt>
                <c:pt idx="34">
                  <c:v>153.62679427815749</c:v>
                </c:pt>
                <c:pt idx="35">
                  <c:v>244.48727859764409</c:v>
                </c:pt>
                <c:pt idx="36">
                  <c:v>129.67749023150819</c:v>
                </c:pt>
                <c:pt idx="37">
                  <c:v>108.80333899256409</c:v>
                </c:pt>
                <c:pt idx="38">
                  <c:v>186.0504424586062</c:v>
                </c:pt>
                <c:pt idx="39">
                  <c:v>143.53758886421849</c:v>
                </c:pt>
                <c:pt idx="40">
                  <c:v>146.25360234460331</c:v>
                </c:pt>
                <c:pt idx="41">
                  <c:v>192.2325905808319</c:v>
                </c:pt>
                <c:pt idx="42">
                  <c:v>212.3625858003895</c:v>
                </c:pt>
                <c:pt idx="43">
                  <c:v>397.17988485976059</c:v>
                </c:pt>
                <c:pt idx="44">
                  <c:v>315.92884279677901</c:v>
                </c:pt>
                <c:pt idx="45">
                  <c:v>120.1190076327392</c:v>
                </c:pt>
                <c:pt idx="46">
                  <c:v>134.0399027878758</c:v>
                </c:pt>
                <c:pt idx="47">
                  <c:v>303.26978481668573</c:v>
                </c:pt>
                <c:pt idx="48">
                  <c:v>120.8992864784306</c:v>
                </c:pt>
                <c:pt idx="49">
                  <c:v>103.112625406295</c:v>
                </c:pt>
                <c:pt idx="50">
                  <c:v>89.098468921641697</c:v>
                </c:pt>
                <c:pt idx="51">
                  <c:v>71.125099705594195</c:v>
                </c:pt>
                <c:pt idx="52">
                  <c:v>48.358083796456327</c:v>
                </c:pt>
                <c:pt idx="53">
                  <c:v>71.862090372222397</c:v>
                </c:pt>
                <c:pt idx="54">
                  <c:v>50.345966617092351</c:v>
                </c:pt>
                <c:pt idx="55">
                  <c:v>72.957992347987414</c:v>
                </c:pt>
                <c:pt idx="56">
                  <c:v>64.394484672464898</c:v>
                </c:pt>
                <c:pt idx="57">
                  <c:v>47.660255094286853</c:v>
                </c:pt>
                <c:pt idx="58">
                  <c:v>84.639978605265995</c:v>
                </c:pt>
                <c:pt idx="59">
                  <c:v>59.061746333079718</c:v>
                </c:pt>
                <c:pt idx="60">
                  <c:v>76.427202535219209</c:v>
                </c:pt>
                <c:pt idx="61">
                  <c:v>51.434379196547752</c:v>
                </c:pt>
                <c:pt idx="62">
                  <c:v>50.751163813053438</c:v>
                </c:pt>
                <c:pt idx="63">
                  <c:v>47.053967904827999</c:v>
                </c:pt>
                <c:pt idx="64">
                  <c:v>34.295794113692892</c:v>
                </c:pt>
                <c:pt idx="65">
                  <c:v>46.379384034583367</c:v>
                </c:pt>
                <c:pt idx="66">
                  <c:v>38.812821969471173</c:v>
                </c:pt>
                <c:pt idx="67">
                  <c:v>47.151863118292532</c:v>
                </c:pt>
                <c:pt idx="68">
                  <c:v>43.355946350842189</c:v>
                </c:pt>
                <c:pt idx="69">
                  <c:v>59.534937630286556</c:v>
                </c:pt>
                <c:pt idx="70">
                  <c:v>89.611277477917284</c:v>
                </c:pt>
                <c:pt idx="71">
                  <c:v>100.7961313991171</c:v>
                </c:pt>
                <c:pt idx="72">
                  <c:v>115.0822593270056</c:v>
                </c:pt>
                <c:pt idx="73">
                  <c:v>106.92318207316821</c:v>
                </c:pt>
                <c:pt idx="74">
                  <c:v>50.018062961268747</c:v>
                </c:pt>
                <c:pt idx="75">
                  <c:v>41.82584156307518</c:v>
                </c:pt>
                <c:pt idx="76">
                  <c:v>34.320660344591218</c:v>
                </c:pt>
                <c:pt idx="77">
                  <c:v>24.31568572006325</c:v>
                </c:pt>
                <c:pt idx="78">
                  <c:v>59.766943882147693</c:v>
                </c:pt>
                <c:pt idx="79">
                  <c:v>43.064604783544858</c:v>
                </c:pt>
                <c:pt idx="80">
                  <c:v>52.949405153808357</c:v>
                </c:pt>
                <c:pt idx="81">
                  <c:v>78.645730322406678</c:v>
                </c:pt>
                <c:pt idx="82">
                  <c:v>92.690454871532665</c:v>
                </c:pt>
                <c:pt idx="83">
                  <c:v>79.631228022083661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A4B-A142-8A99-08888E19CF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Capture Price Ratio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Inputs'!$J$1</c:f>
              <c:strCache>
                <c:ptCount val="1"/>
                <c:pt idx="0">
                  <c:v>DK1 CPR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Inputs'!$J$2:$J$85</c:f>
              <c:numCache>
                <c:formatCode>General</c:formatCode>
                <c:ptCount val="84"/>
                <c:pt idx="12">
                  <c:v>1.0091486594474419</c:v>
                </c:pt>
                <c:pt idx="13">
                  <c:v>1.2985911686950511</c:v>
                </c:pt>
                <c:pt idx="14">
                  <c:v>0.8710146939215303</c:v>
                </c:pt>
                <c:pt idx="15">
                  <c:v>0.71315772558819213</c:v>
                </c:pt>
                <c:pt idx="16">
                  <c:v>0.96415576931205649</c:v>
                </c:pt>
                <c:pt idx="17">
                  <c:v>1.0394664137310941</c:v>
                </c:pt>
                <c:pt idx="18">
                  <c:v>1.0086181556608309</c:v>
                </c:pt>
                <c:pt idx="19">
                  <c:v>0.98082264407500741</c:v>
                </c:pt>
                <c:pt idx="20">
                  <c:v>1.0104044869130051</c:v>
                </c:pt>
                <c:pt idx="21">
                  <c:v>1.236802226812374</c:v>
                </c:pt>
                <c:pt idx="22">
                  <c:v>1.094777917215692</c:v>
                </c:pt>
                <c:pt idx="23">
                  <c:v>1.0082301641826621</c:v>
                </c:pt>
                <c:pt idx="24">
                  <c:v>1.103930861568265</c:v>
                </c:pt>
                <c:pt idx="25">
                  <c:v>1.0059479277054251</c:v>
                </c:pt>
                <c:pt idx="26">
                  <c:v>0.9871758725122356</c:v>
                </c:pt>
                <c:pt idx="27">
                  <c:v>0.90884647456650169</c:v>
                </c:pt>
                <c:pt idx="28">
                  <c:v>0.87751805187154364</c:v>
                </c:pt>
                <c:pt idx="29">
                  <c:v>0.95691427953473174</c:v>
                </c:pt>
                <c:pt idx="30">
                  <c:v>0.98211323715969778</c:v>
                </c:pt>
                <c:pt idx="31">
                  <c:v>0.99027147802450566</c:v>
                </c:pt>
                <c:pt idx="32">
                  <c:v>0.92690440483613579</c:v>
                </c:pt>
                <c:pt idx="33">
                  <c:v>1.0810885074134391</c:v>
                </c:pt>
                <c:pt idx="34">
                  <c:v>1.1338034085044659</c:v>
                </c:pt>
                <c:pt idx="35">
                  <c:v>1.2086769624549281</c:v>
                </c:pt>
                <c:pt idx="36">
                  <c:v>1.0441257304277269</c:v>
                </c:pt>
                <c:pt idx="37">
                  <c:v>1.04022281700981</c:v>
                </c:pt>
                <c:pt idx="38">
                  <c:v>0.81207759044207406</c:v>
                </c:pt>
                <c:pt idx="39">
                  <c:v>0.89039133384678326</c:v>
                </c:pt>
                <c:pt idx="40">
                  <c:v>0.86943016050498578</c:v>
                </c:pt>
                <c:pt idx="41">
                  <c:v>0.90803902012341908</c:v>
                </c:pt>
                <c:pt idx="42">
                  <c:v>0.87041791592949547</c:v>
                </c:pt>
                <c:pt idx="43">
                  <c:v>0.91908553046700026</c:v>
                </c:pt>
                <c:pt idx="44">
                  <c:v>0.90632901805683119</c:v>
                </c:pt>
                <c:pt idx="45">
                  <c:v>0.91612325253961768</c:v>
                </c:pt>
                <c:pt idx="46">
                  <c:v>0.94278612074660006</c:v>
                </c:pt>
                <c:pt idx="47">
                  <c:v>1.132810339248927</c:v>
                </c:pt>
                <c:pt idx="48">
                  <c:v>1.2309198691226539</c:v>
                </c:pt>
                <c:pt idx="49">
                  <c:v>0.93008781340266</c:v>
                </c:pt>
                <c:pt idx="50">
                  <c:v>0.94612539759598957</c:v>
                </c:pt>
                <c:pt idx="51">
                  <c:v>0.79203966120386338</c:v>
                </c:pt>
                <c:pt idx="52">
                  <c:v>0.68333610561519953</c:v>
                </c:pt>
                <c:pt idx="53">
                  <c:v>0.80965062086215667</c:v>
                </c:pt>
                <c:pt idx="54">
                  <c:v>0.80380421953260928</c:v>
                </c:pt>
                <c:pt idx="55">
                  <c:v>0.86289309777204071</c:v>
                </c:pt>
                <c:pt idx="56">
                  <c:v>0.8038389922187259</c:v>
                </c:pt>
                <c:pt idx="57">
                  <c:v>0.84083605560542263</c:v>
                </c:pt>
                <c:pt idx="58">
                  <c:v>1.028656893611996</c:v>
                </c:pt>
                <c:pt idx="59">
                  <c:v>0.91325607762876626</c:v>
                </c:pt>
                <c:pt idx="60">
                  <c:v>1.051614630458469</c:v>
                </c:pt>
                <c:pt idx="61">
                  <c:v>1.0144208291794441</c:v>
                </c:pt>
                <c:pt idx="62">
                  <c:v>0.8373818542217274</c:v>
                </c:pt>
                <c:pt idx="63">
                  <c:v>0.83468460161643787</c:v>
                </c:pt>
                <c:pt idx="64">
                  <c:v>0.61339845366508694</c:v>
                </c:pt>
                <c:pt idx="65">
                  <c:v>0.73781003223868646</c:v>
                </c:pt>
                <c:pt idx="66">
                  <c:v>0.68549949487061801</c:v>
                </c:pt>
                <c:pt idx="67">
                  <c:v>0.71512676219349525</c:v>
                </c:pt>
                <c:pt idx="68">
                  <c:v>0.63652522303957304</c:v>
                </c:pt>
                <c:pt idx="69">
                  <c:v>0.76175188075929667</c:v>
                </c:pt>
                <c:pt idx="70">
                  <c:v>1.0174940038611719</c:v>
                </c:pt>
                <c:pt idx="71">
                  <c:v>1.0025674160411211</c:v>
                </c:pt>
                <c:pt idx="72">
                  <c:v>1.135032584901597</c:v>
                </c:pt>
                <c:pt idx="73">
                  <c:v>0.93411665141872979</c:v>
                </c:pt>
                <c:pt idx="74">
                  <c:v>0.68579081688022481</c:v>
                </c:pt>
                <c:pt idx="75">
                  <c:v>0.60995353561832499</c:v>
                </c:pt>
                <c:pt idx="76">
                  <c:v>0.62375117423189408</c:v>
                </c:pt>
                <c:pt idx="77">
                  <c:v>0.56976432128633303</c:v>
                </c:pt>
                <c:pt idx="78">
                  <c:v>0.74058967108380014</c:v>
                </c:pt>
                <c:pt idx="79">
                  <c:v>0.64997112344594554</c:v>
                </c:pt>
                <c:pt idx="80">
                  <c:v>0.68273474898658593</c:v>
                </c:pt>
                <c:pt idx="81">
                  <c:v>0.94701517193480578</c:v>
                </c:pt>
                <c:pt idx="82">
                  <c:v>1.0289764309560969</c:v>
                </c:pt>
                <c:pt idx="83">
                  <c:v>0.98205388617926037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702-4A42-945D-7D6818C41623}"/>
            </c:ext>
          </c:extLst>
        </c:ser>
        <c:ser>
          <c:idx val="1"/>
          <c:order val="1"/>
          <c:tx>
            <c:strRef>
              <c:f>'Capture Price Inputs'!$K$1</c:f>
              <c:strCache>
                <c:ptCount val="1"/>
                <c:pt idx="0">
                  <c:v>DK2 CPR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'Capture Price Inputs'!$K$2:$K$85</c:f>
              <c:numCache>
                <c:formatCode>General</c:formatCode>
                <c:ptCount val="84"/>
                <c:pt idx="12">
                  <c:v>1.090446324793763</c:v>
                </c:pt>
                <c:pt idx="13">
                  <c:v>1.251821301318464</c:v>
                </c:pt>
                <c:pt idx="14">
                  <c:v>0.85520775851277109</c:v>
                </c:pt>
                <c:pt idx="15">
                  <c:v>0.76362023547871605</c:v>
                </c:pt>
                <c:pt idx="16">
                  <c:v>0.97636938233545278</c:v>
                </c:pt>
                <c:pt idx="17">
                  <c:v>1.180647007173951</c:v>
                </c:pt>
                <c:pt idx="18">
                  <c:v>1.021791049952987</c:v>
                </c:pt>
                <c:pt idx="19">
                  <c:v>1.077948442472481</c:v>
                </c:pt>
                <c:pt idx="20">
                  <c:v>1.0591890923358069</c:v>
                </c:pt>
                <c:pt idx="21">
                  <c:v>1.247549053102559</c:v>
                </c:pt>
                <c:pt idx="22">
                  <c:v>1.057080411727209</c:v>
                </c:pt>
                <c:pt idx="23">
                  <c:v>1.125691191699302</c:v>
                </c:pt>
                <c:pt idx="24">
                  <c:v>1.122164979814525</c:v>
                </c:pt>
                <c:pt idx="25">
                  <c:v>0.9585139857498034</c:v>
                </c:pt>
                <c:pt idx="26">
                  <c:v>1.0147741726503949</c:v>
                </c:pt>
                <c:pt idx="27">
                  <c:v>0.95901643664766134</c:v>
                </c:pt>
                <c:pt idx="28">
                  <c:v>0.91033887361171206</c:v>
                </c:pt>
                <c:pt idx="29">
                  <c:v>0.94404491874816343</c:v>
                </c:pt>
                <c:pt idx="30">
                  <c:v>0.95692856904650769</c:v>
                </c:pt>
                <c:pt idx="31">
                  <c:v>1.001768528067071</c:v>
                </c:pt>
                <c:pt idx="32">
                  <c:v>0.95838336990944806</c:v>
                </c:pt>
                <c:pt idx="33">
                  <c:v>1.1445012658471321</c:v>
                </c:pt>
                <c:pt idx="34">
                  <c:v>1.1264608571418011</c:v>
                </c:pt>
                <c:pt idx="35">
                  <c:v>1.279578427053047</c:v>
                </c:pt>
                <c:pt idx="36">
                  <c:v>1.1617546523412821</c:v>
                </c:pt>
                <c:pt idx="37">
                  <c:v>1.084871924613185</c:v>
                </c:pt>
                <c:pt idx="38">
                  <c:v>0.81629582758371144</c:v>
                </c:pt>
                <c:pt idx="39">
                  <c:v>0.93918048773921026</c:v>
                </c:pt>
                <c:pt idx="40">
                  <c:v>0.89914563143311954</c:v>
                </c:pt>
                <c:pt idx="41">
                  <c:v>0.90151367457475784</c:v>
                </c:pt>
                <c:pt idx="42">
                  <c:v>0.90956244496775596</c:v>
                </c:pt>
                <c:pt idx="43">
                  <c:v>0.8830756108422062</c:v>
                </c:pt>
                <c:pt idx="44">
                  <c:v>0.96085369829588263</c:v>
                </c:pt>
                <c:pt idx="45">
                  <c:v>0.87743541957368609</c:v>
                </c:pt>
                <c:pt idx="46">
                  <c:v>0.92404474391789948</c:v>
                </c:pt>
                <c:pt idx="47">
                  <c:v>1.2185280560697289</c:v>
                </c:pt>
                <c:pt idx="48">
                  <c:v>1.2118663236304299</c:v>
                </c:pt>
                <c:pt idx="49">
                  <c:v>1.0244781228159621</c:v>
                </c:pt>
                <c:pt idx="50">
                  <c:v>0.99223631219701203</c:v>
                </c:pt>
                <c:pt idx="51">
                  <c:v>0.85025873478203906</c:v>
                </c:pt>
                <c:pt idx="52">
                  <c:v>0.73101748270540212</c:v>
                </c:pt>
                <c:pt idx="53">
                  <c:v>0.78603819917365525</c:v>
                </c:pt>
                <c:pt idx="54">
                  <c:v>0.77170348712471282</c:v>
                </c:pt>
                <c:pt idx="55">
                  <c:v>0.84546104105698361</c:v>
                </c:pt>
                <c:pt idx="56">
                  <c:v>0.75329173308453345</c:v>
                </c:pt>
                <c:pt idx="57">
                  <c:v>0.83723449033464103</c:v>
                </c:pt>
                <c:pt idx="58">
                  <c:v>1.038705241708771</c:v>
                </c:pt>
                <c:pt idx="59">
                  <c:v>0.83326707575628478</c:v>
                </c:pt>
                <c:pt idx="60">
                  <c:v>0.97714487510792902</c:v>
                </c:pt>
                <c:pt idx="61">
                  <c:v>0.93991726033346112</c:v>
                </c:pt>
                <c:pt idx="62">
                  <c:v>0.8314293202728863</c:v>
                </c:pt>
                <c:pt idx="63">
                  <c:v>0.77805107456374178</c:v>
                </c:pt>
                <c:pt idx="64">
                  <c:v>0.59005563427075769</c:v>
                </c:pt>
                <c:pt idx="65">
                  <c:v>0.69439585691141426</c:v>
                </c:pt>
                <c:pt idx="66">
                  <c:v>0.61762838453946423</c:v>
                </c:pt>
                <c:pt idx="67">
                  <c:v>0.64934714792296455</c:v>
                </c:pt>
                <c:pt idx="68">
                  <c:v>0.61574801135475132</c:v>
                </c:pt>
                <c:pt idx="69">
                  <c:v>0.78000735067931948</c:v>
                </c:pt>
                <c:pt idx="70">
                  <c:v>0.94047799551015088</c:v>
                </c:pt>
                <c:pt idx="71">
                  <c:v>1.0870067185479459</c:v>
                </c:pt>
                <c:pt idx="72">
                  <c:v>1.1494003648079021</c:v>
                </c:pt>
                <c:pt idx="73">
                  <c:v>0.90662384271333907</c:v>
                </c:pt>
                <c:pt idx="74">
                  <c:v>0.60374116471580297</c:v>
                </c:pt>
                <c:pt idx="75">
                  <c:v>0.55174367988103734</c:v>
                </c:pt>
                <c:pt idx="76">
                  <c:v>0.54405946330729504</c:v>
                </c:pt>
                <c:pt idx="77">
                  <c:v>0.4307606652121766</c:v>
                </c:pt>
                <c:pt idx="78">
                  <c:v>0.74746341861966192</c:v>
                </c:pt>
                <c:pt idx="79">
                  <c:v>0.57178942343359873</c:v>
                </c:pt>
                <c:pt idx="80">
                  <c:v>0.63573160083367797</c:v>
                </c:pt>
                <c:pt idx="81">
                  <c:v>0.95480840081563045</c:v>
                </c:pt>
                <c:pt idx="82">
                  <c:v>0.98927251294969987</c:v>
                </c:pt>
                <c:pt idx="83">
                  <c:v>0.97014796253594149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702-4A42-945D-7D6818C416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CPR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Solar Penetration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Inputs'!$F$1</c:f>
              <c:strCache>
                <c:ptCount val="1"/>
                <c:pt idx="0">
                  <c:v>DK1 Solar Penetration (%) — Primary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'Capture Price Inputs'!$F$2:$F$85</c:f>
              <c:numCache>
                <c:formatCode>General</c:formatCode>
                <c:ptCount val="84"/>
                <c:pt idx="12">
                  <c:v>2.2644478926294831E-3</c:v>
                </c:pt>
                <c:pt idx="13">
                  <c:v>5.2474520244822449E-3</c:v>
                </c:pt>
                <c:pt idx="14">
                  <c:v>2.020167759412729E-2</c:v>
                </c:pt>
                <c:pt idx="15">
                  <c:v>3.2427989612304697E-2</c:v>
                </c:pt>
                <c:pt idx="16">
                  <c:v>3.6080087237903569E-2</c:v>
                </c:pt>
                <c:pt idx="17">
                  <c:v>3.7413618831640891E-2</c:v>
                </c:pt>
                <c:pt idx="18">
                  <c:v>3.3998433859503921E-2</c:v>
                </c:pt>
                <c:pt idx="19">
                  <c:v>3.4224763142537661E-2</c:v>
                </c:pt>
                <c:pt idx="20">
                  <c:v>2.4330151939157239E-2</c:v>
                </c:pt>
                <c:pt idx="21">
                  <c:v>1.1490387549446779E-2</c:v>
                </c:pt>
                <c:pt idx="22">
                  <c:v>1.521101274151999E-4</c:v>
                </c:pt>
                <c:pt idx="23">
                  <c:v>1.472410662127807E-5</c:v>
                </c:pt>
                <c:pt idx="24">
                  <c:v>3.6313559990350909E-3</c:v>
                </c:pt>
                <c:pt idx="25">
                  <c:v>1.0868941718057299E-2</c:v>
                </c:pt>
                <c:pt idx="26">
                  <c:v>2.2382303907371628E-2</c:v>
                </c:pt>
                <c:pt idx="27">
                  <c:v>4.212837115783985E-2</c:v>
                </c:pt>
                <c:pt idx="28">
                  <c:v>3.3075052211960353E-2</c:v>
                </c:pt>
                <c:pt idx="29">
                  <c:v>4.9841661821819518E-2</c:v>
                </c:pt>
                <c:pt idx="30">
                  <c:v>4.85715434854639E-2</c:v>
                </c:pt>
                <c:pt idx="31">
                  <c:v>3.8876947944708702E-2</c:v>
                </c:pt>
                <c:pt idx="32">
                  <c:v>2.5932850179436289E-2</c:v>
                </c:pt>
                <c:pt idx="33">
                  <c:v>1.7460096431489061E-2</c:v>
                </c:pt>
                <c:pt idx="34">
                  <c:v>7.0293060058135041E-3</c:v>
                </c:pt>
                <c:pt idx="35">
                  <c:v>3.243365391886713E-3</c:v>
                </c:pt>
                <c:pt idx="36">
                  <c:v>6.6753155472480874E-3</c:v>
                </c:pt>
                <c:pt idx="37">
                  <c:v>1.7399571233002901E-2</c:v>
                </c:pt>
                <c:pt idx="38">
                  <c:v>6.1955070586442867E-2</c:v>
                </c:pt>
                <c:pt idx="39">
                  <c:v>8.404056603836467E-2</c:v>
                </c:pt>
                <c:pt idx="40">
                  <c:v>9.6876891420316108E-2</c:v>
                </c:pt>
                <c:pt idx="41">
                  <c:v>9.4962020744311482E-2</c:v>
                </c:pt>
                <c:pt idx="42">
                  <c:v>9.963556652585577E-2</c:v>
                </c:pt>
                <c:pt idx="43">
                  <c:v>8.9626978325266782E-2</c:v>
                </c:pt>
                <c:pt idx="44">
                  <c:v>6.6046498591704736E-2</c:v>
                </c:pt>
                <c:pt idx="45">
                  <c:v>3.7469414477654707E-2</c:v>
                </c:pt>
                <c:pt idx="46">
                  <c:v>1.046932675470221E-2</c:v>
                </c:pt>
                <c:pt idx="47">
                  <c:v>6.2291646451968653E-3</c:v>
                </c:pt>
                <c:pt idx="48">
                  <c:v>1.2460694276862919E-2</c:v>
                </c:pt>
                <c:pt idx="49">
                  <c:v>3.4376404191763639E-2</c:v>
                </c:pt>
                <c:pt idx="50">
                  <c:v>5.6477968577058592E-2</c:v>
                </c:pt>
                <c:pt idx="51">
                  <c:v>0.1509467292684683</c:v>
                </c:pt>
                <c:pt idx="52">
                  <c:v>0.18600333743842001</c:v>
                </c:pt>
                <c:pt idx="53">
                  <c:v>0.21892573712946101</c:v>
                </c:pt>
                <c:pt idx="54">
                  <c:v>0.18929524056345021</c:v>
                </c:pt>
                <c:pt idx="55">
                  <c:v>0.1493297980639493</c:v>
                </c:pt>
                <c:pt idx="56">
                  <c:v>0.13191654386548721</c:v>
                </c:pt>
                <c:pt idx="57">
                  <c:v>4.2864886456730103E-2</c:v>
                </c:pt>
                <c:pt idx="58">
                  <c:v>1.6003493537152379E-2</c:v>
                </c:pt>
                <c:pt idx="59">
                  <c:v>6.3905046726965339E-3</c:v>
                </c:pt>
                <c:pt idx="60">
                  <c:v>1.3417186050607519E-2</c:v>
                </c:pt>
                <c:pt idx="61">
                  <c:v>2.6436223837926501E-2</c:v>
                </c:pt>
                <c:pt idx="62">
                  <c:v>6.6233973400350477E-2</c:v>
                </c:pt>
                <c:pt idx="63">
                  <c:v>0.1084169878649764</c:v>
                </c:pt>
                <c:pt idx="64">
                  <c:v>0.18887031649880051</c:v>
                </c:pt>
                <c:pt idx="65">
                  <c:v>0.1715230569234828</c:v>
                </c:pt>
                <c:pt idx="66">
                  <c:v>0.1809062055635286</c:v>
                </c:pt>
                <c:pt idx="67">
                  <c:v>0.15512153111725799</c:v>
                </c:pt>
                <c:pt idx="68">
                  <c:v>0.1275567235314205</c:v>
                </c:pt>
                <c:pt idx="69">
                  <c:v>6.2873767847415107E-2</c:v>
                </c:pt>
                <c:pt idx="70">
                  <c:v>1.780902737610289E-2</c:v>
                </c:pt>
                <c:pt idx="71">
                  <c:v>6.7857975683456679E-3</c:v>
                </c:pt>
                <c:pt idx="72">
                  <c:v>1.366055484422285E-2</c:v>
                </c:pt>
                <c:pt idx="73">
                  <c:v>4.3419934817177687E-2</c:v>
                </c:pt>
                <c:pt idx="74">
                  <c:v>0.1120694547038418</c:v>
                </c:pt>
                <c:pt idx="75">
                  <c:v>0.14827548756052711</c:v>
                </c:pt>
                <c:pt idx="76">
                  <c:v>0.19244468175967161</c:v>
                </c:pt>
                <c:pt idx="77">
                  <c:v>0.18784829238523279</c:v>
                </c:pt>
                <c:pt idx="78">
                  <c:v>0.21828188848241209</c:v>
                </c:pt>
                <c:pt idx="79">
                  <c:v>0.19011684012808119</c:v>
                </c:pt>
                <c:pt idx="80">
                  <c:v>0.13816152724517919</c:v>
                </c:pt>
                <c:pt idx="81">
                  <c:v>6.9462071202051626E-2</c:v>
                </c:pt>
                <c:pt idx="82">
                  <c:v>2.6604970402147529E-2</c:v>
                </c:pt>
                <c:pt idx="83">
                  <c:v>1.40253486520015E-2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52E-7941-80C7-4547D1F4753B}"/>
            </c:ext>
          </c:extLst>
        </c:ser>
        <c:ser>
          <c:idx val="1"/>
          <c:order val="1"/>
          <c:tx>
            <c:strRef>
              <c:f>'Capture Price Inputs'!$G$1</c:f>
              <c:strCache>
                <c:ptCount val="1"/>
                <c:pt idx="0">
                  <c:v>DK2 Solar Penetration (%) — Robustness</c:v>
                </c:pt>
              </c:strCache>
            </c:strRef>
          </c:tx>
          <c:spPr>
            <a:ln>
              <a:solidFill>
                <a:srgbClr val="FFD700"/>
              </a:solidFill>
              <a:prstDash val="solid"/>
            </a:ln>
          </c:spPr>
          <c:marker>
            <c:symbol val="none"/>
          </c:marker>
          <c:val>
            <c:numRef>
              <c:f>'Capture Price Inputs'!$G$2:$G$85</c:f>
              <c:numCache>
                <c:formatCode>General</c:formatCode>
                <c:ptCount val="84"/>
                <c:pt idx="12">
                  <c:v>1.864323044087839E-3</c:v>
                </c:pt>
                <c:pt idx="13">
                  <c:v>4.9613393448072352E-3</c:v>
                </c:pt>
                <c:pt idx="14">
                  <c:v>1.532033335337761E-2</c:v>
                </c:pt>
                <c:pt idx="15">
                  <c:v>2.6180595134545931E-2</c:v>
                </c:pt>
                <c:pt idx="16">
                  <c:v>3.2240930774166239E-2</c:v>
                </c:pt>
                <c:pt idx="17">
                  <c:v>3.0651812088155841E-2</c:v>
                </c:pt>
                <c:pt idx="18">
                  <c:v>2.998206800974695E-2</c:v>
                </c:pt>
                <c:pt idx="19">
                  <c:v>2.8034713414307081E-2</c:v>
                </c:pt>
                <c:pt idx="20">
                  <c:v>2.1736479101595249E-2</c:v>
                </c:pt>
                <c:pt idx="21">
                  <c:v>1.107911770574695E-2</c:v>
                </c:pt>
                <c:pt idx="22">
                  <c:v>1.1044611578332841E-4</c:v>
                </c:pt>
                <c:pt idx="23">
                  <c:v>5.6352433584062588E-6</c:v>
                </c:pt>
                <c:pt idx="24">
                  <c:v>3.104474131982996E-3</c:v>
                </c:pt>
                <c:pt idx="25">
                  <c:v>9.2483369487723587E-3</c:v>
                </c:pt>
                <c:pt idx="26">
                  <c:v>1.8474517045212829E-2</c:v>
                </c:pt>
                <c:pt idx="27">
                  <c:v>3.2694407483312787E-2</c:v>
                </c:pt>
                <c:pt idx="28">
                  <c:v>3.2945829294540187E-2</c:v>
                </c:pt>
                <c:pt idx="29">
                  <c:v>4.4480133140056069E-2</c:v>
                </c:pt>
                <c:pt idx="30">
                  <c:v>3.7049542537302173E-2</c:v>
                </c:pt>
                <c:pt idx="31">
                  <c:v>3.1857768834261987E-2</c:v>
                </c:pt>
                <c:pt idx="32">
                  <c:v>2.23981137027396E-2</c:v>
                </c:pt>
                <c:pt idx="33">
                  <c:v>1.267326343754744E-2</c:v>
                </c:pt>
                <c:pt idx="34">
                  <c:v>4.0132810857910267E-3</c:v>
                </c:pt>
                <c:pt idx="35">
                  <c:v>1.8226295838260991E-3</c:v>
                </c:pt>
                <c:pt idx="36">
                  <c:v>4.939556742877535E-3</c:v>
                </c:pt>
                <c:pt idx="37">
                  <c:v>1.3248485586698279E-2</c:v>
                </c:pt>
                <c:pt idx="38">
                  <c:v>3.4089330349121053E-2</c:v>
                </c:pt>
                <c:pt idx="39">
                  <c:v>5.5254436099578648E-2</c:v>
                </c:pt>
                <c:pt idx="40">
                  <c:v>6.5811459960859395E-2</c:v>
                </c:pt>
                <c:pt idx="41">
                  <c:v>6.4528229045867816E-2</c:v>
                </c:pt>
                <c:pt idx="42">
                  <c:v>6.7025803801952916E-2</c:v>
                </c:pt>
                <c:pt idx="43">
                  <c:v>6.1299924397195817E-2</c:v>
                </c:pt>
                <c:pt idx="44">
                  <c:v>4.5784276103507021E-2</c:v>
                </c:pt>
                <c:pt idx="45">
                  <c:v>2.9809058027035401E-2</c:v>
                </c:pt>
                <c:pt idx="46">
                  <c:v>7.8652952619005494E-3</c:v>
                </c:pt>
                <c:pt idx="47">
                  <c:v>4.5323555529735481E-3</c:v>
                </c:pt>
                <c:pt idx="48">
                  <c:v>5.8626527231366082E-3</c:v>
                </c:pt>
                <c:pt idx="49">
                  <c:v>1.8877648418373551E-2</c:v>
                </c:pt>
                <c:pt idx="50">
                  <c:v>3.7096229392005707E-2</c:v>
                </c:pt>
                <c:pt idx="51">
                  <c:v>8.0269966033824955E-2</c:v>
                </c:pt>
                <c:pt idx="52">
                  <c:v>0.1080032082802261</c:v>
                </c:pt>
                <c:pt idx="53">
                  <c:v>0.1144244665352921</c:v>
                </c:pt>
                <c:pt idx="54">
                  <c:v>0.10203074507159759</c:v>
                </c:pt>
                <c:pt idx="55">
                  <c:v>7.7931010532967707E-2</c:v>
                </c:pt>
                <c:pt idx="56">
                  <c:v>8.0909954639318743E-2</c:v>
                </c:pt>
                <c:pt idx="57">
                  <c:v>2.9172340215594381E-2</c:v>
                </c:pt>
                <c:pt idx="58">
                  <c:v>1.04098691216888E-2</c:v>
                </c:pt>
                <c:pt idx="59">
                  <c:v>3.809030164374855E-3</c:v>
                </c:pt>
                <c:pt idx="60">
                  <c:v>6.1781830729755079E-3</c:v>
                </c:pt>
                <c:pt idx="61">
                  <c:v>1.667231366864759E-2</c:v>
                </c:pt>
                <c:pt idx="62">
                  <c:v>4.1112806367337662E-2</c:v>
                </c:pt>
                <c:pt idx="63">
                  <c:v>6.5123378744806448E-2</c:v>
                </c:pt>
                <c:pt idx="64">
                  <c:v>0.106315341440858</c:v>
                </c:pt>
                <c:pt idx="65">
                  <c:v>0.1072729076610999</c:v>
                </c:pt>
                <c:pt idx="66">
                  <c:v>0.1057942634887733</c:v>
                </c:pt>
                <c:pt idx="67">
                  <c:v>9.3690832268705199E-2</c:v>
                </c:pt>
                <c:pt idx="68">
                  <c:v>7.2463202820400169E-2</c:v>
                </c:pt>
                <c:pt idx="69">
                  <c:v>3.6145253892379881E-2</c:v>
                </c:pt>
                <c:pt idx="70">
                  <c:v>8.6028414054236078E-3</c:v>
                </c:pt>
                <c:pt idx="71">
                  <c:v>4.1714684657767577E-3</c:v>
                </c:pt>
                <c:pt idx="72">
                  <c:v>7.223240212576967E-3</c:v>
                </c:pt>
                <c:pt idx="73">
                  <c:v>2.010831138567791E-2</c:v>
                </c:pt>
                <c:pt idx="74">
                  <c:v>4.6547866447452589E-2</c:v>
                </c:pt>
                <c:pt idx="75">
                  <c:v>7.1689783649061992E-2</c:v>
                </c:pt>
                <c:pt idx="76">
                  <c:v>9.4714127256233946E-2</c:v>
                </c:pt>
                <c:pt idx="77">
                  <c:v>9.9826250015510765E-2</c:v>
                </c:pt>
                <c:pt idx="78">
                  <c:v>9.3996419418699143E-2</c:v>
                </c:pt>
                <c:pt idx="79">
                  <c:v>0.1057378118957395</c:v>
                </c:pt>
                <c:pt idx="80">
                  <c:v>9.0628879686523764E-2</c:v>
                </c:pt>
                <c:pt idx="81">
                  <c:v>3.9573125678626628E-2</c:v>
                </c:pt>
                <c:pt idx="82">
                  <c:v>1.454364344794783E-2</c:v>
                </c:pt>
                <c:pt idx="83">
                  <c:v>9.0694911608833299E-3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52E-7941-80C7-4547D1F475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Solar Penetration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Capture Price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Inputs'!$H$1</c:f>
              <c:strCache>
                <c:ptCount val="1"/>
                <c:pt idx="0">
                  <c:v>DK1 Capture Price (EUR/MWh)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Inputs'!$H$2:$H$85</c:f>
              <c:numCache>
                <c:formatCode>General</c:formatCode>
                <c:ptCount val="84"/>
                <c:pt idx="12">
                  <c:v>25.22320957280251</c:v>
                </c:pt>
                <c:pt idx="13">
                  <c:v>22.83581899109792</c:v>
                </c:pt>
                <c:pt idx="14">
                  <c:v>15.94107348554973</c:v>
                </c:pt>
                <c:pt idx="15">
                  <c:v>10.36487590420421</c:v>
                </c:pt>
                <c:pt idx="16">
                  <c:v>15.478548945086001</c:v>
                </c:pt>
                <c:pt idx="17">
                  <c:v>27.313308227868689</c:v>
                </c:pt>
                <c:pt idx="18">
                  <c:v>24.831745178109159</c:v>
                </c:pt>
                <c:pt idx="19">
                  <c:v>33.876915422047851</c:v>
                </c:pt>
                <c:pt idx="20">
                  <c:v>38.935979003379593</c:v>
                </c:pt>
                <c:pt idx="21">
                  <c:v>31.927741533059191</c:v>
                </c:pt>
                <c:pt idx="22">
                  <c:v>26.005993265993261</c:v>
                </c:pt>
                <c:pt idx="23">
                  <c:v>34.795161290322582</c:v>
                </c:pt>
                <c:pt idx="24">
                  <c:v>55.422967607277918</c:v>
                </c:pt>
                <c:pt idx="25">
                  <c:v>47.542610979142587</c:v>
                </c:pt>
                <c:pt idx="26">
                  <c:v>44.550700915805493</c:v>
                </c:pt>
                <c:pt idx="27">
                  <c:v>43.594739828473003</c:v>
                </c:pt>
                <c:pt idx="28">
                  <c:v>47.655870575001217</c:v>
                </c:pt>
                <c:pt idx="29">
                  <c:v>70.543547911111062</c:v>
                </c:pt>
                <c:pt idx="30">
                  <c:v>78.568319747758608</c:v>
                </c:pt>
                <c:pt idx="31">
                  <c:v>81.983351136401794</c:v>
                </c:pt>
                <c:pt idx="32">
                  <c:v>116.20022495544841</c:v>
                </c:pt>
                <c:pt idx="33">
                  <c:v>126.53039520323949</c:v>
                </c:pt>
                <c:pt idx="34">
                  <c:v>160.77058330102949</c:v>
                </c:pt>
                <c:pt idx="35">
                  <c:v>228.8621705579358</c:v>
                </c:pt>
                <c:pt idx="36">
                  <c:v>123.20125067917191</c:v>
                </c:pt>
                <c:pt idx="37">
                  <c:v>117.67077903546</c:v>
                </c:pt>
                <c:pt idx="38">
                  <c:v>191.50807173506701</c:v>
                </c:pt>
                <c:pt idx="39">
                  <c:v>145.70138715926041</c:v>
                </c:pt>
                <c:pt idx="40">
                  <c:v>149.4185612445558</c:v>
                </c:pt>
                <c:pt idx="41">
                  <c:v>194.71103409481981</c:v>
                </c:pt>
                <c:pt idx="42">
                  <c:v>239.3981525107354</c:v>
                </c:pt>
                <c:pt idx="43">
                  <c:v>419.79263722660602</c:v>
                </c:pt>
                <c:pt idx="44">
                  <c:v>310.70739927266709</c:v>
                </c:pt>
                <c:pt idx="45">
                  <c:v>125.6295598680838</c:v>
                </c:pt>
                <c:pt idx="46">
                  <c:v>131.7111886265582</c:v>
                </c:pt>
                <c:pt idx="47">
                  <c:v>282.82379374207261</c:v>
                </c:pt>
                <c:pt idx="48">
                  <c:v>138.52998868426329</c:v>
                </c:pt>
                <c:pt idx="49">
                  <c:v>109.87697572135031</c:v>
                </c:pt>
                <c:pt idx="50">
                  <c:v>93.774190940695377</c:v>
                </c:pt>
                <c:pt idx="51">
                  <c:v>76.25042822265543</c:v>
                </c:pt>
                <c:pt idx="52">
                  <c:v>50.543487760082613</c:v>
                </c:pt>
                <c:pt idx="53">
                  <c:v>74.888982776218057</c:v>
                </c:pt>
                <c:pt idx="54">
                  <c:v>52.095599438463452</c:v>
                </c:pt>
                <c:pt idx="55">
                  <c:v>74.180426039978187</c:v>
                </c:pt>
                <c:pt idx="56">
                  <c:v>68.116869623396937</c:v>
                </c:pt>
                <c:pt idx="57">
                  <c:v>50.539090519702853</c:v>
                </c:pt>
                <c:pt idx="58">
                  <c:v>90.680805562425178</c:v>
                </c:pt>
                <c:pt idx="59">
                  <c:v>63.455327688788032</c:v>
                </c:pt>
                <c:pt idx="60">
                  <c:v>78.571316441678306</c:v>
                </c:pt>
                <c:pt idx="61">
                  <c:v>59.479486768055089</c:v>
                </c:pt>
                <c:pt idx="62">
                  <c:v>51.269783241554933</c:v>
                </c:pt>
                <c:pt idx="63">
                  <c:v>49.383940562011212</c:v>
                </c:pt>
                <c:pt idx="64">
                  <c:v>35.894148271408874</c:v>
                </c:pt>
                <c:pt idx="65">
                  <c:v>47.037633727397647</c:v>
                </c:pt>
                <c:pt idx="66">
                  <c:v>42.521773223099522</c:v>
                </c:pt>
                <c:pt idx="67">
                  <c:v>52.17121747504909</c:v>
                </c:pt>
                <c:pt idx="68">
                  <c:v>45.647504626217007</c:v>
                </c:pt>
                <c:pt idx="69">
                  <c:v>58.441583787091993</c:v>
                </c:pt>
                <c:pt idx="70">
                  <c:v>97.582352616331917</c:v>
                </c:pt>
                <c:pt idx="71">
                  <c:v>92.073217693833982</c:v>
                </c:pt>
                <c:pt idx="72">
                  <c:v>111.1945655985155</c:v>
                </c:pt>
                <c:pt idx="73">
                  <c:v>105.41315973788279</c:v>
                </c:pt>
                <c:pt idx="74">
                  <c:v>57.84566339627056</c:v>
                </c:pt>
                <c:pt idx="75">
                  <c:v>45.844395770687349</c:v>
                </c:pt>
                <c:pt idx="76">
                  <c:v>40.065667394009381</c:v>
                </c:pt>
                <c:pt idx="77">
                  <c:v>33.493381965196598</c:v>
                </c:pt>
                <c:pt idx="78">
                  <c:v>61.32224821093979</c:v>
                </c:pt>
                <c:pt idx="79">
                  <c:v>47.755824567457559</c:v>
                </c:pt>
                <c:pt idx="80">
                  <c:v>49.429094996057238</c:v>
                </c:pt>
                <c:pt idx="81">
                  <c:v>74.266634537895257</c:v>
                </c:pt>
                <c:pt idx="82">
                  <c:v>95.564531802521344</c:v>
                </c:pt>
                <c:pt idx="83">
                  <c:v>80.958034242780258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32-C24E-AB5E-B3270A0C7343}"/>
            </c:ext>
          </c:extLst>
        </c:ser>
        <c:ser>
          <c:idx val="1"/>
          <c:order val="1"/>
          <c:tx>
            <c:strRef>
              <c:f>'Capture Price Inputs'!$I$1</c:f>
              <c:strCache>
                <c:ptCount val="1"/>
                <c:pt idx="0">
                  <c:v>DK2 Capture Price (EUR/MWh)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'Capture Price Inputs'!$I$2:$I$85</c:f>
              <c:numCache>
                <c:formatCode>General</c:formatCode>
                <c:ptCount val="84"/>
                <c:pt idx="12">
                  <c:v>29.86213642213642</c:v>
                </c:pt>
                <c:pt idx="13">
                  <c:v>23.555517829721889</c:v>
                </c:pt>
                <c:pt idx="14">
                  <c:v>17.149050692261021</c:v>
                </c:pt>
                <c:pt idx="15">
                  <c:v>13.252523128367081</c:v>
                </c:pt>
                <c:pt idx="16">
                  <c:v>18.594049382716051</c:v>
                </c:pt>
                <c:pt idx="17">
                  <c:v>35.21078005032583</c:v>
                </c:pt>
                <c:pt idx="18">
                  <c:v>26.450778046867001</c:v>
                </c:pt>
                <c:pt idx="19">
                  <c:v>44.113765015404859</c:v>
                </c:pt>
                <c:pt idx="20">
                  <c:v>41.853047880870562</c:v>
                </c:pt>
                <c:pt idx="21">
                  <c:v>33.600878372903331</c:v>
                </c:pt>
                <c:pt idx="22">
                  <c:v>37.749765625000002</c:v>
                </c:pt>
                <c:pt idx="23">
                  <c:v>44.191428571428567</c:v>
                </c:pt>
                <c:pt idx="24">
                  <c:v>57.072134410081453</c:v>
                </c:pt>
                <c:pt idx="25">
                  <c:v>52.285083654524577</c:v>
                </c:pt>
                <c:pt idx="26">
                  <c:v>47.422643011897812</c:v>
                </c:pt>
                <c:pt idx="27">
                  <c:v>45.901363748248833</c:v>
                </c:pt>
                <c:pt idx="28">
                  <c:v>50.258720231460799</c:v>
                </c:pt>
                <c:pt idx="29">
                  <c:v>69.469341653776226</c:v>
                </c:pt>
                <c:pt idx="30">
                  <c:v>77.933111551394319</c:v>
                </c:pt>
                <c:pt idx="31">
                  <c:v>84.512747690257029</c:v>
                </c:pt>
                <c:pt idx="32">
                  <c:v>118.7457227855615</c:v>
                </c:pt>
                <c:pt idx="33">
                  <c:v>122.3841235967906</c:v>
                </c:pt>
                <c:pt idx="34">
                  <c:v>153.62679427815749</c:v>
                </c:pt>
                <c:pt idx="35">
                  <c:v>244.48727859764409</c:v>
                </c:pt>
                <c:pt idx="36">
                  <c:v>129.67749023150819</c:v>
                </c:pt>
                <c:pt idx="37">
                  <c:v>108.80333899256409</c:v>
                </c:pt>
                <c:pt idx="38">
                  <c:v>186.0504424586062</c:v>
                </c:pt>
                <c:pt idx="39">
                  <c:v>143.53758886421849</c:v>
                </c:pt>
                <c:pt idx="40">
                  <c:v>146.25360234460331</c:v>
                </c:pt>
                <c:pt idx="41">
                  <c:v>192.2325905808319</c:v>
                </c:pt>
                <c:pt idx="42">
                  <c:v>212.3625858003895</c:v>
                </c:pt>
                <c:pt idx="43">
                  <c:v>397.17988485976059</c:v>
                </c:pt>
                <c:pt idx="44">
                  <c:v>315.92884279677901</c:v>
                </c:pt>
                <c:pt idx="45">
                  <c:v>120.1190076327392</c:v>
                </c:pt>
                <c:pt idx="46">
                  <c:v>134.0399027878758</c:v>
                </c:pt>
                <c:pt idx="47">
                  <c:v>303.26978481668573</c:v>
                </c:pt>
                <c:pt idx="48">
                  <c:v>120.8992864784306</c:v>
                </c:pt>
                <c:pt idx="49">
                  <c:v>103.112625406295</c:v>
                </c:pt>
                <c:pt idx="50">
                  <c:v>89.098468921641697</c:v>
                </c:pt>
                <c:pt idx="51">
                  <c:v>71.125099705594195</c:v>
                </c:pt>
                <c:pt idx="52">
                  <c:v>48.358083796456327</c:v>
                </c:pt>
                <c:pt idx="53">
                  <c:v>71.862090372222397</c:v>
                </c:pt>
                <c:pt idx="54">
                  <c:v>50.345966617092351</c:v>
                </c:pt>
                <c:pt idx="55">
                  <c:v>72.957992347987414</c:v>
                </c:pt>
                <c:pt idx="56">
                  <c:v>64.394484672464898</c:v>
                </c:pt>
                <c:pt idx="57">
                  <c:v>47.660255094286853</c:v>
                </c:pt>
                <c:pt idx="58">
                  <c:v>84.639978605265995</c:v>
                </c:pt>
                <c:pt idx="59">
                  <c:v>59.061746333079718</c:v>
                </c:pt>
                <c:pt idx="60">
                  <c:v>76.427202535219209</c:v>
                </c:pt>
                <c:pt idx="61">
                  <c:v>51.434379196547752</c:v>
                </c:pt>
                <c:pt idx="62">
                  <c:v>50.751163813053438</c:v>
                </c:pt>
                <c:pt idx="63">
                  <c:v>47.053967904827999</c:v>
                </c:pt>
                <c:pt idx="64">
                  <c:v>34.295794113692892</c:v>
                </c:pt>
                <c:pt idx="65">
                  <c:v>46.379384034583367</c:v>
                </c:pt>
                <c:pt idx="66">
                  <c:v>38.812821969471173</c:v>
                </c:pt>
                <c:pt idx="67">
                  <c:v>47.151863118292532</c:v>
                </c:pt>
                <c:pt idx="68">
                  <c:v>43.355946350842189</c:v>
                </c:pt>
                <c:pt idx="69">
                  <c:v>59.534937630286556</c:v>
                </c:pt>
                <c:pt idx="70">
                  <c:v>89.611277477917284</c:v>
                </c:pt>
                <c:pt idx="71">
                  <c:v>100.7961313991171</c:v>
                </c:pt>
                <c:pt idx="72">
                  <c:v>115.0822593270056</c:v>
                </c:pt>
                <c:pt idx="73">
                  <c:v>106.92318207316821</c:v>
                </c:pt>
                <c:pt idx="74">
                  <c:v>50.018062961268747</c:v>
                </c:pt>
                <c:pt idx="75">
                  <c:v>41.82584156307518</c:v>
                </c:pt>
                <c:pt idx="76">
                  <c:v>34.320660344591218</c:v>
                </c:pt>
                <c:pt idx="77">
                  <c:v>24.31568572006325</c:v>
                </c:pt>
                <c:pt idx="78">
                  <c:v>59.766943882147693</c:v>
                </c:pt>
                <c:pt idx="79">
                  <c:v>43.064604783544858</c:v>
                </c:pt>
                <c:pt idx="80">
                  <c:v>52.949405153808357</c:v>
                </c:pt>
                <c:pt idx="81">
                  <c:v>78.645730322406678</c:v>
                </c:pt>
                <c:pt idx="82">
                  <c:v>92.690454871532665</c:v>
                </c:pt>
                <c:pt idx="83">
                  <c:v>79.631228022083661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32-C24E-AB5E-B3270A0C73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Capture Price Ratio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Inputs'!$J$1</c:f>
              <c:strCache>
                <c:ptCount val="1"/>
                <c:pt idx="0">
                  <c:v>DK1 CPR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Inputs'!$J$2:$J$85</c:f>
              <c:numCache>
                <c:formatCode>General</c:formatCode>
                <c:ptCount val="84"/>
                <c:pt idx="12">
                  <c:v>1.0091486594474419</c:v>
                </c:pt>
                <c:pt idx="13">
                  <c:v>1.2985911686950511</c:v>
                </c:pt>
                <c:pt idx="14">
                  <c:v>0.8710146939215303</c:v>
                </c:pt>
                <c:pt idx="15">
                  <c:v>0.71315772558819213</c:v>
                </c:pt>
                <c:pt idx="16">
                  <c:v>0.96415576931205649</c:v>
                </c:pt>
                <c:pt idx="17">
                  <c:v>1.0394664137310941</c:v>
                </c:pt>
                <c:pt idx="18">
                  <c:v>1.0086181556608309</c:v>
                </c:pt>
                <c:pt idx="19">
                  <c:v>0.98082264407500741</c:v>
                </c:pt>
                <c:pt idx="20">
                  <c:v>1.0104044869130051</c:v>
                </c:pt>
                <c:pt idx="21">
                  <c:v>1.236802226812374</c:v>
                </c:pt>
                <c:pt idx="22">
                  <c:v>1.094777917215692</c:v>
                </c:pt>
                <c:pt idx="23">
                  <c:v>1.0082301641826621</c:v>
                </c:pt>
                <c:pt idx="24">
                  <c:v>1.103930861568265</c:v>
                </c:pt>
                <c:pt idx="25">
                  <c:v>1.0059479277054251</c:v>
                </c:pt>
                <c:pt idx="26">
                  <c:v>0.9871758725122356</c:v>
                </c:pt>
                <c:pt idx="27">
                  <c:v>0.90884647456650169</c:v>
                </c:pt>
                <c:pt idx="28">
                  <c:v>0.87751805187154364</c:v>
                </c:pt>
                <c:pt idx="29">
                  <c:v>0.95691427953473174</c:v>
                </c:pt>
                <c:pt idx="30">
                  <c:v>0.98211323715969778</c:v>
                </c:pt>
                <c:pt idx="31">
                  <c:v>0.99027147802450566</c:v>
                </c:pt>
                <c:pt idx="32">
                  <c:v>0.92690440483613579</c:v>
                </c:pt>
                <c:pt idx="33">
                  <c:v>1.0810885074134391</c:v>
                </c:pt>
                <c:pt idx="34">
                  <c:v>1.1338034085044659</c:v>
                </c:pt>
                <c:pt idx="35">
                  <c:v>1.2086769624549281</c:v>
                </c:pt>
                <c:pt idx="36">
                  <c:v>1.0441257304277269</c:v>
                </c:pt>
                <c:pt idx="37">
                  <c:v>1.04022281700981</c:v>
                </c:pt>
                <c:pt idx="38">
                  <c:v>0.81207759044207406</c:v>
                </c:pt>
                <c:pt idx="39">
                  <c:v>0.89039133384678326</c:v>
                </c:pt>
                <c:pt idx="40">
                  <c:v>0.86943016050498578</c:v>
                </c:pt>
                <c:pt idx="41">
                  <c:v>0.90803902012341908</c:v>
                </c:pt>
                <c:pt idx="42">
                  <c:v>0.87041791592949547</c:v>
                </c:pt>
                <c:pt idx="43">
                  <c:v>0.91908553046700026</c:v>
                </c:pt>
                <c:pt idx="44">
                  <c:v>0.90632901805683119</c:v>
                </c:pt>
                <c:pt idx="45">
                  <c:v>0.91612325253961768</c:v>
                </c:pt>
                <c:pt idx="46">
                  <c:v>0.94278612074660006</c:v>
                </c:pt>
                <c:pt idx="47">
                  <c:v>1.132810339248927</c:v>
                </c:pt>
                <c:pt idx="48">
                  <c:v>1.2309198691226539</c:v>
                </c:pt>
                <c:pt idx="49">
                  <c:v>0.93008781340266</c:v>
                </c:pt>
                <c:pt idx="50">
                  <c:v>0.94612539759598957</c:v>
                </c:pt>
                <c:pt idx="51">
                  <c:v>0.79203966120386338</c:v>
                </c:pt>
                <c:pt idx="52">
                  <c:v>0.68333610561519953</c:v>
                </c:pt>
                <c:pt idx="53">
                  <c:v>0.80965062086215667</c:v>
                </c:pt>
                <c:pt idx="54">
                  <c:v>0.80380421953260928</c:v>
                </c:pt>
                <c:pt idx="55">
                  <c:v>0.86289309777204071</c:v>
                </c:pt>
                <c:pt idx="56">
                  <c:v>0.8038389922187259</c:v>
                </c:pt>
                <c:pt idx="57">
                  <c:v>0.84083605560542263</c:v>
                </c:pt>
                <c:pt idx="58">
                  <c:v>1.028656893611996</c:v>
                </c:pt>
                <c:pt idx="59">
                  <c:v>0.91325607762876626</c:v>
                </c:pt>
                <c:pt idx="60">
                  <c:v>1.051614630458469</c:v>
                </c:pt>
                <c:pt idx="61">
                  <c:v>1.0144208291794441</c:v>
                </c:pt>
                <c:pt idx="62">
                  <c:v>0.8373818542217274</c:v>
                </c:pt>
                <c:pt idx="63">
                  <c:v>0.83468460161643787</c:v>
                </c:pt>
                <c:pt idx="64">
                  <c:v>0.61339845366508694</c:v>
                </c:pt>
                <c:pt idx="65">
                  <c:v>0.73781003223868646</c:v>
                </c:pt>
                <c:pt idx="66">
                  <c:v>0.68549949487061801</c:v>
                </c:pt>
                <c:pt idx="67">
                  <c:v>0.71512676219349525</c:v>
                </c:pt>
                <c:pt idx="68">
                  <c:v>0.63652522303957304</c:v>
                </c:pt>
                <c:pt idx="69">
                  <c:v>0.76175188075929667</c:v>
                </c:pt>
                <c:pt idx="70">
                  <c:v>1.0174940038611719</c:v>
                </c:pt>
                <c:pt idx="71">
                  <c:v>1.0025674160411211</c:v>
                </c:pt>
                <c:pt idx="72">
                  <c:v>1.135032584901597</c:v>
                </c:pt>
                <c:pt idx="73">
                  <c:v>0.93411665141872979</c:v>
                </c:pt>
                <c:pt idx="74">
                  <c:v>0.68579081688022481</c:v>
                </c:pt>
                <c:pt idx="75">
                  <c:v>0.60995353561832499</c:v>
                </c:pt>
                <c:pt idx="76">
                  <c:v>0.62375117423189408</c:v>
                </c:pt>
                <c:pt idx="77">
                  <c:v>0.56976432128633303</c:v>
                </c:pt>
                <c:pt idx="78">
                  <c:v>0.74058967108380014</c:v>
                </c:pt>
                <c:pt idx="79">
                  <c:v>0.64997112344594554</c:v>
                </c:pt>
                <c:pt idx="80">
                  <c:v>0.68273474898658593</c:v>
                </c:pt>
                <c:pt idx="81">
                  <c:v>0.94701517193480578</c:v>
                </c:pt>
                <c:pt idx="82">
                  <c:v>1.0289764309560969</c:v>
                </c:pt>
                <c:pt idx="83">
                  <c:v>0.98205388617926037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1C-6946-A438-EC7CA082E175}"/>
            </c:ext>
          </c:extLst>
        </c:ser>
        <c:ser>
          <c:idx val="1"/>
          <c:order val="1"/>
          <c:tx>
            <c:strRef>
              <c:f>'Capture Price Inputs'!$K$1</c:f>
              <c:strCache>
                <c:ptCount val="1"/>
                <c:pt idx="0">
                  <c:v>DK2 CPR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'Capture Price Inputs'!$K$2:$K$85</c:f>
              <c:numCache>
                <c:formatCode>General</c:formatCode>
                <c:ptCount val="84"/>
                <c:pt idx="12">
                  <c:v>1.090446324793763</c:v>
                </c:pt>
                <c:pt idx="13">
                  <c:v>1.251821301318464</c:v>
                </c:pt>
                <c:pt idx="14">
                  <c:v>0.85520775851277109</c:v>
                </c:pt>
                <c:pt idx="15">
                  <c:v>0.76362023547871605</c:v>
                </c:pt>
                <c:pt idx="16">
                  <c:v>0.97636938233545278</c:v>
                </c:pt>
                <c:pt idx="17">
                  <c:v>1.180647007173951</c:v>
                </c:pt>
                <c:pt idx="18">
                  <c:v>1.021791049952987</c:v>
                </c:pt>
                <c:pt idx="19">
                  <c:v>1.077948442472481</c:v>
                </c:pt>
                <c:pt idx="20">
                  <c:v>1.0591890923358069</c:v>
                </c:pt>
                <c:pt idx="21">
                  <c:v>1.247549053102559</c:v>
                </c:pt>
                <c:pt idx="22">
                  <c:v>1.057080411727209</c:v>
                </c:pt>
                <c:pt idx="23">
                  <c:v>1.125691191699302</c:v>
                </c:pt>
                <c:pt idx="24">
                  <c:v>1.122164979814525</c:v>
                </c:pt>
                <c:pt idx="25">
                  <c:v>0.9585139857498034</c:v>
                </c:pt>
                <c:pt idx="26">
                  <c:v>1.0147741726503949</c:v>
                </c:pt>
                <c:pt idx="27">
                  <c:v>0.95901643664766134</c:v>
                </c:pt>
                <c:pt idx="28">
                  <c:v>0.91033887361171206</c:v>
                </c:pt>
                <c:pt idx="29">
                  <c:v>0.94404491874816343</c:v>
                </c:pt>
                <c:pt idx="30">
                  <c:v>0.95692856904650769</c:v>
                </c:pt>
                <c:pt idx="31">
                  <c:v>1.001768528067071</c:v>
                </c:pt>
                <c:pt idx="32">
                  <c:v>0.95838336990944806</c:v>
                </c:pt>
                <c:pt idx="33">
                  <c:v>1.1445012658471321</c:v>
                </c:pt>
                <c:pt idx="34">
                  <c:v>1.1264608571418011</c:v>
                </c:pt>
                <c:pt idx="35">
                  <c:v>1.279578427053047</c:v>
                </c:pt>
                <c:pt idx="36">
                  <c:v>1.1617546523412821</c:v>
                </c:pt>
                <c:pt idx="37">
                  <c:v>1.084871924613185</c:v>
                </c:pt>
                <c:pt idx="38">
                  <c:v>0.81629582758371144</c:v>
                </c:pt>
                <c:pt idx="39">
                  <c:v>0.93918048773921026</c:v>
                </c:pt>
                <c:pt idx="40">
                  <c:v>0.89914563143311954</c:v>
                </c:pt>
                <c:pt idx="41">
                  <c:v>0.90151367457475784</c:v>
                </c:pt>
                <c:pt idx="42">
                  <c:v>0.90956244496775596</c:v>
                </c:pt>
                <c:pt idx="43">
                  <c:v>0.8830756108422062</c:v>
                </c:pt>
                <c:pt idx="44">
                  <c:v>0.96085369829588263</c:v>
                </c:pt>
                <c:pt idx="45">
                  <c:v>0.87743541957368609</c:v>
                </c:pt>
                <c:pt idx="46">
                  <c:v>0.92404474391789948</c:v>
                </c:pt>
                <c:pt idx="47">
                  <c:v>1.2185280560697289</c:v>
                </c:pt>
                <c:pt idx="48">
                  <c:v>1.2118663236304299</c:v>
                </c:pt>
                <c:pt idx="49">
                  <c:v>1.0244781228159621</c:v>
                </c:pt>
                <c:pt idx="50">
                  <c:v>0.99223631219701203</c:v>
                </c:pt>
                <c:pt idx="51">
                  <c:v>0.85025873478203906</c:v>
                </c:pt>
                <c:pt idx="52">
                  <c:v>0.73101748270540212</c:v>
                </c:pt>
                <c:pt idx="53">
                  <c:v>0.78603819917365525</c:v>
                </c:pt>
                <c:pt idx="54">
                  <c:v>0.77170348712471282</c:v>
                </c:pt>
                <c:pt idx="55">
                  <c:v>0.84546104105698361</c:v>
                </c:pt>
                <c:pt idx="56">
                  <c:v>0.75329173308453345</c:v>
                </c:pt>
                <c:pt idx="57">
                  <c:v>0.83723449033464103</c:v>
                </c:pt>
                <c:pt idx="58">
                  <c:v>1.038705241708771</c:v>
                </c:pt>
                <c:pt idx="59">
                  <c:v>0.83326707575628478</c:v>
                </c:pt>
                <c:pt idx="60">
                  <c:v>0.97714487510792902</c:v>
                </c:pt>
                <c:pt idx="61">
                  <c:v>0.93991726033346112</c:v>
                </c:pt>
                <c:pt idx="62">
                  <c:v>0.8314293202728863</c:v>
                </c:pt>
                <c:pt idx="63">
                  <c:v>0.77805107456374178</c:v>
                </c:pt>
                <c:pt idx="64">
                  <c:v>0.59005563427075769</c:v>
                </c:pt>
                <c:pt idx="65">
                  <c:v>0.69439585691141426</c:v>
                </c:pt>
                <c:pt idx="66">
                  <c:v>0.61762838453946423</c:v>
                </c:pt>
                <c:pt idx="67">
                  <c:v>0.64934714792296455</c:v>
                </c:pt>
                <c:pt idx="68">
                  <c:v>0.61574801135475132</c:v>
                </c:pt>
                <c:pt idx="69">
                  <c:v>0.78000735067931948</c:v>
                </c:pt>
                <c:pt idx="70">
                  <c:v>0.94047799551015088</c:v>
                </c:pt>
                <c:pt idx="71">
                  <c:v>1.0870067185479459</c:v>
                </c:pt>
                <c:pt idx="72">
                  <c:v>1.1494003648079021</c:v>
                </c:pt>
                <c:pt idx="73">
                  <c:v>0.90662384271333907</c:v>
                </c:pt>
                <c:pt idx="74">
                  <c:v>0.60374116471580297</c:v>
                </c:pt>
                <c:pt idx="75">
                  <c:v>0.55174367988103734</c:v>
                </c:pt>
                <c:pt idx="76">
                  <c:v>0.54405946330729504</c:v>
                </c:pt>
                <c:pt idx="77">
                  <c:v>0.4307606652121766</c:v>
                </c:pt>
                <c:pt idx="78">
                  <c:v>0.74746341861966192</c:v>
                </c:pt>
                <c:pt idx="79">
                  <c:v>0.57178942343359873</c:v>
                </c:pt>
                <c:pt idx="80">
                  <c:v>0.63573160083367797</c:v>
                </c:pt>
                <c:pt idx="81">
                  <c:v>0.95480840081563045</c:v>
                </c:pt>
                <c:pt idx="82">
                  <c:v>0.98927251294969987</c:v>
                </c:pt>
                <c:pt idx="83">
                  <c:v>0.97014796253594149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1C-6946-A438-EC7CA082E1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CPR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Solar Penetration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Inputs'!$F$1</c:f>
              <c:strCache>
                <c:ptCount val="1"/>
                <c:pt idx="0">
                  <c:v>DK1 Solar Penetration (%) — Primary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'Capture Price Inputs'!$F$2:$F$85</c:f>
              <c:numCache>
                <c:formatCode>General</c:formatCode>
                <c:ptCount val="84"/>
                <c:pt idx="12">
                  <c:v>2.2644478926294831E-3</c:v>
                </c:pt>
                <c:pt idx="13">
                  <c:v>5.2474520244822449E-3</c:v>
                </c:pt>
                <c:pt idx="14">
                  <c:v>2.020167759412729E-2</c:v>
                </c:pt>
                <c:pt idx="15">
                  <c:v>3.2427989612304697E-2</c:v>
                </c:pt>
                <c:pt idx="16">
                  <c:v>3.6080087237903569E-2</c:v>
                </c:pt>
                <c:pt idx="17">
                  <c:v>3.7413618831640891E-2</c:v>
                </c:pt>
                <c:pt idx="18">
                  <c:v>3.3998433859503921E-2</c:v>
                </c:pt>
                <c:pt idx="19">
                  <c:v>3.4224763142537661E-2</c:v>
                </c:pt>
                <c:pt idx="20">
                  <c:v>2.4330151939157239E-2</c:v>
                </c:pt>
                <c:pt idx="21">
                  <c:v>1.1490387549446779E-2</c:v>
                </c:pt>
                <c:pt idx="22">
                  <c:v>1.521101274151999E-4</c:v>
                </c:pt>
                <c:pt idx="23">
                  <c:v>1.472410662127807E-5</c:v>
                </c:pt>
                <c:pt idx="24">
                  <c:v>3.6313559990350909E-3</c:v>
                </c:pt>
                <c:pt idx="25">
                  <c:v>1.0868941718057299E-2</c:v>
                </c:pt>
                <c:pt idx="26">
                  <c:v>2.2382303907371628E-2</c:v>
                </c:pt>
                <c:pt idx="27">
                  <c:v>4.212837115783985E-2</c:v>
                </c:pt>
                <c:pt idx="28">
                  <c:v>3.3075052211960353E-2</c:v>
                </c:pt>
                <c:pt idx="29">
                  <c:v>4.9841661821819518E-2</c:v>
                </c:pt>
                <c:pt idx="30">
                  <c:v>4.85715434854639E-2</c:v>
                </c:pt>
                <c:pt idx="31">
                  <c:v>3.8876947944708702E-2</c:v>
                </c:pt>
                <c:pt idx="32">
                  <c:v>2.5932850179436289E-2</c:v>
                </c:pt>
                <c:pt idx="33">
                  <c:v>1.7460096431489061E-2</c:v>
                </c:pt>
                <c:pt idx="34">
                  <c:v>7.0293060058135041E-3</c:v>
                </c:pt>
                <c:pt idx="35">
                  <c:v>3.243365391886713E-3</c:v>
                </c:pt>
                <c:pt idx="36">
                  <c:v>6.6753155472480874E-3</c:v>
                </c:pt>
                <c:pt idx="37">
                  <c:v>1.7399571233002901E-2</c:v>
                </c:pt>
                <c:pt idx="38">
                  <c:v>6.1955070586442867E-2</c:v>
                </c:pt>
                <c:pt idx="39">
                  <c:v>8.404056603836467E-2</c:v>
                </c:pt>
                <c:pt idx="40">
                  <c:v>9.6876891420316108E-2</c:v>
                </c:pt>
                <c:pt idx="41">
                  <c:v>9.4962020744311482E-2</c:v>
                </c:pt>
                <c:pt idx="42">
                  <c:v>9.963556652585577E-2</c:v>
                </c:pt>
                <c:pt idx="43">
                  <c:v>8.9626978325266782E-2</c:v>
                </c:pt>
                <c:pt idx="44">
                  <c:v>6.6046498591704736E-2</c:v>
                </c:pt>
                <c:pt idx="45">
                  <c:v>3.7469414477654707E-2</c:v>
                </c:pt>
                <c:pt idx="46">
                  <c:v>1.046932675470221E-2</c:v>
                </c:pt>
                <c:pt idx="47">
                  <c:v>6.2291646451968653E-3</c:v>
                </c:pt>
                <c:pt idx="48">
                  <c:v>1.2460694276862919E-2</c:v>
                </c:pt>
                <c:pt idx="49">
                  <c:v>3.4376404191763639E-2</c:v>
                </c:pt>
                <c:pt idx="50">
                  <c:v>5.6477968577058592E-2</c:v>
                </c:pt>
                <c:pt idx="51">
                  <c:v>0.1509467292684683</c:v>
                </c:pt>
                <c:pt idx="52">
                  <c:v>0.18600333743842001</c:v>
                </c:pt>
                <c:pt idx="53">
                  <c:v>0.21892573712946101</c:v>
                </c:pt>
                <c:pt idx="54">
                  <c:v>0.18929524056345021</c:v>
                </c:pt>
                <c:pt idx="55">
                  <c:v>0.1493297980639493</c:v>
                </c:pt>
                <c:pt idx="56">
                  <c:v>0.13191654386548721</c:v>
                </c:pt>
                <c:pt idx="57">
                  <c:v>4.2864886456730103E-2</c:v>
                </c:pt>
                <c:pt idx="58">
                  <c:v>1.6003493537152379E-2</c:v>
                </c:pt>
                <c:pt idx="59">
                  <c:v>6.3905046726965339E-3</c:v>
                </c:pt>
                <c:pt idx="60">
                  <c:v>1.3417186050607519E-2</c:v>
                </c:pt>
                <c:pt idx="61">
                  <c:v>2.6436223837926501E-2</c:v>
                </c:pt>
                <c:pt idx="62">
                  <c:v>6.6233973400350477E-2</c:v>
                </c:pt>
                <c:pt idx="63">
                  <c:v>0.1084169878649764</c:v>
                </c:pt>
                <c:pt idx="64">
                  <c:v>0.18887031649880051</c:v>
                </c:pt>
                <c:pt idx="65">
                  <c:v>0.1715230569234828</c:v>
                </c:pt>
                <c:pt idx="66">
                  <c:v>0.1809062055635286</c:v>
                </c:pt>
                <c:pt idx="67">
                  <c:v>0.15512153111725799</c:v>
                </c:pt>
                <c:pt idx="68">
                  <c:v>0.1275567235314205</c:v>
                </c:pt>
                <c:pt idx="69">
                  <c:v>6.2873767847415107E-2</c:v>
                </c:pt>
                <c:pt idx="70">
                  <c:v>1.780902737610289E-2</c:v>
                </c:pt>
                <c:pt idx="71">
                  <c:v>6.7857975683456679E-3</c:v>
                </c:pt>
                <c:pt idx="72">
                  <c:v>1.366055484422285E-2</c:v>
                </c:pt>
                <c:pt idx="73">
                  <c:v>4.3419934817177687E-2</c:v>
                </c:pt>
                <c:pt idx="74">
                  <c:v>0.1120694547038418</c:v>
                </c:pt>
                <c:pt idx="75">
                  <c:v>0.14827548756052711</c:v>
                </c:pt>
                <c:pt idx="76">
                  <c:v>0.19244468175967161</c:v>
                </c:pt>
                <c:pt idx="77">
                  <c:v>0.18784829238523279</c:v>
                </c:pt>
                <c:pt idx="78">
                  <c:v>0.21828188848241209</c:v>
                </c:pt>
                <c:pt idx="79">
                  <c:v>0.19011684012808119</c:v>
                </c:pt>
                <c:pt idx="80">
                  <c:v>0.13816152724517919</c:v>
                </c:pt>
                <c:pt idx="81">
                  <c:v>6.9462071202051626E-2</c:v>
                </c:pt>
                <c:pt idx="82">
                  <c:v>2.6604970402147529E-2</c:v>
                </c:pt>
                <c:pt idx="83">
                  <c:v>1.40253486520015E-2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B6A-7E40-87BF-B8B3D6B60E2C}"/>
            </c:ext>
          </c:extLst>
        </c:ser>
        <c:ser>
          <c:idx val="1"/>
          <c:order val="1"/>
          <c:tx>
            <c:strRef>
              <c:f>'Capture Price Inputs'!$G$1</c:f>
              <c:strCache>
                <c:ptCount val="1"/>
                <c:pt idx="0">
                  <c:v>DK2 Solar Penetration (%) — Robustness</c:v>
                </c:pt>
              </c:strCache>
            </c:strRef>
          </c:tx>
          <c:spPr>
            <a:ln>
              <a:solidFill>
                <a:srgbClr val="FFD700"/>
              </a:solidFill>
              <a:prstDash val="solid"/>
            </a:ln>
          </c:spPr>
          <c:marker>
            <c:symbol val="none"/>
          </c:marker>
          <c:val>
            <c:numRef>
              <c:f>'Capture Price Inputs'!$G$2:$G$85</c:f>
              <c:numCache>
                <c:formatCode>General</c:formatCode>
                <c:ptCount val="84"/>
                <c:pt idx="12">
                  <c:v>1.864323044087839E-3</c:v>
                </c:pt>
                <c:pt idx="13">
                  <c:v>4.9613393448072352E-3</c:v>
                </c:pt>
                <c:pt idx="14">
                  <c:v>1.532033335337761E-2</c:v>
                </c:pt>
                <c:pt idx="15">
                  <c:v>2.6180595134545931E-2</c:v>
                </c:pt>
                <c:pt idx="16">
                  <c:v>3.2240930774166239E-2</c:v>
                </c:pt>
                <c:pt idx="17">
                  <c:v>3.0651812088155841E-2</c:v>
                </c:pt>
                <c:pt idx="18">
                  <c:v>2.998206800974695E-2</c:v>
                </c:pt>
                <c:pt idx="19">
                  <c:v>2.8034713414307081E-2</c:v>
                </c:pt>
                <c:pt idx="20">
                  <c:v>2.1736479101595249E-2</c:v>
                </c:pt>
                <c:pt idx="21">
                  <c:v>1.107911770574695E-2</c:v>
                </c:pt>
                <c:pt idx="22">
                  <c:v>1.1044611578332841E-4</c:v>
                </c:pt>
                <c:pt idx="23">
                  <c:v>5.6352433584062588E-6</c:v>
                </c:pt>
                <c:pt idx="24">
                  <c:v>3.104474131982996E-3</c:v>
                </c:pt>
                <c:pt idx="25">
                  <c:v>9.2483369487723587E-3</c:v>
                </c:pt>
                <c:pt idx="26">
                  <c:v>1.8474517045212829E-2</c:v>
                </c:pt>
                <c:pt idx="27">
                  <c:v>3.2694407483312787E-2</c:v>
                </c:pt>
                <c:pt idx="28">
                  <c:v>3.2945829294540187E-2</c:v>
                </c:pt>
                <c:pt idx="29">
                  <c:v>4.4480133140056069E-2</c:v>
                </c:pt>
                <c:pt idx="30">
                  <c:v>3.7049542537302173E-2</c:v>
                </c:pt>
                <c:pt idx="31">
                  <c:v>3.1857768834261987E-2</c:v>
                </c:pt>
                <c:pt idx="32">
                  <c:v>2.23981137027396E-2</c:v>
                </c:pt>
                <c:pt idx="33">
                  <c:v>1.267326343754744E-2</c:v>
                </c:pt>
                <c:pt idx="34">
                  <c:v>4.0132810857910267E-3</c:v>
                </c:pt>
                <c:pt idx="35">
                  <c:v>1.8226295838260991E-3</c:v>
                </c:pt>
                <c:pt idx="36">
                  <c:v>4.939556742877535E-3</c:v>
                </c:pt>
                <c:pt idx="37">
                  <c:v>1.3248485586698279E-2</c:v>
                </c:pt>
                <c:pt idx="38">
                  <c:v>3.4089330349121053E-2</c:v>
                </c:pt>
                <c:pt idx="39">
                  <c:v>5.5254436099578648E-2</c:v>
                </c:pt>
                <c:pt idx="40">
                  <c:v>6.5811459960859395E-2</c:v>
                </c:pt>
                <c:pt idx="41">
                  <c:v>6.4528229045867816E-2</c:v>
                </c:pt>
                <c:pt idx="42">
                  <c:v>6.7025803801952916E-2</c:v>
                </c:pt>
                <c:pt idx="43">
                  <c:v>6.1299924397195817E-2</c:v>
                </c:pt>
                <c:pt idx="44">
                  <c:v>4.5784276103507021E-2</c:v>
                </c:pt>
                <c:pt idx="45">
                  <c:v>2.9809058027035401E-2</c:v>
                </c:pt>
                <c:pt idx="46">
                  <c:v>7.8652952619005494E-3</c:v>
                </c:pt>
                <c:pt idx="47">
                  <c:v>4.5323555529735481E-3</c:v>
                </c:pt>
                <c:pt idx="48">
                  <c:v>5.8626527231366082E-3</c:v>
                </c:pt>
                <c:pt idx="49">
                  <c:v>1.8877648418373551E-2</c:v>
                </c:pt>
                <c:pt idx="50">
                  <c:v>3.7096229392005707E-2</c:v>
                </c:pt>
                <c:pt idx="51">
                  <c:v>8.0269966033824955E-2</c:v>
                </c:pt>
                <c:pt idx="52">
                  <c:v>0.1080032082802261</c:v>
                </c:pt>
                <c:pt idx="53">
                  <c:v>0.1144244665352921</c:v>
                </c:pt>
                <c:pt idx="54">
                  <c:v>0.10203074507159759</c:v>
                </c:pt>
                <c:pt idx="55">
                  <c:v>7.7931010532967707E-2</c:v>
                </c:pt>
                <c:pt idx="56">
                  <c:v>8.0909954639318743E-2</c:v>
                </c:pt>
                <c:pt idx="57">
                  <c:v>2.9172340215594381E-2</c:v>
                </c:pt>
                <c:pt idx="58">
                  <c:v>1.04098691216888E-2</c:v>
                </c:pt>
                <c:pt idx="59">
                  <c:v>3.809030164374855E-3</c:v>
                </c:pt>
                <c:pt idx="60">
                  <c:v>6.1781830729755079E-3</c:v>
                </c:pt>
                <c:pt idx="61">
                  <c:v>1.667231366864759E-2</c:v>
                </c:pt>
                <c:pt idx="62">
                  <c:v>4.1112806367337662E-2</c:v>
                </c:pt>
                <c:pt idx="63">
                  <c:v>6.5123378744806448E-2</c:v>
                </c:pt>
                <c:pt idx="64">
                  <c:v>0.106315341440858</c:v>
                </c:pt>
                <c:pt idx="65">
                  <c:v>0.1072729076610999</c:v>
                </c:pt>
                <c:pt idx="66">
                  <c:v>0.1057942634887733</c:v>
                </c:pt>
                <c:pt idx="67">
                  <c:v>9.3690832268705199E-2</c:v>
                </c:pt>
                <c:pt idx="68">
                  <c:v>7.2463202820400169E-2</c:v>
                </c:pt>
                <c:pt idx="69">
                  <c:v>3.6145253892379881E-2</c:v>
                </c:pt>
                <c:pt idx="70">
                  <c:v>8.6028414054236078E-3</c:v>
                </c:pt>
                <c:pt idx="71">
                  <c:v>4.1714684657767577E-3</c:v>
                </c:pt>
                <c:pt idx="72">
                  <c:v>7.223240212576967E-3</c:v>
                </c:pt>
                <c:pt idx="73">
                  <c:v>2.010831138567791E-2</c:v>
                </c:pt>
                <c:pt idx="74">
                  <c:v>4.6547866447452589E-2</c:v>
                </c:pt>
                <c:pt idx="75">
                  <c:v>7.1689783649061992E-2</c:v>
                </c:pt>
                <c:pt idx="76">
                  <c:v>9.4714127256233946E-2</c:v>
                </c:pt>
                <c:pt idx="77">
                  <c:v>9.9826250015510765E-2</c:v>
                </c:pt>
                <c:pt idx="78">
                  <c:v>9.3996419418699143E-2</c:v>
                </c:pt>
                <c:pt idx="79">
                  <c:v>0.1057378118957395</c:v>
                </c:pt>
                <c:pt idx="80">
                  <c:v>9.0628879686523764E-2</c:v>
                </c:pt>
                <c:pt idx="81">
                  <c:v>3.9573125678626628E-2</c:v>
                </c:pt>
                <c:pt idx="82">
                  <c:v>1.454364344794783E-2</c:v>
                </c:pt>
                <c:pt idx="83">
                  <c:v>9.0694911608833299E-3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B6A-7E40-87BF-B8B3D6B60E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Solar Penetration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Capture Price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Inputs'!$H$1</c:f>
              <c:strCache>
                <c:ptCount val="1"/>
                <c:pt idx="0">
                  <c:v>DK1 Capture Price (EUR/MWh)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Inputs'!$H$2:$H$85</c:f>
              <c:numCache>
                <c:formatCode>General</c:formatCode>
                <c:ptCount val="84"/>
                <c:pt idx="12">
                  <c:v>25.22320957280251</c:v>
                </c:pt>
                <c:pt idx="13">
                  <c:v>22.83581899109792</c:v>
                </c:pt>
                <c:pt idx="14">
                  <c:v>15.94107348554973</c:v>
                </c:pt>
                <c:pt idx="15">
                  <c:v>10.36487590420421</c:v>
                </c:pt>
                <c:pt idx="16">
                  <c:v>15.478548945086001</c:v>
                </c:pt>
                <c:pt idx="17">
                  <c:v>27.313308227868689</c:v>
                </c:pt>
                <c:pt idx="18">
                  <c:v>24.831745178109159</c:v>
                </c:pt>
                <c:pt idx="19">
                  <c:v>33.876915422047851</c:v>
                </c:pt>
                <c:pt idx="20">
                  <c:v>38.935979003379593</c:v>
                </c:pt>
                <c:pt idx="21">
                  <c:v>31.927741533059191</c:v>
                </c:pt>
                <c:pt idx="22">
                  <c:v>26.005993265993261</c:v>
                </c:pt>
                <c:pt idx="23">
                  <c:v>34.795161290322582</c:v>
                </c:pt>
                <c:pt idx="24">
                  <c:v>55.422967607277918</c:v>
                </c:pt>
                <c:pt idx="25">
                  <c:v>47.542610979142587</c:v>
                </c:pt>
                <c:pt idx="26">
                  <c:v>44.550700915805493</c:v>
                </c:pt>
                <c:pt idx="27">
                  <c:v>43.594739828473003</c:v>
                </c:pt>
                <c:pt idx="28">
                  <c:v>47.655870575001217</c:v>
                </c:pt>
                <c:pt idx="29">
                  <c:v>70.543547911111062</c:v>
                </c:pt>
                <c:pt idx="30">
                  <c:v>78.568319747758608</c:v>
                </c:pt>
                <c:pt idx="31">
                  <c:v>81.983351136401794</c:v>
                </c:pt>
                <c:pt idx="32">
                  <c:v>116.20022495544841</c:v>
                </c:pt>
                <c:pt idx="33">
                  <c:v>126.53039520323949</c:v>
                </c:pt>
                <c:pt idx="34">
                  <c:v>160.77058330102949</c:v>
                </c:pt>
                <c:pt idx="35">
                  <c:v>228.8621705579358</c:v>
                </c:pt>
                <c:pt idx="36">
                  <c:v>123.20125067917191</c:v>
                </c:pt>
                <c:pt idx="37">
                  <c:v>117.67077903546</c:v>
                </c:pt>
                <c:pt idx="38">
                  <c:v>191.50807173506701</c:v>
                </c:pt>
                <c:pt idx="39">
                  <c:v>145.70138715926041</c:v>
                </c:pt>
                <c:pt idx="40">
                  <c:v>149.4185612445558</c:v>
                </c:pt>
                <c:pt idx="41">
                  <c:v>194.71103409481981</c:v>
                </c:pt>
                <c:pt idx="42">
                  <c:v>239.3981525107354</c:v>
                </c:pt>
                <c:pt idx="43">
                  <c:v>419.79263722660602</c:v>
                </c:pt>
                <c:pt idx="44">
                  <c:v>310.70739927266709</c:v>
                </c:pt>
                <c:pt idx="45">
                  <c:v>125.6295598680838</c:v>
                </c:pt>
                <c:pt idx="46">
                  <c:v>131.7111886265582</c:v>
                </c:pt>
                <c:pt idx="47">
                  <c:v>282.82379374207261</c:v>
                </c:pt>
                <c:pt idx="48">
                  <c:v>138.52998868426329</c:v>
                </c:pt>
                <c:pt idx="49">
                  <c:v>109.87697572135031</c:v>
                </c:pt>
                <c:pt idx="50">
                  <c:v>93.774190940695377</c:v>
                </c:pt>
                <c:pt idx="51">
                  <c:v>76.25042822265543</c:v>
                </c:pt>
                <c:pt idx="52">
                  <c:v>50.543487760082613</c:v>
                </c:pt>
                <c:pt idx="53">
                  <c:v>74.888982776218057</c:v>
                </c:pt>
                <c:pt idx="54">
                  <c:v>52.095599438463452</c:v>
                </c:pt>
                <c:pt idx="55">
                  <c:v>74.180426039978187</c:v>
                </c:pt>
                <c:pt idx="56">
                  <c:v>68.116869623396937</c:v>
                </c:pt>
                <c:pt idx="57">
                  <c:v>50.539090519702853</c:v>
                </c:pt>
                <c:pt idx="58">
                  <c:v>90.680805562425178</c:v>
                </c:pt>
                <c:pt idx="59">
                  <c:v>63.455327688788032</c:v>
                </c:pt>
                <c:pt idx="60">
                  <c:v>78.571316441678306</c:v>
                </c:pt>
                <c:pt idx="61">
                  <c:v>59.479486768055089</c:v>
                </c:pt>
                <c:pt idx="62">
                  <c:v>51.269783241554933</c:v>
                </c:pt>
                <c:pt idx="63">
                  <c:v>49.383940562011212</c:v>
                </c:pt>
                <c:pt idx="64">
                  <c:v>35.894148271408874</c:v>
                </c:pt>
                <c:pt idx="65">
                  <c:v>47.037633727397647</c:v>
                </c:pt>
                <c:pt idx="66">
                  <c:v>42.521773223099522</c:v>
                </c:pt>
                <c:pt idx="67">
                  <c:v>52.17121747504909</c:v>
                </c:pt>
                <c:pt idx="68">
                  <c:v>45.647504626217007</c:v>
                </c:pt>
                <c:pt idx="69">
                  <c:v>58.441583787091993</c:v>
                </c:pt>
                <c:pt idx="70">
                  <c:v>97.582352616331917</c:v>
                </c:pt>
                <c:pt idx="71">
                  <c:v>92.073217693833982</c:v>
                </c:pt>
                <c:pt idx="72">
                  <c:v>111.1945655985155</c:v>
                </c:pt>
                <c:pt idx="73">
                  <c:v>105.41315973788279</c:v>
                </c:pt>
                <c:pt idx="74">
                  <c:v>57.84566339627056</c:v>
                </c:pt>
                <c:pt idx="75">
                  <c:v>45.844395770687349</c:v>
                </c:pt>
                <c:pt idx="76">
                  <c:v>40.065667394009381</c:v>
                </c:pt>
                <c:pt idx="77">
                  <c:v>33.493381965196598</c:v>
                </c:pt>
                <c:pt idx="78">
                  <c:v>61.32224821093979</c:v>
                </c:pt>
                <c:pt idx="79">
                  <c:v>47.755824567457559</c:v>
                </c:pt>
                <c:pt idx="80">
                  <c:v>49.429094996057238</c:v>
                </c:pt>
                <c:pt idx="81">
                  <c:v>74.266634537895257</c:v>
                </c:pt>
                <c:pt idx="82">
                  <c:v>95.564531802521344</c:v>
                </c:pt>
                <c:pt idx="83">
                  <c:v>80.958034242780258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AA3-8F42-A22C-5813355F45D8}"/>
            </c:ext>
          </c:extLst>
        </c:ser>
        <c:ser>
          <c:idx val="1"/>
          <c:order val="1"/>
          <c:tx>
            <c:strRef>
              <c:f>'Capture Price Inputs'!$I$1</c:f>
              <c:strCache>
                <c:ptCount val="1"/>
                <c:pt idx="0">
                  <c:v>DK2 Capture Price (EUR/MWh)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'Capture Price Inputs'!$I$2:$I$85</c:f>
              <c:numCache>
                <c:formatCode>General</c:formatCode>
                <c:ptCount val="84"/>
                <c:pt idx="12">
                  <c:v>29.86213642213642</c:v>
                </c:pt>
                <c:pt idx="13">
                  <c:v>23.555517829721889</c:v>
                </c:pt>
                <c:pt idx="14">
                  <c:v>17.149050692261021</c:v>
                </c:pt>
                <c:pt idx="15">
                  <c:v>13.252523128367081</c:v>
                </c:pt>
                <c:pt idx="16">
                  <c:v>18.594049382716051</c:v>
                </c:pt>
                <c:pt idx="17">
                  <c:v>35.21078005032583</c:v>
                </c:pt>
                <c:pt idx="18">
                  <c:v>26.450778046867001</c:v>
                </c:pt>
                <c:pt idx="19">
                  <c:v>44.113765015404859</c:v>
                </c:pt>
                <c:pt idx="20">
                  <c:v>41.853047880870562</c:v>
                </c:pt>
                <c:pt idx="21">
                  <c:v>33.600878372903331</c:v>
                </c:pt>
                <c:pt idx="22">
                  <c:v>37.749765625000002</c:v>
                </c:pt>
                <c:pt idx="23">
                  <c:v>44.191428571428567</c:v>
                </c:pt>
                <c:pt idx="24">
                  <c:v>57.072134410081453</c:v>
                </c:pt>
                <c:pt idx="25">
                  <c:v>52.285083654524577</c:v>
                </c:pt>
                <c:pt idx="26">
                  <c:v>47.422643011897812</c:v>
                </c:pt>
                <c:pt idx="27">
                  <c:v>45.901363748248833</c:v>
                </c:pt>
                <c:pt idx="28">
                  <c:v>50.258720231460799</c:v>
                </c:pt>
                <c:pt idx="29">
                  <c:v>69.469341653776226</c:v>
                </c:pt>
                <c:pt idx="30">
                  <c:v>77.933111551394319</c:v>
                </c:pt>
                <c:pt idx="31">
                  <c:v>84.512747690257029</c:v>
                </c:pt>
                <c:pt idx="32">
                  <c:v>118.7457227855615</c:v>
                </c:pt>
                <c:pt idx="33">
                  <c:v>122.3841235967906</c:v>
                </c:pt>
                <c:pt idx="34">
                  <c:v>153.62679427815749</c:v>
                </c:pt>
                <c:pt idx="35">
                  <c:v>244.48727859764409</c:v>
                </c:pt>
                <c:pt idx="36">
                  <c:v>129.67749023150819</c:v>
                </c:pt>
                <c:pt idx="37">
                  <c:v>108.80333899256409</c:v>
                </c:pt>
                <c:pt idx="38">
                  <c:v>186.0504424586062</c:v>
                </c:pt>
                <c:pt idx="39">
                  <c:v>143.53758886421849</c:v>
                </c:pt>
                <c:pt idx="40">
                  <c:v>146.25360234460331</c:v>
                </c:pt>
                <c:pt idx="41">
                  <c:v>192.2325905808319</c:v>
                </c:pt>
                <c:pt idx="42">
                  <c:v>212.3625858003895</c:v>
                </c:pt>
                <c:pt idx="43">
                  <c:v>397.17988485976059</c:v>
                </c:pt>
                <c:pt idx="44">
                  <c:v>315.92884279677901</c:v>
                </c:pt>
                <c:pt idx="45">
                  <c:v>120.1190076327392</c:v>
                </c:pt>
                <c:pt idx="46">
                  <c:v>134.0399027878758</c:v>
                </c:pt>
                <c:pt idx="47">
                  <c:v>303.26978481668573</c:v>
                </c:pt>
                <c:pt idx="48">
                  <c:v>120.8992864784306</c:v>
                </c:pt>
                <c:pt idx="49">
                  <c:v>103.112625406295</c:v>
                </c:pt>
                <c:pt idx="50">
                  <c:v>89.098468921641697</c:v>
                </c:pt>
                <c:pt idx="51">
                  <c:v>71.125099705594195</c:v>
                </c:pt>
                <c:pt idx="52">
                  <c:v>48.358083796456327</c:v>
                </c:pt>
                <c:pt idx="53">
                  <c:v>71.862090372222397</c:v>
                </c:pt>
                <c:pt idx="54">
                  <c:v>50.345966617092351</c:v>
                </c:pt>
                <c:pt idx="55">
                  <c:v>72.957992347987414</c:v>
                </c:pt>
                <c:pt idx="56">
                  <c:v>64.394484672464898</c:v>
                </c:pt>
                <c:pt idx="57">
                  <c:v>47.660255094286853</c:v>
                </c:pt>
                <c:pt idx="58">
                  <c:v>84.639978605265995</c:v>
                </c:pt>
                <c:pt idx="59">
                  <c:v>59.061746333079718</c:v>
                </c:pt>
                <c:pt idx="60">
                  <c:v>76.427202535219209</c:v>
                </c:pt>
                <c:pt idx="61">
                  <c:v>51.434379196547752</c:v>
                </c:pt>
                <c:pt idx="62">
                  <c:v>50.751163813053438</c:v>
                </c:pt>
                <c:pt idx="63">
                  <c:v>47.053967904827999</c:v>
                </c:pt>
                <c:pt idx="64">
                  <c:v>34.295794113692892</c:v>
                </c:pt>
                <c:pt idx="65">
                  <c:v>46.379384034583367</c:v>
                </c:pt>
                <c:pt idx="66">
                  <c:v>38.812821969471173</c:v>
                </c:pt>
                <c:pt idx="67">
                  <c:v>47.151863118292532</c:v>
                </c:pt>
                <c:pt idx="68">
                  <c:v>43.355946350842189</c:v>
                </c:pt>
                <c:pt idx="69">
                  <c:v>59.534937630286556</c:v>
                </c:pt>
                <c:pt idx="70">
                  <c:v>89.611277477917284</c:v>
                </c:pt>
                <c:pt idx="71">
                  <c:v>100.7961313991171</c:v>
                </c:pt>
                <c:pt idx="72">
                  <c:v>115.0822593270056</c:v>
                </c:pt>
                <c:pt idx="73">
                  <c:v>106.92318207316821</c:v>
                </c:pt>
                <c:pt idx="74">
                  <c:v>50.018062961268747</c:v>
                </c:pt>
                <c:pt idx="75">
                  <c:v>41.82584156307518</c:v>
                </c:pt>
                <c:pt idx="76">
                  <c:v>34.320660344591218</c:v>
                </c:pt>
                <c:pt idx="77">
                  <c:v>24.31568572006325</c:v>
                </c:pt>
                <c:pt idx="78">
                  <c:v>59.766943882147693</c:v>
                </c:pt>
                <c:pt idx="79">
                  <c:v>43.064604783544858</c:v>
                </c:pt>
                <c:pt idx="80">
                  <c:v>52.949405153808357</c:v>
                </c:pt>
                <c:pt idx="81">
                  <c:v>78.645730322406678</c:v>
                </c:pt>
                <c:pt idx="82">
                  <c:v>92.690454871532665</c:v>
                </c:pt>
                <c:pt idx="83">
                  <c:v>79.631228022083661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AA3-8F42-A22C-5813355F45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Capture Price Ratio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Inputs'!$J$1</c:f>
              <c:strCache>
                <c:ptCount val="1"/>
                <c:pt idx="0">
                  <c:v>DK1 CPR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Inputs'!$J$2:$J$85</c:f>
              <c:numCache>
                <c:formatCode>General</c:formatCode>
                <c:ptCount val="84"/>
                <c:pt idx="12">
                  <c:v>1.0091486594474419</c:v>
                </c:pt>
                <c:pt idx="13">
                  <c:v>1.2985911686950511</c:v>
                </c:pt>
                <c:pt idx="14">
                  <c:v>0.8710146939215303</c:v>
                </c:pt>
                <c:pt idx="15">
                  <c:v>0.71315772558819213</c:v>
                </c:pt>
                <c:pt idx="16">
                  <c:v>0.96415576931205649</c:v>
                </c:pt>
                <c:pt idx="17">
                  <c:v>1.0394664137310941</c:v>
                </c:pt>
                <c:pt idx="18">
                  <c:v>1.0086181556608309</c:v>
                </c:pt>
                <c:pt idx="19">
                  <c:v>0.98082264407500741</c:v>
                </c:pt>
                <c:pt idx="20">
                  <c:v>1.0104044869130051</c:v>
                </c:pt>
                <c:pt idx="21">
                  <c:v>1.236802226812374</c:v>
                </c:pt>
                <c:pt idx="22">
                  <c:v>1.094777917215692</c:v>
                </c:pt>
                <c:pt idx="23">
                  <c:v>1.0082301641826621</c:v>
                </c:pt>
                <c:pt idx="24">
                  <c:v>1.103930861568265</c:v>
                </c:pt>
                <c:pt idx="25">
                  <c:v>1.0059479277054251</c:v>
                </c:pt>
                <c:pt idx="26">
                  <c:v>0.9871758725122356</c:v>
                </c:pt>
                <c:pt idx="27">
                  <c:v>0.90884647456650169</c:v>
                </c:pt>
                <c:pt idx="28">
                  <c:v>0.87751805187154364</c:v>
                </c:pt>
                <c:pt idx="29">
                  <c:v>0.95691427953473174</c:v>
                </c:pt>
                <c:pt idx="30">
                  <c:v>0.98211323715969778</c:v>
                </c:pt>
                <c:pt idx="31">
                  <c:v>0.99027147802450566</c:v>
                </c:pt>
                <c:pt idx="32">
                  <c:v>0.92690440483613579</c:v>
                </c:pt>
                <c:pt idx="33">
                  <c:v>1.0810885074134391</c:v>
                </c:pt>
                <c:pt idx="34">
                  <c:v>1.1338034085044659</c:v>
                </c:pt>
                <c:pt idx="35">
                  <c:v>1.2086769624549281</c:v>
                </c:pt>
                <c:pt idx="36">
                  <c:v>1.0441257304277269</c:v>
                </c:pt>
                <c:pt idx="37">
                  <c:v>1.04022281700981</c:v>
                </c:pt>
                <c:pt idx="38">
                  <c:v>0.81207759044207406</c:v>
                </c:pt>
                <c:pt idx="39">
                  <c:v>0.89039133384678326</c:v>
                </c:pt>
                <c:pt idx="40">
                  <c:v>0.86943016050498578</c:v>
                </c:pt>
                <c:pt idx="41">
                  <c:v>0.90803902012341908</c:v>
                </c:pt>
                <c:pt idx="42">
                  <c:v>0.87041791592949547</c:v>
                </c:pt>
                <c:pt idx="43">
                  <c:v>0.91908553046700026</c:v>
                </c:pt>
                <c:pt idx="44">
                  <c:v>0.90632901805683119</c:v>
                </c:pt>
                <c:pt idx="45">
                  <c:v>0.91612325253961768</c:v>
                </c:pt>
                <c:pt idx="46">
                  <c:v>0.94278612074660006</c:v>
                </c:pt>
                <c:pt idx="47">
                  <c:v>1.132810339248927</c:v>
                </c:pt>
                <c:pt idx="48">
                  <c:v>1.2309198691226539</c:v>
                </c:pt>
                <c:pt idx="49">
                  <c:v>0.93008781340266</c:v>
                </c:pt>
                <c:pt idx="50">
                  <c:v>0.94612539759598957</c:v>
                </c:pt>
                <c:pt idx="51">
                  <c:v>0.79203966120386338</c:v>
                </c:pt>
                <c:pt idx="52">
                  <c:v>0.68333610561519953</c:v>
                </c:pt>
                <c:pt idx="53">
                  <c:v>0.80965062086215667</c:v>
                </c:pt>
                <c:pt idx="54">
                  <c:v>0.80380421953260928</c:v>
                </c:pt>
                <c:pt idx="55">
                  <c:v>0.86289309777204071</c:v>
                </c:pt>
                <c:pt idx="56">
                  <c:v>0.8038389922187259</c:v>
                </c:pt>
                <c:pt idx="57">
                  <c:v>0.84083605560542263</c:v>
                </c:pt>
                <c:pt idx="58">
                  <c:v>1.028656893611996</c:v>
                </c:pt>
                <c:pt idx="59">
                  <c:v>0.91325607762876626</c:v>
                </c:pt>
                <c:pt idx="60">
                  <c:v>1.051614630458469</c:v>
                </c:pt>
                <c:pt idx="61">
                  <c:v>1.0144208291794441</c:v>
                </c:pt>
                <c:pt idx="62">
                  <c:v>0.8373818542217274</c:v>
                </c:pt>
                <c:pt idx="63">
                  <c:v>0.83468460161643787</c:v>
                </c:pt>
                <c:pt idx="64">
                  <c:v>0.61339845366508694</c:v>
                </c:pt>
                <c:pt idx="65">
                  <c:v>0.73781003223868646</c:v>
                </c:pt>
                <c:pt idx="66">
                  <c:v>0.68549949487061801</c:v>
                </c:pt>
                <c:pt idx="67">
                  <c:v>0.71512676219349525</c:v>
                </c:pt>
                <c:pt idx="68">
                  <c:v>0.63652522303957304</c:v>
                </c:pt>
                <c:pt idx="69">
                  <c:v>0.76175188075929667</c:v>
                </c:pt>
                <c:pt idx="70">
                  <c:v>1.0174940038611719</c:v>
                </c:pt>
                <c:pt idx="71">
                  <c:v>1.0025674160411211</c:v>
                </c:pt>
                <c:pt idx="72">
                  <c:v>1.135032584901597</c:v>
                </c:pt>
                <c:pt idx="73">
                  <c:v>0.93411665141872979</c:v>
                </c:pt>
                <c:pt idx="74">
                  <c:v>0.68579081688022481</c:v>
                </c:pt>
                <c:pt idx="75">
                  <c:v>0.60995353561832499</c:v>
                </c:pt>
                <c:pt idx="76">
                  <c:v>0.62375117423189408</c:v>
                </c:pt>
                <c:pt idx="77">
                  <c:v>0.56976432128633303</c:v>
                </c:pt>
                <c:pt idx="78">
                  <c:v>0.74058967108380014</c:v>
                </c:pt>
                <c:pt idx="79">
                  <c:v>0.64997112344594554</c:v>
                </c:pt>
                <c:pt idx="80">
                  <c:v>0.68273474898658593</c:v>
                </c:pt>
                <c:pt idx="81">
                  <c:v>0.94701517193480578</c:v>
                </c:pt>
                <c:pt idx="82">
                  <c:v>1.0289764309560969</c:v>
                </c:pt>
                <c:pt idx="83">
                  <c:v>0.98205388617926037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F34-414A-82B3-D9F0D1BA0BFF}"/>
            </c:ext>
          </c:extLst>
        </c:ser>
        <c:ser>
          <c:idx val="1"/>
          <c:order val="1"/>
          <c:tx>
            <c:strRef>
              <c:f>'Capture Price Inputs'!$K$1</c:f>
              <c:strCache>
                <c:ptCount val="1"/>
                <c:pt idx="0">
                  <c:v>DK2 CPR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'Capture Price Inputs'!$K$2:$K$85</c:f>
              <c:numCache>
                <c:formatCode>General</c:formatCode>
                <c:ptCount val="84"/>
                <c:pt idx="12">
                  <c:v>1.090446324793763</c:v>
                </c:pt>
                <c:pt idx="13">
                  <c:v>1.251821301318464</c:v>
                </c:pt>
                <c:pt idx="14">
                  <c:v>0.85520775851277109</c:v>
                </c:pt>
                <c:pt idx="15">
                  <c:v>0.76362023547871605</c:v>
                </c:pt>
                <c:pt idx="16">
                  <c:v>0.97636938233545278</c:v>
                </c:pt>
                <c:pt idx="17">
                  <c:v>1.180647007173951</c:v>
                </c:pt>
                <c:pt idx="18">
                  <c:v>1.021791049952987</c:v>
                </c:pt>
                <c:pt idx="19">
                  <c:v>1.077948442472481</c:v>
                </c:pt>
                <c:pt idx="20">
                  <c:v>1.0591890923358069</c:v>
                </c:pt>
                <c:pt idx="21">
                  <c:v>1.247549053102559</c:v>
                </c:pt>
                <c:pt idx="22">
                  <c:v>1.057080411727209</c:v>
                </c:pt>
                <c:pt idx="23">
                  <c:v>1.125691191699302</c:v>
                </c:pt>
                <c:pt idx="24">
                  <c:v>1.122164979814525</c:v>
                </c:pt>
                <c:pt idx="25">
                  <c:v>0.9585139857498034</c:v>
                </c:pt>
                <c:pt idx="26">
                  <c:v>1.0147741726503949</c:v>
                </c:pt>
                <c:pt idx="27">
                  <c:v>0.95901643664766134</c:v>
                </c:pt>
                <c:pt idx="28">
                  <c:v>0.91033887361171206</c:v>
                </c:pt>
                <c:pt idx="29">
                  <c:v>0.94404491874816343</c:v>
                </c:pt>
                <c:pt idx="30">
                  <c:v>0.95692856904650769</c:v>
                </c:pt>
                <c:pt idx="31">
                  <c:v>1.001768528067071</c:v>
                </c:pt>
                <c:pt idx="32">
                  <c:v>0.95838336990944806</c:v>
                </c:pt>
                <c:pt idx="33">
                  <c:v>1.1445012658471321</c:v>
                </c:pt>
                <c:pt idx="34">
                  <c:v>1.1264608571418011</c:v>
                </c:pt>
                <c:pt idx="35">
                  <c:v>1.279578427053047</c:v>
                </c:pt>
                <c:pt idx="36">
                  <c:v>1.1617546523412821</c:v>
                </c:pt>
                <c:pt idx="37">
                  <c:v>1.084871924613185</c:v>
                </c:pt>
                <c:pt idx="38">
                  <c:v>0.81629582758371144</c:v>
                </c:pt>
                <c:pt idx="39">
                  <c:v>0.93918048773921026</c:v>
                </c:pt>
                <c:pt idx="40">
                  <c:v>0.89914563143311954</c:v>
                </c:pt>
                <c:pt idx="41">
                  <c:v>0.90151367457475784</c:v>
                </c:pt>
                <c:pt idx="42">
                  <c:v>0.90956244496775596</c:v>
                </c:pt>
                <c:pt idx="43">
                  <c:v>0.8830756108422062</c:v>
                </c:pt>
                <c:pt idx="44">
                  <c:v>0.96085369829588263</c:v>
                </c:pt>
                <c:pt idx="45">
                  <c:v>0.87743541957368609</c:v>
                </c:pt>
                <c:pt idx="46">
                  <c:v>0.92404474391789948</c:v>
                </c:pt>
                <c:pt idx="47">
                  <c:v>1.2185280560697289</c:v>
                </c:pt>
                <c:pt idx="48">
                  <c:v>1.2118663236304299</c:v>
                </c:pt>
                <c:pt idx="49">
                  <c:v>1.0244781228159621</c:v>
                </c:pt>
                <c:pt idx="50">
                  <c:v>0.99223631219701203</c:v>
                </c:pt>
                <c:pt idx="51">
                  <c:v>0.85025873478203906</c:v>
                </c:pt>
                <c:pt idx="52">
                  <c:v>0.73101748270540212</c:v>
                </c:pt>
                <c:pt idx="53">
                  <c:v>0.78603819917365525</c:v>
                </c:pt>
                <c:pt idx="54">
                  <c:v>0.77170348712471282</c:v>
                </c:pt>
                <c:pt idx="55">
                  <c:v>0.84546104105698361</c:v>
                </c:pt>
                <c:pt idx="56">
                  <c:v>0.75329173308453345</c:v>
                </c:pt>
                <c:pt idx="57">
                  <c:v>0.83723449033464103</c:v>
                </c:pt>
                <c:pt idx="58">
                  <c:v>1.038705241708771</c:v>
                </c:pt>
                <c:pt idx="59">
                  <c:v>0.83326707575628478</c:v>
                </c:pt>
                <c:pt idx="60">
                  <c:v>0.97714487510792902</c:v>
                </c:pt>
                <c:pt idx="61">
                  <c:v>0.93991726033346112</c:v>
                </c:pt>
                <c:pt idx="62">
                  <c:v>0.8314293202728863</c:v>
                </c:pt>
                <c:pt idx="63">
                  <c:v>0.77805107456374178</c:v>
                </c:pt>
                <c:pt idx="64">
                  <c:v>0.59005563427075769</c:v>
                </c:pt>
                <c:pt idx="65">
                  <c:v>0.69439585691141426</c:v>
                </c:pt>
                <c:pt idx="66">
                  <c:v>0.61762838453946423</c:v>
                </c:pt>
                <c:pt idx="67">
                  <c:v>0.64934714792296455</c:v>
                </c:pt>
                <c:pt idx="68">
                  <c:v>0.61574801135475132</c:v>
                </c:pt>
                <c:pt idx="69">
                  <c:v>0.78000735067931948</c:v>
                </c:pt>
                <c:pt idx="70">
                  <c:v>0.94047799551015088</c:v>
                </c:pt>
                <c:pt idx="71">
                  <c:v>1.0870067185479459</c:v>
                </c:pt>
                <c:pt idx="72">
                  <c:v>1.1494003648079021</c:v>
                </c:pt>
                <c:pt idx="73">
                  <c:v>0.90662384271333907</c:v>
                </c:pt>
                <c:pt idx="74">
                  <c:v>0.60374116471580297</c:v>
                </c:pt>
                <c:pt idx="75">
                  <c:v>0.55174367988103734</c:v>
                </c:pt>
                <c:pt idx="76">
                  <c:v>0.54405946330729504</c:v>
                </c:pt>
                <c:pt idx="77">
                  <c:v>0.4307606652121766</c:v>
                </c:pt>
                <c:pt idx="78">
                  <c:v>0.74746341861966192</c:v>
                </c:pt>
                <c:pt idx="79">
                  <c:v>0.57178942343359873</c:v>
                </c:pt>
                <c:pt idx="80">
                  <c:v>0.63573160083367797</c:v>
                </c:pt>
                <c:pt idx="81">
                  <c:v>0.95480840081563045</c:v>
                </c:pt>
                <c:pt idx="82">
                  <c:v>0.98927251294969987</c:v>
                </c:pt>
                <c:pt idx="83">
                  <c:v>0.97014796253594149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F34-414A-82B3-D9F0D1BA0B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CPR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Solar Penetration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Inputs'!$F$1</c:f>
              <c:strCache>
                <c:ptCount val="1"/>
                <c:pt idx="0">
                  <c:v>DK1 Solar Penetration (%) — Primary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'Capture Price Inputs'!$F$2:$F$85</c:f>
              <c:numCache>
                <c:formatCode>General</c:formatCode>
                <c:ptCount val="84"/>
                <c:pt idx="12">
                  <c:v>2.2644478926294831E-3</c:v>
                </c:pt>
                <c:pt idx="13">
                  <c:v>5.2474520244822449E-3</c:v>
                </c:pt>
                <c:pt idx="14">
                  <c:v>2.020167759412729E-2</c:v>
                </c:pt>
                <c:pt idx="15">
                  <c:v>3.2427989612304697E-2</c:v>
                </c:pt>
                <c:pt idx="16">
                  <c:v>3.6080087237903569E-2</c:v>
                </c:pt>
                <c:pt idx="17">
                  <c:v>3.7413618831640891E-2</c:v>
                </c:pt>
                <c:pt idx="18">
                  <c:v>3.3998433859503921E-2</c:v>
                </c:pt>
                <c:pt idx="19">
                  <c:v>3.4224763142537661E-2</c:v>
                </c:pt>
                <c:pt idx="20">
                  <c:v>2.4330151939157239E-2</c:v>
                </c:pt>
                <c:pt idx="21">
                  <c:v>1.1490387549446779E-2</c:v>
                </c:pt>
                <c:pt idx="22">
                  <c:v>1.521101274151999E-4</c:v>
                </c:pt>
                <c:pt idx="23">
                  <c:v>1.472410662127807E-5</c:v>
                </c:pt>
                <c:pt idx="24">
                  <c:v>3.6313559990350909E-3</c:v>
                </c:pt>
                <c:pt idx="25">
                  <c:v>1.0868941718057299E-2</c:v>
                </c:pt>
                <c:pt idx="26">
                  <c:v>2.2382303907371628E-2</c:v>
                </c:pt>
                <c:pt idx="27">
                  <c:v>4.212837115783985E-2</c:v>
                </c:pt>
                <c:pt idx="28">
                  <c:v>3.3075052211960353E-2</c:v>
                </c:pt>
                <c:pt idx="29">
                  <c:v>4.9841661821819518E-2</c:v>
                </c:pt>
                <c:pt idx="30">
                  <c:v>4.85715434854639E-2</c:v>
                </c:pt>
                <c:pt idx="31">
                  <c:v>3.8876947944708702E-2</c:v>
                </c:pt>
                <c:pt idx="32">
                  <c:v>2.5932850179436289E-2</c:v>
                </c:pt>
                <c:pt idx="33">
                  <c:v>1.7460096431489061E-2</c:v>
                </c:pt>
                <c:pt idx="34">
                  <c:v>7.0293060058135041E-3</c:v>
                </c:pt>
                <c:pt idx="35">
                  <c:v>3.243365391886713E-3</c:v>
                </c:pt>
                <c:pt idx="36">
                  <c:v>6.6753155472480874E-3</c:v>
                </c:pt>
                <c:pt idx="37">
                  <c:v>1.7399571233002901E-2</c:v>
                </c:pt>
                <c:pt idx="38">
                  <c:v>6.1955070586442867E-2</c:v>
                </c:pt>
                <c:pt idx="39">
                  <c:v>8.404056603836467E-2</c:v>
                </c:pt>
                <c:pt idx="40">
                  <c:v>9.6876891420316108E-2</c:v>
                </c:pt>
                <c:pt idx="41">
                  <c:v>9.4962020744311482E-2</c:v>
                </c:pt>
                <c:pt idx="42">
                  <c:v>9.963556652585577E-2</c:v>
                </c:pt>
                <c:pt idx="43">
                  <c:v>8.9626978325266782E-2</c:v>
                </c:pt>
                <c:pt idx="44">
                  <c:v>6.6046498591704736E-2</c:v>
                </c:pt>
                <c:pt idx="45">
                  <c:v>3.7469414477654707E-2</c:v>
                </c:pt>
                <c:pt idx="46">
                  <c:v>1.046932675470221E-2</c:v>
                </c:pt>
                <c:pt idx="47">
                  <c:v>6.2291646451968653E-3</c:v>
                </c:pt>
                <c:pt idx="48">
                  <c:v>1.2460694276862919E-2</c:v>
                </c:pt>
                <c:pt idx="49">
                  <c:v>3.4376404191763639E-2</c:v>
                </c:pt>
                <c:pt idx="50">
                  <c:v>5.6477968577058592E-2</c:v>
                </c:pt>
                <c:pt idx="51">
                  <c:v>0.1509467292684683</c:v>
                </c:pt>
                <c:pt idx="52">
                  <c:v>0.18600333743842001</c:v>
                </c:pt>
                <c:pt idx="53">
                  <c:v>0.21892573712946101</c:v>
                </c:pt>
                <c:pt idx="54">
                  <c:v>0.18929524056345021</c:v>
                </c:pt>
                <c:pt idx="55">
                  <c:v>0.1493297980639493</c:v>
                </c:pt>
                <c:pt idx="56">
                  <c:v>0.13191654386548721</c:v>
                </c:pt>
                <c:pt idx="57">
                  <c:v>4.2864886456730103E-2</c:v>
                </c:pt>
                <c:pt idx="58">
                  <c:v>1.6003493537152379E-2</c:v>
                </c:pt>
                <c:pt idx="59">
                  <c:v>6.3905046726965339E-3</c:v>
                </c:pt>
                <c:pt idx="60">
                  <c:v>1.3417186050607519E-2</c:v>
                </c:pt>
                <c:pt idx="61">
                  <c:v>2.6436223837926501E-2</c:v>
                </c:pt>
                <c:pt idx="62">
                  <c:v>6.6233973400350477E-2</c:v>
                </c:pt>
                <c:pt idx="63">
                  <c:v>0.1084169878649764</c:v>
                </c:pt>
                <c:pt idx="64">
                  <c:v>0.18887031649880051</c:v>
                </c:pt>
                <c:pt idx="65">
                  <c:v>0.1715230569234828</c:v>
                </c:pt>
                <c:pt idx="66">
                  <c:v>0.1809062055635286</c:v>
                </c:pt>
                <c:pt idx="67">
                  <c:v>0.15512153111725799</c:v>
                </c:pt>
                <c:pt idx="68">
                  <c:v>0.1275567235314205</c:v>
                </c:pt>
                <c:pt idx="69">
                  <c:v>6.2873767847415107E-2</c:v>
                </c:pt>
                <c:pt idx="70">
                  <c:v>1.780902737610289E-2</c:v>
                </c:pt>
                <c:pt idx="71">
                  <c:v>6.7857975683456679E-3</c:v>
                </c:pt>
                <c:pt idx="72">
                  <c:v>1.366055484422285E-2</c:v>
                </c:pt>
                <c:pt idx="73">
                  <c:v>4.3419934817177687E-2</c:v>
                </c:pt>
                <c:pt idx="74">
                  <c:v>0.1120694547038418</c:v>
                </c:pt>
                <c:pt idx="75">
                  <c:v>0.14827548756052711</c:v>
                </c:pt>
                <c:pt idx="76">
                  <c:v>0.19244468175967161</c:v>
                </c:pt>
                <c:pt idx="77">
                  <c:v>0.18784829238523279</c:v>
                </c:pt>
                <c:pt idx="78">
                  <c:v>0.21828188848241209</c:v>
                </c:pt>
                <c:pt idx="79">
                  <c:v>0.19011684012808119</c:v>
                </c:pt>
                <c:pt idx="80">
                  <c:v>0.13816152724517919</c:v>
                </c:pt>
                <c:pt idx="81">
                  <c:v>6.9462071202051626E-2</c:v>
                </c:pt>
                <c:pt idx="82">
                  <c:v>2.6604970402147529E-2</c:v>
                </c:pt>
                <c:pt idx="83">
                  <c:v>1.40253486520015E-2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E2E-1245-ABC6-D3C0C78D501B}"/>
            </c:ext>
          </c:extLst>
        </c:ser>
        <c:ser>
          <c:idx val="1"/>
          <c:order val="1"/>
          <c:tx>
            <c:strRef>
              <c:f>'Capture Price Inputs'!$G$1</c:f>
              <c:strCache>
                <c:ptCount val="1"/>
                <c:pt idx="0">
                  <c:v>DK2 Solar Penetration (%) — Robustness</c:v>
                </c:pt>
              </c:strCache>
            </c:strRef>
          </c:tx>
          <c:spPr>
            <a:ln>
              <a:solidFill>
                <a:srgbClr val="FFD700"/>
              </a:solidFill>
              <a:prstDash val="solid"/>
            </a:ln>
          </c:spPr>
          <c:marker>
            <c:symbol val="none"/>
          </c:marker>
          <c:val>
            <c:numRef>
              <c:f>'Capture Price Inputs'!$G$2:$G$85</c:f>
              <c:numCache>
                <c:formatCode>General</c:formatCode>
                <c:ptCount val="84"/>
                <c:pt idx="12">
                  <c:v>1.864323044087839E-3</c:v>
                </c:pt>
                <c:pt idx="13">
                  <c:v>4.9613393448072352E-3</c:v>
                </c:pt>
                <c:pt idx="14">
                  <c:v>1.532033335337761E-2</c:v>
                </c:pt>
                <c:pt idx="15">
                  <c:v>2.6180595134545931E-2</c:v>
                </c:pt>
                <c:pt idx="16">
                  <c:v>3.2240930774166239E-2</c:v>
                </c:pt>
                <c:pt idx="17">
                  <c:v>3.0651812088155841E-2</c:v>
                </c:pt>
                <c:pt idx="18">
                  <c:v>2.998206800974695E-2</c:v>
                </c:pt>
                <c:pt idx="19">
                  <c:v>2.8034713414307081E-2</c:v>
                </c:pt>
                <c:pt idx="20">
                  <c:v>2.1736479101595249E-2</c:v>
                </c:pt>
                <c:pt idx="21">
                  <c:v>1.107911770574695E-2</c:v>
                </c:pt>
                <c:pt idx="22">
                  <c:v>1.1044611578332841E-4</c:v>
                </c:pt>
                <c:pt idx="23">
                  <c:v>5.6352433584062588E-6</c:v>
                </c:pt>
                <c:pt idx="24">
                  <c:v>3.104474131982996E-3</c:v>
                </c:pt>
                <c:pt idx="25">
                  <c:v>9.2483369487723587E-3</c:v>
                </c:pt>
                <c:pt idx="26">
                  <c:v>1.8474517045212829E-2</c:v>
                </c:pt>
                <c:pt idx="27">
                  <c:v>3.2694407483312787E-2</c:v>
                </c:pt>
                <c:pt idx="28">
                  <c:v>3.2945829294540187E-2</c:v>
                </c:pt>
                <c:pt idx="29">
                  <c:v>4.4480133140056069E-2</c:v>
                </c:pt>
                <c:pt idx="30">
                  <c:v>3.7049542537302173E-2</c:v>
                </c:pt>
                <c:pt idx="31">
                  <c:v>3.1857768834261987E-2</c:v>
                </c:pt>
                <c:pt idx="32">
                  <c:v>2.23981137027396E-2</c:v>
                </c:pt>
                <c:pt idx="33">
                  <c:v>1.267326343754744E-2</c:v>
                </c:pt>
                <c:pt idx="34">
                  <c:v>4.0132810857910267E-3</c:v>
                </c:pt>
                <c:pt idx="35">
                  <c:v>1.8226295838260991E-3</c:v>
                </c:pt>
                <c:pt idx="36">
                  <c:v>4.939556742877535E-3</c:v>
                </c:pt>
                <c:pt idx="37">
                  <c:v>1.3248485586698279E-2</c:v>
                </c:pt>
                <c:pt idx="38">
                  <c:v>3.4089330349121053E-2</c:v>
                </c:pt>
                <c:pt idx="39">
                  <c:v>5.5254436099578648E-2</c:v>
                </c:pt>
                <c:pt idx="40">
                  <c:v>6.5811459960859395E-2</c:v>
                </c:pt>
                <c:pt idx="41">
                  <c:v>6.4528229045867816E-2</c:v>
                </c:pt>
                <c:pt idx="42">
                  <c:v>6.7025803801952916E-2</c:v>
                </c:pt>
                <c:pt idx="43">
                  <c:v>6.1299924397195817E-2</c:v>
                </c:pt>
                <c:pt idx="44">
                  <c:v>4.5784276103507021E-2</c:v>
                </c:pt>
                <c:pt idx="45">
                  <c:v>2.9809058027035401E-2</c:v>
                </c:pt>
                <c:pt idx="46">
                  <c:v>7.8652952619005494E-3</c:v>
                </c:pt>
                <c:pt idx="47">
                  <c:v>4.5323555529735481E-3</c:v>
                </c:pt>
                <c:pt idx="48">
                  <c:v>5.8626527231366082E-3</c:v>
                </c:pt>
                <c:pt idx="49">
                  <c:v>1.8877648418373551E-2</c:v>
                </c:pt>
                <c:pt idx="50">
                  <c:v>3.7096229392005707E-2</c:v>
                </c:pt>
                <c:pt idx="51">
                  <c:v>8.0269966033824955E-2</c:v>
                </c:pt>
                <c:pt idx="52">
                  <c:v>0.1080032082802261</c:v>
                </c:pt>
                <c:pt idx="53">
                  <c:v>0.1144244665352921</c:v>
                </c:pt>
                <c:pt idx="54">
                  <c:v>0.10203074507159759</c:v>
                </c:pt>
                <c:pt idx="55">
                  <c:v>7.7931010532967707E-2</c:v>
                </c:pt>
                <c:pt idx="56">
                  <c:v>8.0909954639318743E-2</c:v>
                </c:pt>
                <c:pt idx="57">
                  <c:v>2.9172340215594381E-2</c:v>
                </c:pt>
                <c:pt idx="58">
                  <c:v>1.04098691216888E-2</c:v>
                </c:pt>
                <c:pt idx="59">
                  <c:v>3.809030164374855E-3</c:v>
                </c:pt>
                <c:pt idx="60">
                  <c:v>6.1781830729755079E-3</c:v>
                </c:pt>
                <c:pt idx="61">
                  <c:v>1.667231366864759E-2</c:v>
                </c:pt>
                <c:pt idx="62">
                  <c:v>4.1112806367337662E-2</c:v>
                </c:pt>
                <c:pt idx="63">
                  <c:v>6.5123378744806448E-2</c:v>
                </c:pt>
                <c:pt idx="64">
                  <c:v>0.106315341440858</c:v>
                </c:pt>
                <c:pt idx="65">
                  <c:v>0.1072729076610999</c:v>
                </c:pt>
                <c:pt idx="66">
                  <c:v>0.1057942634887733</c:v>
                </c:pt>
                <c:pt idx="67">
                  <c:v>9.3690832268705199E-2</c:v>
                </c:pt>
                <c:pt idx="68">
                  <c:v>7.2463202820400169E-2</c:v>
                </c:pt>
                <c:pt idx="69">
                  <c:v>3.6145253892379881E-2</c:v>
                </c:pt>
                <c:pt idx="70">
                  <c:v>8.6028414054236078E-3</c:v>
                </c:pt>
                <c:pt idx="71">
                  <c:v>4.1714684657767577E-3</c:v>
                </c:pt>
                <c:pt idx="72">
                  <c:v>7.223240212576967E-3</c:v>
                </c:pt>
                <c:pt idx="73">
                  <c:v>2.010831138567791E-2</c:v>
                </c:pt>
                <c:pt idx="74">
                  <c:v>4.6547866447452589E-2</c:v>
                </c:pt>
                <c:pt idx="75">
                  <c:v>7.1689783649061992E-2</c:v>
                </c:pt>
                <c:pt idx="76">
                  <c:v>9.4714127256233946E-2</c:v>
                </c:pt>
                <c:pt idx="77">
                  <c:v>9.9826250015510765E-2</c:v>
                </c:pt>
                <c:pt idx="78">
                  <c:v>9.3996419418699143E-2</c:v>
                </c:pt>
                <c:pt idx="79">
                  <c:v>0.1057378118957395</c:v>
                </c:pt>
                <c:pt idx="80">
                  <c:v>9.0628879686523764E-2</c:v>
                </c:pt>
                <c:pt idx="81">
                  <c:v>3.9573125678626628E-2</c:v>
                </c:pt>
                <c:pt idx="82">
                  <c:v>1.454364344794783E-2</c:v>
                </c:pt>
                <c:pt idx="83">
                  <c:v>9.0694911608833299E-3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E2E-1245-ABC6-D3C0C78D50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Solar Penetration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Capture Price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Inputs'!$H$1</c:f>
              <c:strCache>
                <c:ptCount val="1"/>
                <c:pt idx="0">
                  <c:v>DK1 Capture Price (EUR/MWh)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Inputs'!$H$2:$H$85</c:f>
              <c:numCache>
                <c:formatCode>General</c:formatCode>
                <c:ptCount val="84"/>
                <c:pt idx="12">
                  <c:v>25.22320957280251</c:v>
                </c:pt>
                <c:pt idx="13">
                  <c:v>22.83581899109792</c:v>
                </c:pt>
                <c:pt idx="14">
                  <c:v>15.94107348554973</c:v>
                </c:pt>
                <c:pt idx="15">
                  <c:v>10.36487590420421</c:v>
                </c:pt>
                <c:pt idx="16">
                  <c:v>15.478548945086001</c:v>
                </c:pt>
                <c:pt idx="17">
                  <c:v>27.313308227868689</c:v>
                </c:pt>
                <c:pt idx="18">
                  <c:v>24.831745178109159</c:v>
                </c:pt>
                <c:pt idx="19">
                  <c:v>33.876915422047851</c:v>
                </c:pt>
                <c:pt idx="20">
                  <c:v>38.935979003379593</c:v>
                </c:pt>
                <c:pt idx="21">
                  <c:v>31.927741533059191</c:v>
                </c:pt>
                <c:pt idx="22">
                  <c:v>26.005993265993261</c:v>
                </c:pt>
                <c:pt idx="23">
                  <c:v>34.795161290322582</c:v>
                </c:pt>
                <c:pt idx="24">
                  <c:v>55.422967607277918</c:v>
                </c:pt>
                <c:pt idx="25">
                  <c:v>47.542610979142587</c:v>
                </c:pt>
                <c:pt idx="26">
                  <c:v>44.550700915805493</c:v>
                </c:pt>
                <c:pt idx="27">
                  <c:v>43.594739828473003</c:v>
                </c:pt>
                <c:pt idx="28">
                  <c:v>47.655870575001217</c:v>
                </c:pt>
                <c:pt idx="29">
                  <c:v>70.543547911111062</c:v>
                </c:pt>
                <c:pt idx="30">
                  <c:v>78.568319747758608</c:v>
                </c:pt>
                <c:pt idx="31">
                  <c:v>81.983351136401794</c:v>
                </c:pt>
                <c:pt idx="32">
                  <c:v>116.20022495544841</c:v>
                </c:pt>
                <c:pt idx="33">
                  <c:v>126.53039520323949</c:v>
                </c:pt>
                <c:pt idx="34">
                  <c:v>160.77058330102949</c:v>
                </c:pt>
                <c:pt idx="35">
                  <c:v>228.8621705579358</c:v>
                </c:pt>
                <c:pt idx="36">
                  <c:v>123.20125067917191</c:v>
                </c:pt>
                <c:pt idx="37">
                  <c:v>117.67077903546</c:v>
                </c:pt>
                <c:pt idx="38">
                  <c:v>191.50807173506701</c:v>
                </c:pt>
                <c:pt idx="39">
                  <c:v>145.70138715926041</c:v>
                </c:pt>
                <c:pt idx="40">
                  <c:v>149.4185612445558</c:v>
                </c:pt>
                <c:pt idx="41">
                  <c:v>194.71103409481981</c:v>
                </c:pt>
                <c:pt idx="42">
                  <c:v>239.3981525107354</c:v>
                </c:pt>
                <c:pt idx="43">
                  <c:v>419.79263722660602</c:v>
                </c:pt>
                <c:pt idx="44">
                  <c:v>310.70739927266709</c:v>
                </c:pt>
                <c:pt idx="45">
                  <c:v>125.6295598680838</c:v>
                </c:pt>
                <c:pt idx="46">
                  <c:v>131.7111886265582</c:v>
                </c:pt>
                <c:pt idx="47">
                  <c:v>282.82379374207261</c:v>
                </c:pt>
                <c:pt idx="48">
                  <c:v>138.52998868426329</c:v>
                </c:pt>
                <c:pt idx="49">
                  <c:v>109.87697572135031</c:v>
                </c:pt>
                <c:pt idx="50">
                  <c:v>93.774190940695377</c:v>
                </c:pt>
                <c:pt idx="51">
                  <c:v>76.25042822265543</c:v>
                </c:pt>
                <c:pt idx="52">
                  <c:v>50.543487760082613</c:v>
                </c:pt>
                <c:pt idx="53">
                  <c:v>74.888982776218057</c:v>
                </c:pt>
                <c:pt idx="54">
                  <c:v>52.095599438463452</c:v>
                </c:pt>
                <c:pt idx="55">
                  <c:v>74.180426039978187</c:v>
                </c:pt>
                <c:pt idx="56">
                  <c:v>68.116869623396937</c:v>
                </c:pt>
                <c:pt idx="57">
                  <c:v>50.539090519702853</c:v>
                </c:pt>
                <c:pt idx="58">
                  <c:v>90.680805562425178</c:v>
                </c:pt>
                <c:pt idx="59">
                  <c:v>63.455327688788032</c:v>
                </c:pt>
                <c:pt idx="60">
                  <c:v>78.571316441678306</c:v>
                </c:pt>
                <c:pt idx="61">
                  <c:v>59.479486768055089</c:v>
                </c:pt>
                <c:pt idx="62">
                  <c:v>51.269783241554933</c:v>
                </c:pt>
                <c:pt idx="63">
                  <c:v>49.383940562011212</c:v>
                </c:pt>
                <c:pt idx="64">
                  <c:v>35.894148271408874</c:v>
                </c:pt>
                <c:pt idx="65">
                  <c:v>47.037633727397647</c:v>
                </c:pt>
                <c:pt idx="66">
                  <c:v>42.521773223099522</c:v>
                </c:pt>
                <c:pt idx="67">
                  <c:v>52.17121747504909</c:v>
                </c:pt>
                <c:pt idx="68">
                  <c:v>45.647504626217007</c:v>
                </c:pt>
                <c:pt idx="69">
                  <c:v>58.441583787091993</c:v>
                </c:pt>
                <c:pt idx="70">
                  <c:v>97.582352616331917</c:v>
                </c:pt>
                <c:pt idx="71">
                  <c:v>92.073217693833982</c:v>
                </c:pt>
                <c:pt idx="72">
                  <c:v>111.1945655985155</c:v>
                </c:pt>
                <c:pt idx="73">
                  <c:v>105.41315973788279</c:v>
                </c:pt>
                <c:pt idx="74">
                  <c:v>57.84566339627056</c:v>
                </c:pt>
                <c:pt idx="75">
                  <c:v>45.844395770687349</c:v>
                </c:pt>
                <c:pt idx="76">
                  <c:v>40.065667394009381</c:v>
                </c:pt>
                <c:pt idx="77">
                  <c:v>33.493381965196598</c:v>
                </c:pt>
                <c:pt idx="78">
                  <c:v>61.32224821093979</c:v>
                </c:pt>
                <c:pt idx="79">
                  <c:v>47.755824567457559</c:v>
                </c:pt>
                <c:pt idx="80">
                  <c:v>49.429094996057238</c:v>
                </c:pt>
                <c:pt idx="81">
                  <c:v>74.266634537895257</c:v>
                </c:pt>
                <c:pt idx="82">
                  <c:v>95.564531802521344</c:v>
                </c:pt>
                <c:pt idx="83">
                  <c:v>80.958034242780258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C2-BD4D-99F6-5C1816E93E3C}"/>
            </c:ext>
          </c:extLst>
        </c:ser>
        <c:ser>
          <c:idx val="1"/>
          <c:order val="1"/>
          <c:tx>
            <c:strRef>
              <c:f>'Capture Price Inputs'!$I$1</c:f>
              <c:strCache>
                <c:ptCount val="1"/>
                <c:pt idx="0">
                  <c:v>DK2 Capture Price (EUR/MWh)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'Capture Price Inputs'!$I$2:$I$85</c:f>
              <c:numCache>
                <c:formatCode>General</c:formatCode>
                <c:ptCount val="84"/>
                <c:pt idx="12">
                  <c:v>29.86213642213642</c:v>
                </c:pt>
                <c:pt idx="13">
                  <c:v>23.555517829721889</c:v>
                </c:pt>
                <c:pt idx="14">
                  <c:v>17.149050692261021</c:v>
                </c:pt>
                <c:pt idx="15">
                  <c:v>13.252523128367081</c:v>
                </c:pt>
                <c:pt idx="16">
                  <c:v>18.594049382716051</c:v>
                </c:pt>
                <c:pt idx="17">
                  <c:v>35.21078005032583</c:v>
                </c:pt>
                <c:pt idx="18">
                  <c:v>26.450778046867001</c:v>
                </c:pt>
                <c:pt idx="19">
                  <c:v>44.113765015404859</c:v>
                </c:pt>
                <c:pt idx="20">
                  <c:v>41.853047880870562</c:v>
                </c:pt>
                <c:pt idx="21">
                  <c:v>33.600878372903331</c:v>
                </c:pt>
                <c:pt idx="22">
                  <c:v>37.749765625000002</c:v>
                </c:pt>
                <c:pt idx="23">
                  <c:v>44.191428571428567</c:v>
                </c:pt>
                <c:pt idx="24">
                  <c:v>57.072134410081453</c:v>
                </c:pt>
                <c:pt idx="25">
                  <c:v>52.285083654524577</c:v>
                </c:pt>
                <c:pt idx="26">
                  <c:v>47.422643011897812</c:v>
                </c:pt>
                <c:pt idx="27">
                  <c:v>45.901363748248833</c:v>
                </c:pt>
                <c:pt idx="28">
                  <c:v>50.258720231460799</c:v>
                </c:pt>
                <c:pt idx="29">
                  <c:v>69.469341653776226</c:v>
                </c:pt>
                <c:pt idx="30">
                  <c:v>77.933111551394319</c:v>
                </c:pt>
                <c:pt idx="31">
                  <c:v>84.512747690257029</c:v>
                </c:pt>
                <c:pt idx="32">
                  <c:v>118.7457227855615</c:v>
                </c:pt>
                <c:pt idx="33">
                  <c:v>122.3841235967906</c:v>
                </c:pt>
                <c:pt idx="34">
                  <c:v>153.62679427815749</c:v>
                </c:pt>
                <c:pt idx="35">
                  <c:v>244.48727859764409</c:v>
                </c:pt>
                <c:pt idx="36">
                  <c:v>129.67749023150819</c:v>
                </c:pt>
                <c:pt idx="37">
                  <c:v>108.80333899256409</c:v>
                </c:pt>
                <c:pt idx="38">
                  <c:v>186.0504424586062</c:v>
                </c:pt>
                <c:pt idx="39">
                  <c:v>143.53758886421849</c:v>
                </c:pt>
                <c:pt idx="40">
                  <c:v>146.25360234460331</c:v>
                </c:pt>
                <c:pt idx="41">
                  <c:v>192.2325905808319</c:v>
                </c:pt>
                <c:pt idx="42">
                  <c:v>212.3625858003895</c:v>
                </c:pt>
                <c:pt idx="43">
                  <c:v>397.17988485976059</c:v>
                </c:pt>
                <c:pt idx="44">
                  <c:v>315.92884279677901</c:v>
                </c:pt>
                <c:pt idx="45">
                  <c:v>120.1190076327392</c:v>
                </c:pt>
                <c:pt idx="46">
                  <c:v>134.0399027878758</c:v>
                </c:pt>
                <c:pt idx="47">
                  <c:v>303.26978481668573</c:v>
                </c:pt>
                <c:pt idx="48">
                  <c:v>120.8992864784306</c:v>
                </c:pt>
                <c:pt idx="49">
                  <c:v>103.112625406295</c:v>
                </c:pt>
                <c:pt idx="50">
                  <c:v>89.098468921641697</c:v>
                </c:pt>
                <c:pt idx="51">
                  <c:v>71.125099705594195</c:v>
                </c:pt>
                <c:pt idx="52">
                  <c:v>48.358083796456327</c:v>
                </c:pt>
                <c:pt idx="53">
                  <c:v>71.862090372222397</c:v>
                </c:pt>
                <c:pt idx="54">
                  <c:v>50.345966617092351</c:v>
                </c:pt>
                <c:pt idx="55">
                  <c:v>72.957992347987414</c:v>
                </c:pt>
                <c:pt idx="56">
                  <c:v>64.394484672464898</c:v>
                </c:pt>
                <c:pt idx="57">
                  <c:v>47.660255094286853</c:v>
                </c:pt>
                <c:pt idx="58">
                  <c:v>84.639978605265995</c:v>
                </c:pt>
                <c:pt idx="59">
                  <c:v>59.061746333079718</c:v>
                </c:pt>
                <c:pt idx="60">
                  <c:v>76.427202535219209</c:v>
                </c:pt>
                <c:pt idx="61">
                  <c:v>51.434379196547752</c:v>
                </c:pt>
                <c:pt idx="62">
                  <c:v>50.751163813053438</c:v>
                </c:pt>
                <c:pt idx="63">
                  <c:v>47.053967904827999</c:v>
                </c:pt>
                <c:pt idx="64">
                  <c:v>34.295794113692892</c:v>
                </c:pt>
                <c:pt idx="65">
                  <c:v>46.379384034583367</c:v>
                </c:pt>
                <c:pt idx="66">
                  <c:v>38.812821969471173</c:v>
                </c:pt>
                <c:pt idx="67">
                  <c:v>47.151863118292532</c:v>
                </c:pt>
                <c:pt idx="68">
                  <c:v>43.355946350842189</c:v>
                </c:pt>
                <c:pt idx="69">
                  <c:v>59.534937630286556</c:v>
                </c:pt>
                <c:pt idx="70">
                  <c:v>89.611277477917284</c:v>
                </c:pt>
                <c:pt idx="71">
                  <c:v>100.7961313991171</c:v>
                </c:pt>
                <c:pt idx="72">
                  <c:v>115.0822593270056</c:v>
                </c:pt>
                <c:pt idx="73">
                  <c:v>106.92318207316821</c:v>
                </c:pt>
                <c:pt idx="74">
                  <c:v>50.018062961268747</c:v>
                </c:pt>
                <c:pt idx="75">
                  <c:v>41.82584156307518</c:v>
                </c:pt>
                <c:pt idx="76">
                  <c:v>34.320660344591218</c:v>
                </c:pt>
                <c:pt idx="77">
                  <c:v>24.31568572006325</c:v>
                </c:pt>
                <c:pt idx="78">
                  <c:v>59.766943882147693</c:v>
                </c:pt>
                <c:pt idx="79">
                  <c:v>43.064604783544858</c:v>
                </c:pt>
                <c:pt idx="80">
                  <c:v>52.949405153808357</c:v>
                </c:pt>
                <c:pt idx="81">
                  <c:v>78.645730322406678</c:v>
                </c:pt>
                <c:pt idx="82">
                  <c:v>92.690454871532665</c:v>
                </c:pt>
                <c:pt idx="83">
                  <c:v>79.631228022083661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C2-BD4D-99F6-5C1816E93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Capture Price Ratio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Inputs'!$J$1</c:f>
              <c:strCache>
                <c:ptCount val="1"/>
                <c:pt idx="0">
                  <c:v>DK1 CPR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Inputs'!$J$2:$J$85</c:f>
              <c:numCache>
                <c:formatCode>General</c:formatCode>
                <c:ptCount val="84"/>
                <c:pt idx="12">
                  <c:v>1.0091486594474419</c:v>
                </c:pt>
                <c:pt idx="13">
                  <c:v>1.2985911686950511</c:v>
                </c:pt>
                <c:pt idx="14">
                  <c:v>0.8710146939215303</c:v>
                </c:pt>
                <c:pt idx="15">
                  <c:v>0.71315772558819213</c:v>
                </c:pt>
                <c:pt idx="16">
                  <c:v>0.96415576931205649</c:v>
                </c:pt>
                <c:pt idx="17">
                  <c:v>1.0394664137310941</c:v>
                </c:pt>
                <c:pt idx="18">
                  <c:v>1.0086181556608309</c:v>
                </c:pt>
                <c:pt idx="19">
                  <c:v>0.98082264407500741</c:v>
                </c:pt>
                <c:pt idx="20">
                  <c:v>1.0104044869130051</c:v>
                </c:pt>
                <c:pt idx="21">
                  <c:v>1.236802226812374</c:v>
                </c:pt>
                <c:pt idx="22">
                  <c:v>1.094777917215692</c:v>
                </c:pt>
                <c:pt idx="23">
                  <c:v>1.0082301641826621</c:v>
                </c:pt>
                <c:pt idx="24">
                  <c:v>1.103930861568265</c:v>
                </c:pt>
                <c:pt idx="25">
                  <c:v>1.0059479277054251</c:v>
                </c:pt>
                <c:pt idx="26">
                  <c:v>0.9871758725122356</c:v>
                </c:pt>
                <c:pt idx="27">
                  <c:v>0.90884647456650169</c:v>
                </c:pt>
                <c:pt idx="28">
                  <c:v>0.87751805187154364</c:v>
                </c:pt>
                <c:pt idx="29">
                  <c:v>0.95691427953473174</c:v>
                </c:pt>
                <c:pt idx="30">
                  <c:v>0.98211323715969778</c:v>
                </c:pt>
                <c:pt idx="31">
                  <c:v>0.99027147802450566</c:v>
                </c:pt>
                <c:pt idx="32">
                  <c:v>0.92690440483613579</c:v>
                </c:pt>
                <c:pt idx="33">
                  <c:v>1.0810885074134391</c:v>
                </c:pt>
                <c:pt idx="34">
                  <c:v>1.1338034085044659</c:v>
                </c:pt>
                <c:pt idx="35">
                  <c:v>1.2086769624549281</c:v>
                </c:pt>
                <c:pt idx="36">
                  <c:v>1.0441257304277269</c:v>
                </c:pt>
                <c:pt idx="37">
                  <c:v>1.04022281700981</c:v>
                </c:pt>
                <c:pt idx="38">
                  <c:v>0.81207759044207406</c:v>
                </c:pt>
                <c:pt idx="39">
                  <c:v>0.89039133384678326</c:v>
                </c:pt>
                <c:pt idx="40">
                  <c:v>0.86943016050498578</c:v>
                </c:pt>
                <c:pt idx="41">
                  <c:v>0.90803902012341908</c:v>
                </c:pt>
                <c:pt idx="42">
                  <c:v>0.87041791592949547</c:v>
                </c:pt>
                <c:pt idx="43">
                  <c:v>0.91908553046700026</c:v>
                </c:pt>
                <c:pt idx="44">
                  <c:v>0.90632901805683119</c:v>
                </c:pt>
                <c:pt idx="45">
                  <c:v>0.91612325253961768</c:v>
                </c:pt>
                <c:pt idx="46">
                  <c:v>0.94278612074660006</c:v>
                </c:pt>
                <c:pt idx="47">
                  <c:v>1.132810339248927</c:v>
                </c:pt>
                <c:pt idx="48">
                  <c:v>1.2309198691226539</c:v>
                </c:pt>
                <c:pt idx="49">
                  <c:v>0.93008781340266</c:v>
                </c:pt>
                <c:pt idx="50">
                  <c:v>0.94612539759598957</c:v>
                </c:pt>
                <c:pt idx="51">
                  <c:v>0.79203966120386338</c:v>
                </c:pt>
                <c:pt idx="52">
                  <c:v>0.68333610561519953</c:v>
                </c:pt>
                <c:pt idx="53">
                  <c:v>0.80965062086215667</c:v>
                </c:pt>
                <c:pt idx="54">
                  <c:v>0.80380421953260928</c:v>
                </c:pt>
                <c:pt idx="55">
                  <c:v>0.86289309777204071</c:v>
                </c:pt>
                <c:pt idx="56">
                  <c:v>0.8038389922187259</c:v>
                </c:pt>
                <c:pt idx="57">
                  <c:v>0.84083605560542263</c:v>
                </c:pt>
                <c:pt idx="58">
                  <c:v>1.028656893611996</c:v>
                </c:pt>
                <c:pt idx="59">
                  <c:v>0.91325607762876626</c:v>
                </c:pt>
                <c:pt idx="60">
                  <c:v>1.051614630458469</c:v>
                </c:pt>
                <c:pt idx="61">
                  <c:v>1.0144208291794441</c:v>
                </c:pt>
                <c:pt idx="62">
                  <c:v>0.8373818542217274</c:v>
                </c:pt>
                <c:pt idx="63">
                  <c:v>0.83468460161643787</c:v>
                </c:pt>
                <c:pt idx="64">
                  <c:v>0.61339845366508694</c:v>
                </c:pt>
                <c:pt idx="65">
                  <c:v>0.73781003223868646</c:v>
                </c:pt>
                <c:pt idx="66">
                  <c:v>0.68549949487061801</c:v>
                </c:pt>
                <c:pt idx="67">
                  <c:v>0.71512676219349525</c:v>
                </c:pt>
                <c:pt idx="68">
                  <c:v>0.63652522303957304</c:v>
                </c:pt>
                <c:pt idx="69">
                  <c:v>0.76175188075929667</c:v>
                </c:pt>
                <c:pt idx="70">
                  <c:v>1.0174940038611719</c:v>
                </c:pt>
                <c:pt idx="71">
                  <c:v>1.0025674160411211</c:v>
                </c:pt>
                <c:pt idx="72">
                  <c:v>1.135032584901597</c:v>
                </c:pt>
                <c:pt idx="73">
                  <c:v>0.93411665141872979</c:v>
                </c:pt>
                <c:pt idx="74">
                  <c:v>0.68579081688022481</c:v>
                </c:pt>
                <c:pt idx="75">
                  <c:v>0.60995353561832499</c:v>
                </c:pt>
                <c:pt idx="76">
                  <c:v>0.62375117423189408</c:v>
                </c:pt>
                <c:pt idx="77">
                  <c:v>0.56976432128633303</c:v>
                </c:pt>
                <c:pt idx="78">
                  <c:v>0.74058967108380014</c:v>
                </c:pt>
                <c:pt idx="79">
                  <c:v>0.64997112344594554</c:v>
                </c:pt>
                <c:pt idx="80">
                  <c:v>0.68273474898658593</c:v>
                </c:pt>
                <c:pt idx="81">
                  <c:v>0.94701517193480578</c:v>
                </c:pt>
                <c:pt idx="82">
                  <c:v>1.0289764309560969</c:v>
                </c:pt>
                <c:pt idx="83">
                  <c:v>0.98205388617926037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319-3440-B189-A2F1DD61D712}"/>
            </c:ext>
          </c:extLst>
        </c:ser>
        <c:ser>
          <c:idx val="1"/>
          <c:order val="1"/>
          <c:tx>
            <c:strRef>
              <c:f>'Capture Price Inputs'!$K$1</c:f>
              <c:strCache>
                <c:ptCount val="1"/>
                <c:pt idx="0">
                  <c:v>DK2 CPR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'Capture Price Inputs'!$K$2:$K$85</c:f>
              <c:numCache>
                <c:formatCode>General</c:formatCode>
                <c:ptCount val="84"/>
                <c:pt idx="12">
                  <c:v>1.090446324793763</c:v>
                </c:pt>
                <c:pt idx="13">
                  <c:v>1.251821301318464</c:v>
                </c:pt>
                <c:pt idx="14">
                  <c:v>0.85520775851277109</c:v>
                </c:pt>
                <c:pt idx="15">
                  <c:v>0.76362023547871605</c:v>
                </c:pt>
                <c:pt idx="16">
                  <c:v>0.97636938233545278</c:v>
                </c:pt>
                <c:pt idx="17">
                  <c:v>1.180647007173951</c:v>
                </c:pt>
                <c:pt idx="18">
                  <c:v>1.021791049952987</c:v>
                </c:pt>
                <c:pt idx="19">
                  <c:v>1.077948442472481</c:v>
                </c:pt>
                <c:pt idx="20">
                  <c:v>1.0591890923358069</c:v>
                </c:pt>
                <c:pt idx="21">
                  <c:v>1.247549053102559</c:v>
                </c:pt>
                <c:pt idx="22">
                  <c:v>1.057080411727209</c:v>
                </c:pt>
                <c:pt idx="23">
                  <c:v>1.125691191699302</c:v>
                </c:pt>
                <c:pt idx="24">
                  <c:v>1.122164979814525</c:v>
                </c:pt>
                <c:pt idx="25">
                  <c:v>0.9585139857498034</c:v>
                </c:pt>
                <c:pt idx="26">
                  <c:v>1.0147741726503949</c:v>
                </c:pt>
                <c:pt idx="27">
                  <c:v>0.95901643664766134</c:v>
                </c:pt>
                <c:pt idx="28">
                  <c:v>0.91033887361171206</c:v>
                </c:pt>
                <c:pt idx="29">
                  <c:v>0.94404491874816343</c:v>
                </c:pt>
                <c:pt idx="30">
                  <c:v>0.95692856904650769</c:v>
                </c:pt>
                <c:pt idx="31">
                  <c:v>1.001768528067071</c:v>
                </c:pt>
                <c:pt idx="32">
                  <c:v>0.95838336990944806</c:v>
                </c:pt>
                <c:pt idx="33">
                  <c:v>1.1445012658471321</c:v>
                </c:pt>
                <c:pt idx="34">
                  <c:v>1.1264608571418011</c:v>
                </c:pt>
                <c:pt idx="35">
                  <c:v>1.279578427053047</c:v>
                </c:pt>
                <c:pt idx="36">
                  <c:v>1.1617546523412821</c:v>
                </c:pt>
                <c:pt idx="37">
                  <c:v>1.084871924613185</c:v>
                </c:pt>
                <c:pt idx="38">
                  <c:v>0.81629582758371144</c:v>
                </c:pt>
                <c:pt idx="39">
                  <c:v>0.93918048773921026</c:v>
                </c:pt>
                <c:pt idx="40">
                  <c:v>0.89914563143311954</c:v>
                </c:pt>
                <c:pt idx="41">
                  <c:v>0.90151367457475784</c:v>
                </c:pt>
                <c:pt idx="42">
                  <c:v>0.90956244496775596</c:v>
                </c:pt>
                <c:pt idx="43">
                  <c:v>0.8830756108422062</c:v>
                </c:pt>
                <c:pt idx="44">
                  <c:v>0.96085369829588263</c:v>
                </c:pt>
                <c:pt idx="45">
                  <c:v>0.87743541957368609</c:v>
                </c:pt>
                <c:pt idx="46">
                  <c:v>0.92404474391789948</c:v>
                </c:pt>
                <c:pt idx="47">
                  <c:v>1.2185280560697289</c:v>
                </c:pt>
                <c:pt idx="48">
                  <c:v>1.2118663236304299</c:v>
                </c:pt>
                <c:pt idx="49">
                  <c:v>1.0244781228159621</c:v>
                </c:pt>
                <c:pt idx="50">
                  <c:v>0.99223631219701203</c:v>
                </c:pt>
                <c:pt idx="51">
                  <c:v>0.85025873478203906</c:v>
                </c:pt>
                <c:pt idx="52">
                  <c:v>0.73101748270540212</c:v>
                </c:pt>
                <c:pt idx="53">
                  <c:v>0.78603819917365525</c:v>
                </c:pt>
                <c:pt idx="54">
                  <c:v>0.77170348712471282</c:v>
                </c:pt>
                <c:pt idx="55">
                  <c:v>0.84546104105698361</c:v>
                </c:pt>
                <c:pt idx="56">
                  <c:v>0.75329173308453345</c:v>
                </c:pt>
                <c:pt idx="57">
                  <c:v>0.83723449033464103</c:v>
                </c:pt>
                <c:pt idx="58">
                  <c:v>1.038705241708771</c:v>
                </c:pt>
                <c:pt idx="59">
                  <c:v>0.83326707575628478</c:v>
                </c:pt>
                <c:pt idx="60">
                  <c:v>0.97714487510792902</c:v>
                </c:pt>
                <c:pt idx="61">
                  <c:v>0.93991726033346112</c:v>
                </c:pt>
                <c:pt idx="62">
                  <c:v>0.8314293202728863</c:v>
                </c:pt>
                <c:pt idx="63">
                  <c:v>0.77805107456374178</c:v>
                </c:pt>
                <c:pt idx="64">
                  <c:v>0.59005563427075769</c:v>
                </c:pt>
                <c:pt idx="65">
                  <c:v>0.69439585691141426</c:v>
                </c:pt>
                <c:pt idx="66">
                  <c:v>0.61762838453946423</c:v>
                </c:pt>
                <c:pt idx="67">
                  <c:v>0.64934714792296455</c:v>
                </c:pt>
                <c:pt idx="68">
                  <c:v>0.61574801135475132</c:v>
                </c:pt>
                <c:pt idx="69">
                  <c:v>0.78000735067931948</c:v>
                </c:pt>
                <c:pt idx="70">
                  <c:v>0.94047799551015088</c:v>
                </c:pt>
                <c:pt idx="71">
                  <c:v>1.0870067185479459</c:v>
                </c:pt>
                <c:pt idx="72">
                  <c:v>1.1494003648079021</c:v>
                </c:pt>
                <c:pt idx="73">
                  <c:v>0.90662384271333907</c:v>
                </c:pt>
                <c:pt idx="74">
                  <c:v>0.60374116471580297</c:v>
                </c:pt>
                <c:pt idx="75">
                  <c:v>0.55174367988103734</c:v>
                </c:pt>
                <c:pt idx="76">
                  <c:v>0.54405946330729504</c:v>
                </c:pt>
                <c:pt idx="77">
                  <c:v>0.4307606652121766</c:v>
                </c:pt>
                <c:pt idx="78">
                  <c:v>0.74746341861966192</c:v>
                </c:pt>
                <c:pt idx="79">
                  <c:v>0.57178942343359873</c:v>
                </c:pt>
                <c:pt idx="80">
                  <c:v>0.63573160083367797</c:v>
                </c:pt>
                <c:pt idx="81">
                  <c:v>0.95480840081563045</c:v>
                </c:pt>
                <c:pt idx="82">
                  <c:v>0.98927251294969987</c:v>
                </c:pt>
                <c:pt idx="83">
                  <c:v>0.97014796253594149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319-3440-B189-A2F1DD61D7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CPR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Solar Penetration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Inputs'!$F$1</c:f>
              <c:strCache>
                <c:ptCount val="1"/>
                <c:pt idx="0">
                  <c:v>DK1 Solar Penetration (%) — Primary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'Capture Price Inputs'!$F$2:$F$85</c:f>
              <c:numCache>
                <c:formatCode>General</c:formatCode>
                <c:ptCount val="84"/>
                <c:pt idx="12">
                  <c:v>2.2644478926294831E-3</c:v>
                </c:pt>
                <c:pt idx="13">
                  <c:v>5.2474520244822449E-3</c:v>
                </c:pt>
                <c:pt idx="14">
                  <c:v>2.020167759412729E-2</c:v>
                </c:pt>
                <c:pt idx="15">
                  <c:v>3.2427989612304697E-2</c:v>
                </c:pt>
                <c:pt idx="16">
                  <c:v>3.6080087237903569E-2</c:v>
                </c:pt>
                <c:pt idx="17">
                  <c:v>3.7413618831640891E-2</c:v>
                </c:pt>
                <c:pt idx="18">
                  <c:v>3.3998433859503921E-2</c:v>
                </c:pt>
                <c:pt idx="19">
                  <c:v>3.4224763142537661E-2</c:v>
                </c:pt>
                <c:pt idx="20">
                  <c:v>2.4330151939157239E-2</c:v>
                </c:pt>
                <c:pt idx="21">
                  <c:v>1.1490387549446779E-2</c:v>
                </c:pt>
                <c:pt idx="22">
                  <c:v>1.521101274151999E-4</c:v>
                </c:pt>
                <c:pt idx="23">
                  <c:v>1.472410662127807E-5</c:v>
                </c:pt>
                <c:pt idx="24">
                  <c:v>3.6313559990350909E-3</c:v>
                </c:pt>
                <c:pt idx="25">
                  <c:v>1.0868941718057299E-2</c:v>
                </c:pt>
                <c:pt idx="26">
                  <c:v>2.2382303907371628E-2</c:v>
                </c:pt>
                <c:pt idx="27">
                  <c:v>4.212837115783985E-2</c:v>
                </c:pt>
                <c:pt idx="28">
                  <c:v>3.3075052211960353E-2</c:v>
                </c:pt>
                <c:pt idx="29">
                  <c:v>4.9841661821819518E-2</c:v>
                </c:pt>
                <c:pt idx="30">
                  <c:v>4.85715434854639E-2</c:v>
                </c:pt>
                <c:pt idx="31">
                  <c:v>3.8876947944708702E-2</c:v>
                </c:pt>
                <c:pt idx="32">
                  <c:v>2.5932850179436289E-2</c:v>
                </c:pt>
                <c:pt idx="33">
                  <c:v>1.7460096431489061E-2</c:v>
                </c:pt>
                <c:pt idx="34">
                  <c:v>7.0293060058135041E-3</c:v>
                </c:pt>
                <c:pt idx="35">
                  <c:v>3.243365391886713E-3</c:v>
                </c:pt>
                <c:pt idx="36">
                  <c:v>6.6753155472480874E-3</c:v>
                </c:pt>
                <c:pt idx="37">
                  <c:v>1.7399571233002901E-2</c:v>
                </c:pt>
                <c:pt idx="38">
                  <c:v>6.1955070586442867E-2</c:v>
                </c:pt>
                <c:pt idx="39">
                  <c:v>8.404056603836467E-2</c:v>
                </c:pt>
                <c:pt idx="40">
                  <c:v>9.6876891420316108E-2</c:v>
                </c:pt>
                <c:pt idx="41">
                  <c:v>9.4962020744311482E-2</c:v>
                </c:pt>
                <c:pt idx="42">
                  <c:v>9.963556652585577E-2</c:v>
                </c:pt>
                <c:pt idx="43">
                  <c:v>8.9626978325266782E-2</c:v>
                </c:pt>
                <c:pt idx="44">
                  <c:v>6.6046498591704736E-2</c:v>
                </c:pt>
                <c:pt idx="45">
                  <c:v>3.7469414477654707E-2</c:v>
                </c:pt>
                <c:pt idx="46">
                  <c:v>1.046932675470221E-2</c:v>
                </c:pt>
                <c:pt idx="47">
                  <c:v>6.2291646451968653E-3</c:v>
                </c:pt>
                <c:pt idx="48">
                  <c:v>1.2460694276862919E-2</c:v>
                </c:pt>
                <c:pt idx="49">
                  <c:v>3.4376404191763639E-2</c:v>
                </c:pt>
                <c:pt idx="50">
                  <c:v>5.6477968577058592E-2</c:v>
                </c:pt>
                <c:pt idx="51">
                  <c:v>0.1509467292684683</c:v>
                </c:pt>
                <c:pt idx="52">
                  <c:v>0.18600333743842001</c:v>
                </c:pt>
                <c:pt idx="53">
                  <c:v>0.21892573712946101</c:v>
                </c:pt>
                <c:pt idx="54">
                  <c:v>0.18929524056345021</c:v>
                </c:pt>
                <c:pt idx="55">
                  <c:v>0.1493297980639493</c:v>
                </c:pt>
                <c:pt idx="56">
                  <c:v>0.13191654386548721</c:v>
                </c:pt>
                <c:pt idx="57">
                  <c:v>4.2864886456730103E-2</c:v>
                </c:pt>
                <c:pt idx="58">
                  <c:v>1.6003493537152379E-2</c:v>
                </c:pt>
                <c:pt idx="59">
                  <c:v>6.3905046726965339E-3</c:v>
                </c:pt>
                <c:pt idx="60">
                  <c:v>1.3417186050607519E-2</c:v>
                </c:pt>
                <c:pt idx="61">
                  <c:v>2.6436223837926501E-2</c:v>
                </c:pt>
                <c:pt idx="62">
                  <c:v>6.6233973400350477E-2</c:v>
                </c:pt>
                <c:pt idx="63">
                  <c:v>0.1084169878649764</c:v>
                </c:pt>
                <c:pt idx="64">
                  <c:v>0.18887031649880051</c:v>
                </c:pt>
                <c:pt idx="65">
                  <c:v>0.1715230569234828</c:v>
                </c:pt>
                <c:pt idx="66">
                  <c:v>0.1809062055635286</c:v>
                </c:pt>
                <c:pt idx="67">
                  <c:v>0.15512153111725799</c:v>
                </c:pt>
                <c:pt idx="68">
                  <c:v>0.1275567235314205</c:v>
                </c:pt>
                <c:pt idx="69">
                  <c:v>6.2873767847415107E-2</c:v>
                </c:pt>
                <c:pt idx="70">
                  <c:v>1.780902737610289E-2</c:v>
                </c:pt>
                <c:pt idx="71">
                  <c:v>6.7857975683456679E-3</c:v>
                </c:pt>
                <c:pt idx="72">
                  <c:v>1.366055484422285E-2</c:v>
                </c:pt>
                <c:pt idx="73">
                  <c:v>4.3419934817177687E-2</c:v>
                </c:pt>
                <c:pt idx="74">
                  <c:v>0.1120694547038418</c:v>
                </c:pt>
                <c:pt idx="75">
                  <c:v>0.14827548756052711</c:v>
                </c:pt>
                <c:pt idx="76">
                  <c:v>0.19244468175967161</c:v>
                </c:pt>
                <c:pt idx="77">
                  <c:v>0.18784829238523279</c:v>
                </c:pt>
                <c:pt idx="78">
                  <c:v>0.21828188848241209</c:v>
                </c:pt>
                <c:pt idx="79">
                  <c:v>0.19011684012808119</c:v>
                </c:pt>
                <c:pt idx="80">
                  <c:v>0.13816152724517919</c:v>
                </c:pt>
                <c:pt idx="81">
                  <c:v>6.9462071202051626E-2</c:v>
                </c:pt>
                <c:pt idx="82">
                  <c:v>2.6604970402147529E-2</c:v>
                </c:pt>
                <c:pt idx="83">
                  <c:v>1.40253486520015E-2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346-4C49-BD89-756D738D4BC7}"/>
            </c:ext>
          </c:extLst>
        </c:ser>
        <c:ser>
          <c:idx val="1"/>
          <c:order val="1"/>
          <c:tx>
            <c:strRef>
              <c:f>'Capture Price Inputs'!$G$1</c:f>
              <c:strCache>
                <c:ptCount val="1"/>
                <c:pt idx="0">
                  <c:v>DK2 Solar Penetration (%) — Robustness</c:v>
                </c:pt>
              </c:strCache>
            </c:strRef>
          </c:tx>
          <c:spPr>
            <a:ln>
              <a:solidFill>
                <a:srgbClr val="FFD700"/>
              </a:solidFill>
              <a:prstDash val="solid"/>
            </a:ln>
          </c:spPr>
          <c:marker>
            <c:symbol val="none"/>
          </c:marker>
          <c:val>
            <c:numRef>
              <c:f>'Capture Price Inputs'!$G$2:$G$85</c:f>
              <c:numCache>
                <c:formatCode>General</c:formatCode>
                <c:ptCount val="84"/>
                <c:pt idx="12">
                  <c:v>1.864323044087839E-3</c:v>
                </c:pt>
                <c:pt idx="13">
                  <c:v>4.9613393448072352E-3</c:v>
                </c:pt>
                <c:pt idx="14">
                  <c:v>1.532033335337761E-2</c:v>
                </c:pt>
                <c:pt idx="15">
                  <c:v>2.6180595134545931E-2</c:v>
                </c:pt>
                <c:pt idx="16">
                  <c:v>3.2240930774166239E-2</c:v>
                </c:pt>
                <c:pt idx="17">
                  <c:v>3.0651812088155841E-2</c:v>
                </c:pt>
                <c:pt idx="18">
                  <c:v>2.998206800974695E-2</c:v>
                </c:pt>
                <c:pt idx="19">
                  <c:v>2.8034713414307081E-2</c:v>
                </c:pt>
                <c:pt idx="20">
                  <c:v>2.1736479101595249E-2</c:v>
                </c:pt>
                <c:pt idx="21">
                  <c:v>1.107911770574695E-2</c:v>
                </c:pt>
                <c:pt idx="22">
                  <c:v>1.1044611578332841E-4</c:v>
                </c:pt>
                <c:pt idx="23">
                  <c:v>5.6352433584062588E-6</c:v>
                </c:pt>
                <c:pt idx="24">
                  <c:v>3.104474131982996E-3</c:v>
                </c:pt>
                <c:pt idx="25">
                  <c:v>9.2483369487723587E-3</c:v>
                </c:pt>
                <c:pt idx="26">
                  <c:v>1.8474517045212829E-2</c:v>
                </c:pt>
                <c:pt idx="27">
                  <c:v>3.2694407483312787E-2</c:v>
                </c:pt>
                <c:pt idx="28">
                  <c:v>3.2945829294540187E-2</c:v>
                </c:pt>
                <c:pt idx="29">
                  <c:v>4.4480133140056069E-2</c:v>
                </c:pt>
                <c:pt idx="30">
                  <c:v>3.7049542537302173E-2</c:v>
                </c:pt>
                <c:pt idx="31">
                  <c:v>3.1857768834261987E-2</c:v>
                </c:pt>
                <c:pt idx="32">
                  <c:v>2.23981137027396E-2</c:v>
                </c:pt>
                <c:pt idx="33">
                  <c:v>1.267326343754744E-2</c:v>
                </c:pt>
                <c:pt idx="34">
                  <c:v>4.0132810857910267E-3</c:v>
                </c:pt>
                <c:pt idx="35">
                  <c:v>1.8226295838260991E-3</c:v>
                </c:pt>
                <c:pt idx="36">
                  <c:v>4.939556742877535E-3</c:v>
                </c:pt>
                <c:pt idx="37">
                  <c:v>1.3248485586698279E-2</c:v>
                </c:pt>
                <c:pt idx="38">
                  <c:v>3.4089330349121053E-2</c:v>
                </c:pt>
                <c:pt idx="39">
                  <c:v>5.5254436099578648E-2</c:v>
                </c:pt>
                <c:pt idx="40">
                  <c:v>6.5811459960859395E-2</c:v>
                </c:pt>
                <c:pt idx="41">
                  <c:v>6.4528229045867816E-2</c:v>
                </c:pt>
                <c:pt idx="42">
                  <c:v>6.7025803801952916E-2</c:v>
                </c:pt>
                <c:pt idx="43">
                  <c:v>6.1299924397195817E-2</c:v>
                </c:pt>
                <c:pt idx="44">
                  <c:v>4.5784276103507021E-2</c:v>
                </c:pt>
                <c:pt idx="45">
                  <c:v>2.9809058027035401E-2</c:v>
                </c:pt>
                <c:pt idx="46">
                  <c:v>7.8652952619005494E-3</c:v>
                </c:pt>
                <c:pt idx="47">
                  <c:v>4.5323555529735481E-3</c:v>
                </c:pt>
                <c:pt idx="48">
                  <c:v>5.8626527231366082E-3</c:v>
                </c:pt>
                <c:pt idx="49">
                  <c:v>1.8877648418373551E-2</c:v>
                </c:pt>
                <c:pt idx="50">
                  <c:v>3.7096229392005707E-2</c:v>
                </c:pt>
                <c:pt idx="51">
                  <c:v>8.0269966033824955E-2</c:v>
                </c:pt>
                <c:pt idx="52">
                  <c:v>0.1080032082802261</c:v>
                </c:pt>
                <c:pt idx="53">
                  <c:v>0.1144244665352921</c:v>
                </c:pt>
                <c:pt idx="54">
                  <c:v>0.10203074507159759</c:v>
                </c:pt>
                <c:pt idx="55">
                  <c:v>7.7931010532967707E-2</c:v>
                </c:pt>
                <c:pt idx="56">
                  <c:v>8.0909954639318743E-2</c:v>
                </c:pt>
                <c:pt idx="57">
                  <c:v>2.9172340215594381E-2</c:v>
                </c:pt>
                <c:pt idx="58">
                  <c:v>1.04098691216888E-2</c:v>
                </c:pt>
                <c:pt idx="59">
                  <c:v>3.809030164374855E-3</c:v>
                </c:pt>
                <c:pt idx="60">
                  <c:v>6.1781830729755079E-3</c:v>
                </c:pt>
                <c:pt idx="61">
                  <c:v>1.667231366864759E-2</c:v>
                </c:pt>
                <c:pt idx="62">
                  <c:v>4.1112806367337662E-2</c:v>
                </c:pt>
                <c:pt idx="63">
                  <c:v>6.5123378744806448E-2</c:v>
                </c:pt>
                <c:pt idx="64">
                  <c:v>0.106315341440858</c:v>
                </c:pt>
                <c:pt idx="65">
                  <c:v>0.1072729076610999</c:v>
                </c:pt>
                <c:pt idx="66">
                  <c:v>0.1057942634887733</c:v>
                </c:pt>
                <c:pt idx="67">
                  <c:v>9.3690832268705199E-2</c:v>
                </c:pt>
                <c:pt idx="68">
                  <c:v>7.2463202820400169E-2</c:v>
                </c:pt>
                <c:pt idx="69">
                  <c:v>3.6145253892379881E-2</c:v>
                </c:pt>
                <c:pt idx="70">
                  <c:v>8.6028414054236078E-3</c:v>
                </c:pt>
                <c:pt idx="71">
                  <c:v>4.1714684657767577E-3</c:v>
                </c:pt>
                <c:pt idx="72">
                  <c:v>7.223240212576967E-3</c:v>
                </c:pt>
                <c:pt idx="73">
                  <c:v>2.010831138567791E-2</c:v>
                </c:pt>
                <c:pt idx="74">
                  <c:v>4.6547866447452589E-2</c:v>
                </c:pt>
                <c:pt idx="75">
                  <c:v>7.1689783649061992E-2</c:v>
                </c:pt>
                <c:pt idx="76">
                  <c:v>9.4714127256233946E-2</c:v>
                </c:pt>
                <c:pt idx="77">
                  <c:v>9.9826250015510765E-2</c:v>
                </c:pt>
                <c:pt idx="78">
                  <c:v>9.3996419418699143E-2</c:v>
                </c:pt>
                <c:pt idx="79">
                  <c:v>0.1057378118957395</c:v>
                </c:pt>
                <c:pt idx="80">
                  <c:v>9.0628879686523764E-2</c:v>
                </c:pt>
                <c:pt idx="81">
                  <c:v>3.9573125678626628E-2</c:v>
                </c:pt>
                <c:pt idx="82">
                  <c:v>1.454364344794783E-2</c:v>
                </c:pt>
                <c:pt idx="83">
                  <c:v>9.0694911608833299E-3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346-4C49-BD89-756D738D4B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Solar Penetration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Capture Price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Inputs'!$H$1</c:f>
              <c:strCache>
                <c:ptCount val="1"/>
                <c:pt idx="0">
                  <c:v>DK1 Capture Price (EUR/MWh)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Inputs'!$H$2:$H$85</c:f>
              <c:numCache>
                <c:formatCode>General</c:formatCode>
                <c:ptCount val="84"/>
                <c:pt idx="12">
                  <c:v>25.22320957280251</c:v>
                </c:pt>
                <c:pt idx="13">
                  <c:v>22.83581899109792</c:v>
                </c:pt>
                <c:pt idx="14">
                  <c:v>15.94107348554973</c:v>
                </c:pt>
                <c:pt idx="15">
                  <c:v>10.36487590420421</c:v>
                </c:pt>
                <c:pt idx="16">
                  <c:v>15.478548945086001</c:v>
                </c:pt>
                <c:pt idx="17">
                  <c:v>27.313308227868689</c:v>
                </c:pt>
                <c:pt idx="18">
                  <c:v>24.831745178109159</c:v>
                </c:pt>
                <c:pt idx="19">
                  <c:v>33.876915422047851</c:v>
                </c:pt>
                <c:pt idx="20">
                  <c:v>38.935979003379593</c:v>
                </c:pt>
                <c:pt idx="21">
                  <c:v>31.927741533059191</c:v>
                </c:pt>
                <c:pt idx="22">
                  <c:v>26.005993265993261</c:v>
                </c:pt>
                <c:pt idx="23">
                  <c:v>34.795161290322582</c:v>
                </c:pt>
                <c:pt idx="24">
                  <c:v>55.422967607277918</c:v>
                </c:pt>
                <c:pt idx="25">
                  <c:v>47.542610979142587</c:v>
                </c:pt>
                <c:pt idx="26">
                  <c:v>44.550700915805493</c:v>
                </c:pt>
                <c:pt idx="27">
                  <c:v>43.594739828473003</c:v>
                </c:pt>
                <c:pt idx="28">
                  <c:v>47.655870575001217</c:v>
                </c:pt>
                <c:pt idx="29">
                  <c:v>70.543547911111062</c:v>
                </c:pt>
                <c:pt idx="30">
                  <c:v>78.568319747758608</c:v>
                </c:pt>
                <c:pt idx="31">
                  <c:v>81.983351136401794</c:v>
                </c:pt>
                <c:pt idx="32">
                  <c:v>116.20022495544841</c:v>
                </c:pt>
                <c:pt idx="33">
                  <c:v>126.53039520323949</c:v>
                </c:pt>
                <c:pt idx="34">
                  <c:v>160.77058330102949</c:v>
                </c:pt>
                <c:pt idx="35">
                  <c:v>228.8621705579358</c:v>
                </c:pt>
                <c:pt idx="36">
                  <c:v>123.20125067917191</c:v>
                </c:pt>
                <c:pt idx="37">
                  <c:v>117.67077903546</c:v>
                </c:pt>
                <c:pt idx="38">
                  <c:v>191.50807173506701</c:v>
                </c:pt>
                <c:pt idx="39">
                  <c:v>145.70138715926041</c:v>
                </c:pt>
                <c:pt idx="40">
                  <c:v>149.4185612445558</c:v>
                </c:pt>
                <c:pt idx="41">
                  <c:v>194.71103409481981</c:v>
                </c:pt>
                <c:pt idx="42">
                  <c:v>239.3981525107354</c:v>
                </c:pt>
                <c:pt idx="43">
                  <c:v>419.79263722660602</c:v>
                </c:pt>
                <c:pt idx="44">
                  <c:v>310.70739927266709</c:v>
                </c:pt>
                <c:pt idx="45">
                  <c:v>125.6295598680838</c:v>
                </c:pt>
                <c:pt idx="46">
                  <c:v>131.7111886265582</c:v>
                </c:pt>
                <c:pt idx="47">
                  <c:v>282.82379374207261</c:v>
                </c:pt>
                <c:pt idx="48">
                  <c:v>138.52998868426329</c:v>
                </c:pt>
                <c:pt idx="49">
                  <c:v>109.87697572135031</c:v>
                </c:pt>
                <c:pt idx="50">
                  <c:v>93.774190940695377</c:v>
                </c:pt>
                <c:pt idx="51">
                  <c:v>76.25042822265543</c:v>
                </c:pt>
                <c:pt idx="52">
                  <c:v>50.543487760082613</c:v>
                </c:pt>
                <c:pt idx="53">
                  <c:v>74.888982776218057</c:v>
                </c:pt>
                <c:pt idx="54">
                  <c:v>52.095599438463452</c:v>
                </c:pt>
                <c:pt idx="55">
                  <c:v>74.180426039978187</c:v>
                </c:pt>
                <c:pt idx="56">
                  <c:v>68.116869623396937</c:v>
                </c:pt>
                <c:pt idx="57">
                  <c:v>50.539090519702853</c:v>
                </c:pt>
                <c:pt idx="58">
                  <c:v>90.680805562425178</c:v>
                </c:pt>
                <c:pt idx="59">
                  <c:v>63.455327688788032</c:v>
                </c:pt>
                <c:pt idx="60">
                  <c:v>78.571316441678306</c:v>
                </c:pt>
                <c:pt idx="61">
                  <c:v>59.479486768055089</c:v>
                </c:pt>
                <c:pt idx="62">
                  <c:v>51.269783241554933</c:v>
                </c:pt>
                <c:pt idx="63">
                  <c:v>49.383940562011212</c:v>
                </c:pt>
                <c:pt idx="64">
                  <c:v>35.894148271408874</c:v>
                </c:pt>
                <c:pt idx="65">
                  <c:v>47.037633727397647</c:v>
                </c:pt>
                <c:pt idx="66">
                  <c:v>42.521773223099522</c:v>
                </c:pt>
                <c:pt idx="67">
                  <c:v>52.17121747504909</c:v>
                </c:pt>
                <c:pt idx="68">
                  <c:v>45.647504626217007</c:v>
                </c:pt>
                <c:pt idx="69">
                  <c:v>58.441583787091993</c:v>
                </c:pt>
                <c:pt idx="70">
                  <c:v>97.582352616331917</c:v>
                </c:pt>
                <c:pt idx="71">
                  <c:v>92.073217693833982</c:v>
                </c:pt>
                <c:pt idx="72">
                  <c:v>111.1945655985155</c:v>
                </c:pt>
                <c:pt idx="73">
                  <c:v>105.41315973788279</c:v>
                </c:pt>
                <c:pt idx="74">
                  <c:v>57.84566339627056</c:v>
                </c:pt>
                <c:pt idx="75">
                  <c:v>45.844395770687349</c:v>
                </c:pt>
                <c:pt idx="76">
                  <c:v>40.065667394009381</c:v>
                </c:pt>
                <c:pt idx="77">
                  <c:v>33.493381965196598</c:v>
                </c:pt>
                <c:pt idx="78">
                  <c:v>61.32224821093979</c:v>
                </c:pt>
                <c:pt idx="79">
                  <c:v>47.755824567457559</c:v>
                </c:pt>
                <c:pt idx="80">
                  <c:v>49.429094996057238</c:v>
                </c:pt>
                <c:pt idx="81">
                  <c:v>74.266634537895257</c:v>
                </c:pt>
                <c:pt idx="82">
                  <c:v>95.564531802521344</c:v>
                </c:pt>
                <c:pt idx="83">
                  <c:v>80.958034242780258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BC-B146-9BCF-6B48DA1C85A5}"/>
            </c:ext>
          </c:extLst>
        </c:ser>
        <c:ser>
          <c:idx val="1"/>
          <c:order val="1"/>
          <c:tx>
            <c:strRef>
              <c:f>'Capture Price Inputs'!$I$1</c:f>
              <c:strCache>
                <c:ptCount val="1"/>
                <c:pt idx="0">
                  <c:v>DK2 Capture Price (EUR/MWh)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'Capture Price Inputs'!$I$2:$I$85</c:f>
              <c:numCache>
                <c:formatCode>General</c:formatCode>
                <c:ptCount val="84"/>
                <c:pt idx="12">
                  <c:v>29.86213642213642</c:v>
                </c:pt>
                <c:pt idx="13">
                  <c:v>23.555517829721889</c:v>
                </c:pt>
                <c:pt idx="14">
                  <c:v>17.149050692261021</c:v>
                </c:pt>
                <c:pt idx="15">
                  <c:v>13.252523128367081</c:v>
                </c:pt>
                <c:pt idx="16">
                  <c:v>18.594049382716051</c:v>
                </c:pt>
                <c:pt idx="17">
                  <c:v>35.21078005032583</c:v>
                </c:pt>
                <c:pt idx="18">
                  <c:v>26.450778046867001</c:v>
                </c:pt>
                <c:pt idx="19">
                  <c:v>44.113765015404859</c:v>
                </c:pt>
                <c:pt idx="20">
                  <c:v>41.853047880870562</c:v>
                </c:pt>
                <c:pt idx="21">
                  <c:v>33.600878372903331</c:v>
                </c:pt>
                <c:pt idx="22">
                  <c:v>37.749765625000002</c:v>
                </c:pt>
                <c:pt idx="23">
                  <c:v>44.191428571428567</c:v>
                </c:pt>
                <c:pt idx="24">
                  <c:v>57.072134410081453</c:v>
                </c:pt>
                <c:pt idx="25">
                  <c:v>52.285083654524577</c:v>
                </c:pt>
                <c:pt idx="26">
                  <c:v>47.422643011897812</c:v>
                </c:pt>
                <c:pt idx="27">
                  <c:v>45.901363748248833</c:v>
                </c:pt>
                <c:pt idx="28">
                  <c:v>50.258720231460799</c:v>
                </c:pt>
                <c:pt idx="29">
                  <c:v>69.469341653776226</c:v>
                </c:pt>
                <c:pt idx="30">
                  <c:v>77.933111551394319</c:v>
                </c:pt>
                <c:pt idx="31">
                  <c:v>84.512747690257029</c:v>
                </c:pt>
                <c:pt idx="32">
                  <c:v>118.7457227855615</c:v>
                </c:pt>
                <c:pt idx="33">
                  <c:v>122.3841235967906</c:v>
                </c:pt>
                <c:pt idx="34">
                  <c:v>153.62679427815749</c:v>
                </c:pt>
                <c:pt idx="35">
                  <c:v>244.48727859764409</c:v>
                </c:pt>
                <c:pt idx="36">
                  <c:v>129.67749023150819</c:v>
                </c:pt>
                <c:pt idx="37">
                  <c:v>108.80333899256409</c:v>
                </c:pt>
                <c:pt idx="38">
                  <c:v>186.0504424586062</c:v>
                </c:pt>
                <c:pt idx="39">
                  <c:v>143.53758886421849</c:v>
                </c:pt>
                <c:pt idx="40">
                  <c:v>146.25360234460331</c:v>
                </c:pt>
                <c:pt idx="41">
                  <c:v>192.2325905808319</c:v>
                </c:pt>
                <c:pt idx="42">
                  <c:v>212.3625858003895</c:v>
                </c:pt>
                <c:pt idx="43">
                  <c:v>397.17988485976059</c:v>
                </c:pt>
                <c:pt idx="44">
                  <c:v>315.92884279677901</c:v>
                </c:pt>
                <c:pt idx="45">
                  <c:v>120.1190076327392</c:v>
                </c:pt>
                <c:pt idx="46">
                  <c:v>134.0399027878758</c:v>
                </c:pt>
                <c:pt idx="47">
                  <c:v>303.26978481668573</c:v>
                </c:pt>
                <c:pt idx="48">
                  <c:v>120.8992864784306</c:v>
                </c:pt>
                <c:pt idx="49">
                  <c:v>103.112625406295</c:v>
                </c:pt>
                <c:pt idx="50">
                  <c:v>89.098468921641697</c:v>
                </c:pt>
                <c:pt idx="51">
                  <c:v>71.125099705594195</c:v>
                </c:pt>
                <c:pt idx="52">
                  <c:v>48.358083796456327</c:v>
                </c:pt>
                <c:pt idx="53">
                  <c:v>71.862090372222397</c:v>
                </c:pt>
                <c:pt idx="54">
                  <c:v>50.345966617092351</c:v>
                </c:pt>
                <c:pt idx="55">
                  <c:v>72.957992347987414</c:v>
                </c:pt>
                <c:pt idx="56">
                  <c:v>64.394484672464898</c:v>
                </c:pt>
                <c:pt idx="57">
                  <c:v>47.660255094286853</c:v>
                </c:pt>
                <c:pt idx="58">
                  <c:v>84.639978605265995</c:v>
                </c:pt>
                <c:pt idx="59">
                  <c:v>59.061746333079718</c:v>
                </c:pt>
                <c:pt idx="60">
                  <c:v>76.427202535219209</c:v>
                </c:pt>
                <c:pt idx="61">
                  <c:v>51.434379196547752</c:v>
                </c:pt>
                <c:pt idx="62">
                  <c:v>50.751163813053438</c:v>
                </c:pt>
                <c:pt idx="63">
                  <c:v>47.053967904827999</c:v>
                </c:pt>
                <c:pt idx="64">
                  <c:v>34.295794113692892</c:v>
                </c:pt>
                <c:pt idx="65">
                  <c:v>46.379384034583367</c:v>
                </c:pt>
                <c:pt idx="66">
                  <c:v>38.812821969471173</c:v>
                </c:pt>
                <c:pt idx="67">
                  <c:v>47.151863118292532</c:v>
                </c:pt>
                <c:pt idx="68">
                  <c:v>43.355946350842189</c:v>
                </c:pt>
                <c:pt idx="69">
                  <c:v>59.534937630286556</c:v>
                </c:pt>
                <c:pt idx="70">
                  <c:v>89.611277477917284</c:v>
                </c:pt>
                <c:pt idx="71">
                  <c:v>100.7961313991171</c:v>
                </c:pt>
                <c:pt idx="72">
                  <c:v>115.0822593270056</c:v>
                </c:pt>
                <c:pt idx="73">
                  <c:v>106.92318207316821</c:v>
                </c:pt>
                <c:pt idx="74">
                  <c:v>50.018062961268747</c:v>
                </c:pt>
                <c:pt idx="75">
                  <c:v>41.82584156307518</c:v>
                </c:pt>
                <c:pt idx="76">
                  <c:v>34.320660344591218</c:v>
                </c:pt>
                <c:pt idx="77">
                  <c:v>24.31568572006325</c:v>
                </c:pt>
                <c:pt idx="78">
                  <c:v>59.766943882147693</c:v>
                </c:pt>
                <c:pt idx="79">
                  <c:v>43.064604783544858</c:v>
                </c:pt>
                <c:pt idx="80">
                  <c:v>52.949405153808357</c:v>
                </c:pt>
                <c:pt idx="81">
                  <c:v>78.645730322406678</c:v>
                </c:pt>
                <c:pt idx="82">
                  <c:v>92.690454871532665</c:v>
                </c:pt>
                <c:pt idx="83">
                  <c:v>79.631228022083661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BC-B146-9BCF-6B48DA1C85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Capture Price Ratio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Inputs'!$J$1</c:f>
              <c:strCache>
                <c:ptCount val="1"/>
                <c:pt idx="0">
                  <c:v>DK1 CPR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Inputs'!$J$2:$J$85</c:f>
              <c:numCache>
                <c:formatCode>General</c:formatCode>
                <c:ptCount val="84"/>
                <c:pt idx="12">
                  <c:v>1.0091486594474419</c:v>
                </c:pt>
                <c:pt idx="13">
                  <c:v>1.2985911686950511</c:v>
                </c:pt>
                <c:pt idx="14">
                  <c:v>0.8710146939215303</c:v>
                </c:pt>
                <c:pt idx="15">
                  <c:v>0.71315772558819213</c:v>
                </c:pt>
                <c:pt idx="16">
                  <c:v>0.96415576931205649</c:v>
                </c:pt>
                <c:pt idx="17">
                  <c:v>1.0394664137310941</c:v>
                </c:pt>
                <c:pt idx="18">
                  <c:v>1.0086181556608309</c:v>
                </c:pt>
                <c:pt idx="19">
                  <c:v>0.98082264407500741</c:v>
                </c:pt>
                <c:pt idx="20">
                  <c:v>1.0104044869130051</c:v>
                </c:pt>
                <c:pt idx="21">
                  <c:v>1.236802226812374</c:v>
                </c:pt>
                <c:pt idx="22">
                  <c:v>1.094777917215692</c:v>
                </c:pt>
                <c:pt idx="23">
                  <c:v>1.0082301641826621</c:v>
                </c:pt>
                <c:pt idx="24">
                  <c:v>1.103930861568265</c:v>
                </c:pt>
                <c:pt idx="25">
                  <c:v>1.0059479277054251</c:v>
                </c:pt>
                <c:pt idx="26">
                  <c:v>0.9871758725122356</c:v>
                </c:pt>
                <c:pt idx="27">
                  <c:v>0.90884647456650169</c:v>
                </c:pt>
                <c:pt idx="28">
                  <c:v>0.87751805187154364</c:v>
                </c:pt>
                <c:pt idx="29">
                  <c:v>0.95691427953473174</c:v>
                </c:pt>
                <c:pt idx="30">
                  <c:v>0.98211323715969778</c:v>
                </c:pt>
                <c:pt idx="31">
                  <c:v>0.99027147802450566</c:v>
                </c:pt>
                <c:pt idx="32">
                  <c:v>0.92690440483613579</c:v>
                </c:pt>
                <c:pt idx="33">
                  <c:v>1.0810885074134391</c:v>
                </c:pt>
                <c:pt idx="34">
                  <c:v>1.1338034085044659</c:v>
                </c:pt>
                <c:pt idx="35">
                  <c:v>1.2086769624549281</c:v>
                </c:pt>
                <c:pt idx="36">
                  <c:v>1.0441257304277269</c:v>
                </c:pt>
                <c:pt idx="37">
                  <c:v>1.04022281700981</c:v>
                </c:pt>
                <c:pt idx="38">
                  <c:v>0.81207759044207406</c:v>
                </c:pt>
                <c:pt idx="39">
                  <c:v>0.89039133384678326</c:v>
                </c:pt>
                <c:pt idx="40">
                  <c:v>0.86943016050498578</c:v>
                </c:pt>
                <c:pt idx="41">
                  <c:v>0.90803902012341908</c:v>
                </c:pt>
                <c:pt idx="42">
                  <c:v>0.87041791592949547</c:v>
                </c:pt>
                <c:pt idx="43">
                  <c:v>0.91908553046700026</c:v>
                </c:pt>
                <c:pt idx="44">
                  <c:v>0.90632901805683119</c:v>
                </c:pt>
                <c:pt idx="45">
                  <c:v>0.91612325253961768</c:v>
                </c:pt>
                <c:pt idx="46">
                  <c:v>0.94278612074660006</c:v>
                </c:pt>
                <c:pt idx="47">
                  <c:v>1.132810339248927</c:v>
                </c:pt>
                <c:pt idx="48">
                  <c:v>1.2309198691226539</c:v>
                </c:pt>
                <c:pt idx="49">
                  <c:v>0.93008781340266</c:v>
                </c:pt>
                <c:pt idx="50">
                  <c:v>0.94612539759598957</c:v>
                </c:pt>
                <c:pt idx="51">
                  <c:v>0.79203966120386338</c:v>
                </c:pt>
                <c:pt idx="52">
                  <c:v>0.68333610561519953</c:v>
                </c:pt>
                <c:pt idx="53">
                  <c:v>0.80965062086215667</c:v>
                </c:pt>
                <c:pt idx="54">
                  <c:v>0.80380421953260928</c:v>
                </c:pt>
                <c:pt idx="55">
                  <c:v>0.86289309777204071</c:v>
                </c:pt>
                <c:pt idx="56">
                  <c:v>0.8038389922187259</c:v>
                </c:pt>
                <c:pt idx="57">
                  <c:v>0.84083605560542263</c:v>
                </c:pt>
                <c:pt idx="58">
                  <c:v>1.028656893611996</c:v>
                </c:pt>
                <c:pt idx="59">
                  <c:v>0.91325607762876626</c:v>
                </c:pt>
                <c:pt idx="60">
                  <c:v>1.051614630458469</c:v>
                </c:pt>
                <c:pt idx="61">
                  <c:v>1.0144208291794441</c:v>
                </c:pt>
                <c:pt idx="62">
                  <c:v>0.8373818542217274</c:v>
                </c:pt>
                <c:pt idx="63">
                  <c:v>0.83468460161643787</c:v>
                </c:pt>
                <c:pt idx="64">
                  <c:v>0.61339845366508694</c:v>
                </c:pt>
                <c:pt idx="65">
                  <c:v>0.73781003223868646</c:v>
                </c:pt>
                <c:pt idx="66">
                  <c:v>0.68549949487061801</c:v>
                </c:pt>
                <c:pt idx="67">
                  <c:v>0.71512676219349525</c:v>
                </c:pt>
                <c:pt idx="68">
                  <c:v>0.63652522303957304</c:v>
                </c:pt>
                <c:pt idx="69">
                  <c:v>0.76175188075929667</c:v>
                </c:pt>
                <c:pt idx="70">
                  <c:v>1.0174940038611719</c:v>
                </c:pt>
                <c:pt idx="71">
                  <c:v>1.0025674160411211</c:v>
                </c:pt>
                <c:pt idx="72">
                  <c:v>1.135032584901597</c:v>
                </c:pt>
                <c:pt idx="73">
                  <c:v>0.93411665141872979</c:v>
                </c:pt>
                <c:pt idx="74">
                  <c:v>0.68579081688022481</c:v>
                </c:pt>
                <c:pt idx="75">
                  <c:v>0.60995353561832499</c:v>
                </c:pt>
                <c:pt idx="76">
                  <c:v>0.62375117423189408</c:v>
                </c:pt>
                <c:pt idx="77">
                  <c:v>0.56976432128633303</c:v>
                </c:pt>
                <c:pt idx="78">
                  <c:v>0.74058967108380014</c:v>
                </c:pt>
                <c:pt idx="79">
                  <c:v>0.64997112344594554</c:v>
                </c:pt>
                <c:pt idx="80">
                  <c:v>0.68273474898658593</c:v>
                </c:pt>
                <c:pt idx="81">
                  <c:v>0.94701517193480578</c:v>
                </c:pt>
                <c:pt idx="82">
                  <c:v>1.0289764309560969</c:v>
                </c:pt>
                <c:pt idx="83">
                  <c:v>0.98205388617926037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977-C341-A68B-71A8388B5726}"/>
            </c:ext>
          </c:extLst>
        </c:ser>
        <c:ser>
          <c:idx val="1"/>
          <c:order val="1"/>
          <c:tx>
            <c:strRef>
              <c:f>'Capture Price Inputs'!$K$1</c:f>
              <c:strCache>
                <c:ptCount val="1"/>
                <c:pt idx="0">
                  <c:v>DK2 CPR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'Capture Price Inputs'!$K$2:$K$85</c:f>
              <c:numCache>
                <c:formatCode>General</c:formatCode>
                <c:ptCount val="84"/>
                <c:pt idx="12">
                  <c:v>1.090446324793763</c:v>
                </c:pt>
                <c:pt idx="13">
                  <c:v>1.251821301318464</c:v>
                </c:pt>
                <c:pt idx="14">
                  <c:v>0.85520775851277109</c:v>
                </c:pt>
                <c:pt idx="15">
                  <c:v>0.76362023547871605</c:v>
                </c:pt>
                <c:pt idx="16">
                  <c:v>0.97636938233545278</c:v>
                </c:pt>
                <c:pt idx="17">
                  <c:v>1.180647007173951</c:v>
                </c:pt>
                <c:pt idx="18">
                  <c:v>1.021791049952987</c:v>
                </c:pt>
                <c:pt idx="19">
                  <c:v>1.077948442472481</c:v>
                </c:pt>
                <c:pt idx="20">
                  <c:v>1.0591890923358069</c:v>
                </c:pt>
                <c:pt idx="21">
                  <c:v>1.247549053102559</c:v>
                </c:pt>
                <c:pt idx="22">
                  <c:v>1.057080411727209</c:v>
                </c:pt>
                <c:pt idx="23">
                  <c:v>1.125691191699302</c:v>
                </c:pt>
                <c:pt idx="24">
                  <c:v>1.122164979814525</c:v>
                </c:pt>
                <c:pt idx="25">
                  <c:v>0.9585139857498034</c:v>
                </c:pt>
                <c:pt idx="26">
                  <c:v>1.0147741726503949</c:v>
                </c:pt>
                <c:pt idx="27">
                  <c:v>0.95901643664766134</c:v>
                </c:pt>
                <c:pt idx="28">
                  <c:v>0.91033887361171206</c:v>
                </c:pt>
                <c:pt idx="29">
                  <c:v>0.94404491874816343</c:v>
                </c:pt>
                <c:pt idx="30">
                  <c:v>0.95692856904650769</c:v>
                </c:pt>
                <c:pt idx="31">
                  <c:v>1.001768528067071</c:v>
                </c:pt>
                <c:pt idx="32">
                  <c:v>0.95838336990944806</c:v>
                </c:pt>
                <c:pt idx="33">
                  <c:v>1.1445012658471321</c:v>
                </c:pt>
                <c:pt idx="34">
                  <c:v>1.1264608571418011</c:v>
                </c:pt>
                <c:pt idx="35">
                  <c:v>1.279578427053047</c:v>
                </c:pt>
                <c:pt idx="36">
                  <c:v>1.1617546523412821</c:v>
                </c:pt>
                <c:pt idx="37">
                  <c:v>1.084871924613185</c:v>
                </c:pt>
                <c:pt idx="38">
                  <c:v>0.81629582758371144</c:v>
                </c:pt>
                <c:pt idx="39">
                  <c:v>0.93918048773921026</c:v>
                </c:pt>
                <c:pt idx="40">
                  <c:v>0.89914563143311954</c:v>
                </c:pt>
                <c:pt idx="41">
                  <c:v>0.90151367457475784</c:v>
                </c:pt>
                <c:pt idx="42">
                  <c:v>0.90956244496775596</c:v>
                </c:pt>
                <c:pt idx="43">
                  <c:v>0.8830756108422062</c:v>
                </c:pt>
                <c:pt idx="44">
                  <c:v>0.96085369829588263</c:v>
                </c:pt>
                <c:pt idx="45">
                  <c:v>0.87743541957368609</c:v>
                </c:pt>
                <c:pt idx="46">
                  <c:v>0.92404474391789948</c:v>
                </c:pt>
                <c:pt idx="47">
                  <c:v>1.2185280560697289</c:v>
                </c:pt>
                <c:pt idx="48">
                  <c:v>1.2118663236304299</c:v>
                </c:pt>
                <c:pt idx="49">
                  <c:v>1.0244781228159621</c:v>
                </c:pt>
                <c:pt idx="50">
                  <c:v>0.99223631219701203</c:v>
                </c:pt>
                <c:pt idx="51">
                  <c:v>0.85025873478203906</c:v>
                </c:pt>
                <c:pt idx="52">
                  <c:v>0.73101748270540212</c:v>
                </c:pt>
                <c:pt idx="53">
                  <c:v>0.78603819917365525</c:v>
                </c:pt>
                <c:pt idx="54">
                  <c:v>0.77170348712471282</c:v>
                </c:pt>
                <c:pt idx="55">
                  <c:v>0.84546104105698361</c:v>
                </c:pt>
                <c:pt idx="56">
                  <c:v>0.75329173308453345</c:v>
                </c:pt>
                <c:pt idx="57">
                  <c:v>0.83723449033464103</c:v>
                </c:pt>
                <c:pt idx="58">
                  <c:v>1.038705241708771</c:v>
                </c:pt>
                <c:pt idx="59">
                  <c:v>0.83326707575628478</c:v>
                </c:pt>
                <c:pt idx="60">
                  <c:v>0.97714487510792902</c:v>
                </c:pt>
                <c:pt idx="61">
                  <c:v>0.93991726033346112</c:v>
                </c:pt>
                <c:pt idx="62">
                  <c:v>0.8314293202728863</c:v>
                </c:pt>
                <c:pt idx="63">
                  <c:v>0.77805107456374178</c:v>
                </c:pt>
                <c:pt idx="64">
                  <c:v>0.59005563427075769</c:v>
                </c:pt>
                <c:pt idx="65">
                  <c:v>0.69439585691141426</c:v>
                </c:pt>
                <c:pt idx="66">
                  <c:v>0.61762838453946423</c:v>
                </c:pt>
                <c:pt idx="67">
                  <c:v>0.64934714792296455</c:v>
                </c:pt>
                <c:pt idx="68">
                  <c:v>0.61574801135475132</c:v>
                </c:pt>
                <c:pt idx="69">
                  <c:v>0.78000735067931948</c:v>
                </c:pt>
                <c:pt idx="70">
                  <c:v>0.94047799551015088</c:v>
                </c:pt>
                <c:pt idx="71">
                  <c:v>1.0870067185479459</c:v>
                </c:pt>
                <c:pt idx="72">
                  <c:v>1.1494003648079021</c:v>
                </c:pt>
                <c:pt idx="73">
                  <c:v>0.90662384271333907</c:v>
                </c:pt>
                <c:pt idx="74">
                  <c:v>0.60374116471580297</c:v>
                </c:pt>
                <c:pt idx="75">
                  <c:v>0.55174367988103734</c:v>
                </c:pt>
                <c:pt idx="76">
                  <c:v>0.54405946330729504</c:v>
                </c:pt>
                <c:pt idx="77">
                  <c:v>0.4307606652121766</c:v>
                </c:pt>
                <c:pt idx="78">
                  <c:v>0.74746341861966192</c:v>
                </c:pt>
                <c:pt idx="79">
                  <c:v>0.57178942343359873</c:v>
                </c:pt>
                <c:pt idx="80">
                  <c:v>0.63573160083367797</c:v>
                </c:pt>
                <c:pt idx="81">
                  <c:v>0.95480840081563045</c:v>
                </c:pt>
                <c:pt idx="82">
                  <c:v>0.98927251294969987</c:v>
                </c:pt>
                <c:pt idx="83">
                  <c:v>0.97014796253594149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977-C341-A68B-71A8388B57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CPR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Solar Penetration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Inputs'!$F$1</c:f>
              <c:strCache>
                <c:ptCount val="1"/>
                <c:pt idx="0">
                  <c:v>DK1 Solar Penetration (%) — Primary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'Capture Price Inputs'!$F$2:$F$85</c:f>
              <c:numCache>
                <c:formatCode>General</c:formatCode>
                <c:ptCount val="84"/>
                <c:pt idx="12">
                  <c:v>2.2644478926294831E-3</c:v>
                </c:pt>
                <c:pt idx="13">
                  <c:v>5.2474520244822449E-3</c:v>
                </c:pt>
                <c:pt idx="14">
                  <c:v>2.020167759412729E-2</c:v>
                </c:pt>
                <c:pt idx="15">
                  <c:v>3.2427989612304697E-2</c:v>
                </c:pt>
                <c:pt idx="16">
                  <c:v>3.6080087237903569E-2</c:v>
                </c:pt>
                <c:pt idx="17">
                  <c:v>3.7413618831640891E-2</c:v>
                </c:pt>
                <c:pt idx="18">
                  <c:v>3.3998433859503921E-2</c:v>
                </c:pt>
                <c:pt idx="19">
                  <c:v>3.4224763142537661E-2</c:v>
                </c:pt>
                <c:pt idx="20">
                  <c:v>2.4330151939157239E-2</c:v>
                </c:pt>
                <c:pt idx="21">
                  <c:v>1.1490387549446779E-2</c:v>
                </c:pt>
                <c:pt idx="22">
                  <c:v>1.521101274151999E-4</c:v>
                </c:pt>
                <c:pt idx="23">
                  <c:v>1.472410662127807E-5</c:v>
                </c:pt>
                <c:pt idx="24">
                  <c:v>3.6313559990350909E-3</c:v>
                </c:pt>
                <c:pt idx="25">
                  <c:v>1.0868941718057299E-2</c:v>
                </c:pt>
                <c:pt idx="26">
                  <c:v>2.2382303907371628E-2</c:v>
                </c:pt>
                <c:pt idx="27">
                  <c:v>4.212837115783985E-2</c:v>
                </c:pt>
                <c:pt idx="28">
                  <c:v>3.3075052211960353E-2</c:v>
                </c:pt>
                <c:pt idx="29">
                  <c:v>4.9841661821819518E-2</c:v>
                </c:pt>
                <c:pt idx="30">
                  <c:v>4.85715434854639E-2</c:v>
                </c:pt>
                <c:pt idx="31">
                  <c:v>3.8876947944708702E-2</c:v>
                </c:pt>
                <c:pt idx="32">
                  <c:v>2.5932850179436289E-2</c:v>
                </c:pt>
                <c:pt idx="33">
                  <c:v>1.7460096431489061E-2</c:v>
                </c:pt>
                <c:pt idx="34">
                  <c:v>7.0293060058135041E-3</c:v>
                </c:pt>
                <c:pt idx="35">
                  <c:v>3.243365391886713E-3</c:v>
                </c:pt>
                <c:pt idx="36">
                  <c:v>6.6753155472480874E-3</c:v>
                </c:pt>
                <c:pt idx="37">
                  <c:v>1.7399571233002901E-2</c:v>
                </c:pt>
                <c:pt idx="38">
                  <c:v>6.1955070586442867E-2</c:v>
                </c:pt>
                <c:pt idx="39">
                  <c:v>8.404056603836467E-2</c:v>
                </c:pt>
                <c:pt idx="40">
                  <c:v>9.6876891420316108E-2</c:v>
                </c:pt>
                <c:pt idx="41">
                  <c:v>9.4962020744311482E-2</c:v>
                </c:pt>
                <c:pt idx="42">
                  <c:v>9.963556652585577E-2</c:v>
                </c:pt>
                <c:pt idx="43">
                  <c:v>8.9626978325266782E-2</c:v>
                </c:pt>
                <c:pt idx="44">
                  <c:v>6.6046498591704736E-2</c:v>
                </c:pt>
                <c:pt idx="45">
                  <c:v>3.7469414477654707E-2</c:v>
                </c:pt>
                <c:pt idx="46">
                  <c:v>1.046932675470221E-2</c:v>
                </c:pt>
                <c:pt idx="47">
                  <c:v>6.2291646451968653E-3</c:v>
                </c:pt>
                <c:pt idx="48">
                  <c:v>1.2460694276862919E-2</c:v>
                </c:pt>
                <c:pt idx="49">
                  <c:v>3.4376404191763639E-2</c:v>
                </c:pt>
                <c:pt idx="50">
                  <c:v>5.6477968577058592E-2</c:v>
                </c:pt>
                <c:pt idx="51">
                  <c:v>0.1509467292684683</c:v>
                </c:pt>
                <c:pt idx="52">
                  <c:v>0.18600333743842001</c:v>
                </c:pt>
                <c:pt idx="53">
                  <c:v>0.21892573712946101</c:v>
                </c:pt>
                <c:pt idx="54">
                  <c:v>0.18929524056345021</c:v>
                </c:pt>
                <c:pt idx="55">
                  <c:v>0.1493297980639493</c:v>
                </c:pt>
                <c:pt idx="56">
                  <c:v>0.13191654386548721</c:v>
                </c:pt>
                <c:pt idx="57">
                  <c:v>4.2864886456730103E-2</c:v>
                </c:pt>
                <c:pt idx="58">
                  <c:v>1.6003493537152379E-2</c:v>
                </c:pt>
                <c:pt idx="59">
                  <c:v>6.3905046726965339E-3</c:v>
                </c:pt>
                <c:pt idx="60">
                  <c:v>1.3417186050607519E-2</c:v>
                </c:pt>
                <c:pt idx="61">
                  <c:v>2.6436223837926501E-2</c:v>
                </c:pt>
                <c:pt idx="62">
                  <c:v>6.6233973400350477E-2</c:v>
                </c:pt>
                <c:pt idx="63">
                  <c:v>0.1084169878649764</c:v>
                </c:pt>
                <c:pt idx="64">
                  <c:v>0.18887031649880051</c:v>
                </c:pt>
                <c:pt idx="65">
                  <c:v>0.1715230569234828</c:v>
                </c:pt>
                <c:pt idx="66">
                  <c:v>0.1809062055635286</c:v>
                </c:pt>
                <c:pt idx="67">
                  <c:v>0.15512153111725799</c:v>
                </c:pt>
                <c:pt idx="68">
                  <c:v>0.1275567235314205</c:v>
                </c:pt>
                <c:pt idx="69">
                  <c:v>6.2873767847415107E-2</c:v>
                </c:pt>
                <c:pt idx="70">
                  <c:v>1.780902737610289E-2</c:v>
                </c:pt>
                <c:pt idx="71">
                  <c:v>6.7857975683456679E-3</c:v>
                </c:pt>
                <c:pt idx="72">
                  <c:v>1.366055484422285E-2</c:v>
                </c:pt>
                <c:pt idx="73">
                  <c:v>4.3419934817177687E-2</c:v>
                </c:pt>
                <c:pt idx="74">
                  <c:v>0.1120694547038418</c:v>
                </c:pt>
                <c:pt idx="75">
                  <c:v>0.14827548756052711</c:v>
                </c:pt>
                <c:pt idx="76">
                  <c:v>0.19244468175967161</c:v>
                </c:pt>
                <c:pt idx="77">
                  <c:v>0.18784829238523279</c:v>
                </c:pt>
                <c:pt idx="78">
                  <c:v>0.21828188848241209</c:v>
                </c:pt>
                <c:pt idx="79">
                  <c:v>0.19011684012808119</c:v>
                </c:pt>
                <c:pt idx="80">
                  <c:v>0.13816152724517919</c:v>
                </c:pt>
                <c:pt idx="81">
                  <c:v>6.9462071202051626E-2</c:v>
                </c:pt>
                <c:pt idx="82">
                  <c:v>2.6604970402147529E-2</c:v>
                </c:pt>
                <c:pt idx="83">
                  <c:v>1.40253486520015E-2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A21-014A-93E0-9A53D3F7CAE6}"/>
            </c:ext>
          </c:extLst>
        </c:ser>
        <c:ser>
          <c:idx val="1"/>
          <c:order val="1"/>
          <c:tx>
            <c:strRef>
              <c:f>'Capture Price Inputs'!$G$1</c:f>
              <c:strCache>
                <c:ptCount val="1"/>
                <c:pt idx="0">
                  <c:v>DK2 Solar Penetration (%) — Robustness</c:v>
                </c:pt>
              </c:strCache>
            </c:strRef>
          </c:tx>
          <c:spPr>
            <a:ln>
              <a:solidFill>
                <a:srgbClr val="FFD700"/>
              </a:solidFill>
              <a:prstDash val="solid"/>
            </a:ln>
          </c:spPr>
          <c:marker>
            <c:symbol val="none"/>
          </c:marker>
          <c:val>
            <c:numRef>
              <c:f>'Capture Price Inputs'!$G$2:$G$85</c:f>
              <c:numCache>
                <c:formatCode>General</c:formatCode>
                <c:ptCount val="84"/>
                <c:pt idx="12">
                  <c:v>1.864323044087839E-3</c:v>
                </c:pt>
                <c:pt idx="13">
                  <c:v>4.9613393448072352E-3</c:v>
                </c:pt>
                <c:pt idx="14">
                  <c:v>1.532033335337761E-2</c:v>
                </c:pt>
                <c:pt idx="15">
                  <c:v>2.6180595134545931E-2</c:v>
                </c:pt>
                <c:pt idx="16">
                  <c:v>3.2240930774166239E-2</c:v>
                </c:pt>
                <c:pt idx="17">
                  <c:v>3.0651812088155841E-2</c:v>
                </c:pt>
                <c:pt idx="18">
                  <c:v>2.998206800974695E-2</c:v>
                </c:pt>
                <c:pt idx="19">
                  <c:v>2.8034713414307081E-2</c:v>
                </c:pt>
                <c:pt idx="20">
                  <c:v>2.1736479101595249E-2</c:v>
                </c:pt>
                <c:pt idx="21">
                  <c:v>1.107911770574695E-2</c:v>
                </c:pt>
                <c:pt idx="22">
                  <c:v>1.1044611578332841E-4</c:v>
                </c:pt>
                <c:pt idx="23">
                  <c:v>5.6352433584062588E-6</c:v>
                </c:pt>
                <c:pt idx="24">
                  <c:v>3.104474131982996E-3</c:v>
                </c:pt>
                <c:pt idx="25">
                  <c:v>9.2483369487723587E-3</c:v>
                </c:pt>
                <c:pt idx="26">
                  <c:v>1.8474517045212829E-2</c:v>
                </c:pt>
                <c:pt idx="27">
                  <c:v>3.2694407483312787E-2</c:v>
                </c:pt>
                <c:pt idx="28">
                  <c:v>3.2945829294540187E-2</c:v>
                </c:pt>
                <c:pt idx="29">
                  <c:v>4.4480133140056069E-2</c:v>
                </c:pt>
                <c:pt idx="30">
                  <c:v>3.7049542537302173E-2</c:v>
                </c:pt>
                <c:pt idx="31">
                  <c:v>3.1857768834261987E-2</c:v>
                </c:pt>
                <c:pt idx="32">
                  <c:v>2.23981137027396E-2</c:v>
                </c:pt>
                <c:pt idx="33">
                  <c:v>1.267326343754744E-2</c:v>
                </c:pt>
                <c:pt idx="34">
                  <c:v>4.0132810857910267E-3</c:v>
                </c:pt>
                <c:pt idx="35">
                  <c:v>1.8226295838260991E-3</c:v>
                </c:pt>
                <c:pt idx="36">
                  <c:v>4.939556742877535E-3</c:v>
                </c:pt>
                <c:pt idx="37">
                  <c:v>1.3248485586698279E-2</c:v>
                </c:pt>
                <c:pt idx="38">
                  <c:v>3.4089330349121053E-2</c:v>
                </c:pt>
                <c:pt idx="39">
                  <c:v>5.5254436099578648E-2</c:v>
                </c:pt>
                <c:pt idx="40">
                  <c:v>6.5811459960859395E-2</c:v>
                </c:pt>
                <c:pt idx="41">
                  <c:v>6.4528229045867816E-2</c:v>
                </c:pt>
                <c:pt idx="42">
                  <c:v>6.7025803801952916E-2</c:v>
                </c:pt>
                <c:pt idx="43">
                  <c:v>6.1299924397195817E-2</c:v>
                </c:pt>
                <c:pt idx="44">
                  <c:v>4.5784276103507021E-2</c:v>
                </c:pt>
                <c:pt idx="45">
                  <c:v>2.9809058027035401E-2</c:v>
                </c:pt>
                <c:pt idx="46">
                  <c:v>7.8652952619005494E-3</c:v>
                </c:pt>
                <c:pt idx="47">
                  <c:v>4.5323555529735481E-3</c:v>
                </c:pt>
                <c:pt idx="48">
                  <c:v>5.8626527231366082E-3</c:v>
                </c:pt>
                <c:pt idx="49">
                  <c:v>1.8877648418373551E-2</c:v>
                </c:pt>
                <c:pt idx="50">
                  <c:v>3.7096229392005707E-2</c:v>
                </c:pt>
                <c:pt idx="51">
                  <c:v>8.0269966033824955E-2</c:v>
                </c:pt>
                <c:pt idx="52">
                  <c:v>0.1080032082802261</c:v>
                </c:pt>
                <c:pt idx="53">
                  <c:v>0.1144244665352921</c:v>
                </c:pt>
                <c:pt idx="54">
                  <c:v>0.10203074507159759</c:v>
                </c:pt>
                <c:pt idx="55">
                  <c:v>7.7931010532967707E-2</c:v>
                </c:pt>
                <c:pt idx="56">
                  <c:v>8.0909954639318743E-2</c:v>
                </c:pt>
                <c:pt idx="57">
                  <c:v>2.9172340215594381E-2</c:v>
                </c:pt>
                <c:pt idx="58">
                  <c:v>1.04098691216888E-2</c:v>
                </c:pt>
                <c:pt idx="59">
                  <c:v>3.809030164374855E-3</c:v>
                </c:pt>
                <c:pt idx="60">
                  <c:v>6.1781830729755079E-3</c:v>
                </c:pt>
                <c:pt idx="61">
                  <c:v>1.667231366864759E-2</c:v>
                </c:pt>
                <c:pt idx="62">
                  <c:v>4.1112806367337662E-2</c:v>
                </c:pt>
                <c:pt idx="63">
                  <c:v>6.5123378744806448E-2</c:v>
                </c:pt>
                <c:pt idx="64">
                  <c:v>0.106315341440858</c:v>
                </c:pt>
                <c:pt idx="65">
                  <c:v>0.1072729076610999</c:v>
                </c:pt>
                <c:pt idx="66">
                  <c:v>0.1057942634887733</c:v>
                </c:pt>
                <c:pt idx="67">
                  <c:v>9.3690832268705199E-2</c:v>
                </c:pt>
                <c:pt idx="68">
                  <c:v>7.2463202820400169E-2</c:v>
                </c:pt>
                <c:pt idx="69">
                  <c:v>3.6145253892379881E-2</c:v>
                </c:pt>
                <c:pt idx="70">
                  <c:v>8.6028414054236078E-3</c:v>
                </c:pt>
                <c:pt idx="71">
                  <c:v>4.1714684657767577E-3</c:v>
                </c:pt>
                <c:pt idx="72">
                  <c:v>7.223240212576967E-3</c:v>
                </c:pt>
                <c:pt idx="73">
                  <c:v>2.010831138567791E-2</c:v>
                </c:pt>
                <c:pt idx="74">
                  <c:v>4.6547866447452589E-2</c:v>
                </c:pt>
                <c:pt idx="75">
                  <c:v>7.1689783649061992E-2</c:v>
                </c:pt>
                <c:pt idx="76">
                  <c:v>9.4714127256233946E-2</c:v>
                </c:pt>
                <c:pt idx="77">
                  <c:v>9.9826250015510765E-2</c:v>
                </c:pt>
                <c:pt idx="78">
                  <c:v>9.3996419418699143E-2</c:v>
                </c:pt>
                <c:pt idx="79">
                  <c:v>0.1057378118957395</c:v>
                </c:pt>
                <c:pt idx="80">
                  <c:v>9.0628879686523764E-2</c:v>
                </c:pt>
                <c:pt idx="81">
                  <c:v>3.9573125678626628E-2</c:v>
                </c:pt>
                <c:pt idx="82">
                  <c:v>1.454364344794783E-2</c:v>
                </c:pt>
                <c:pt idx="83">
                  <c:v>9.0694911608833299E-3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A21-014A-93E0-9A53D3F7CA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Solar Penetration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Capture Price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Inputs'!$H$1</c:f>
              <c:strCache>
                <c:ptCount val="1"/>
                <c:pt idx="0">
                  <c:v>DK1 Capture Price (EUR/MWh)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Inputs'!$H$2:$H$85</c:f>
              <c:numCache>
                <c:formatCode>General</c:formatCode>
                <c:ptCount val="84"/>
                <c:pt idx="12">
                  <c:v>25.22320957280251</c:v>
                </c:pt>
                <c:pt idx="13">
                  <c:v>22.83581899109792</c:v>
                </c:pt>
                <c:pt idx="14">
                  <c:v>15.94107348554973</c:v>
                </c:pt>
                <c:pt idx="15">
                  <c:v>10.36487590420421</c:v>
                </c:pt>
                <c:pt idx="16">
                  <c:v>15.478548945086001</c:v>
                </c:pt>
                <c:pt idx="17">
                  <c:v>27.313308227868689</c:v>
                </c:pt>
                <c:pt idx="18">
                  <c:v>24.831745178109159</c:v>
                </c:pt>
                <c:pt idx="19">
                  <c:v>33.876915422047851</c:v>
                </c:pt>
                <c:pt idx="20">
                  <c:v>38.935979003379593</c:v>
                </c:pt>
                <c:pt idx="21">
                  <c:v>31.927741533059191</c:v>
                </c:pt>
                <c:pt idx="22">
                  <c:v>26.005993265993261</c:v>
                </c:pt>
                <c:pt idx="23">
                  <c:v>34.795161290322582</c:v>
                </c:pt>
                <c:pt idx="24">
                  <c:v>55.422967607277918</c:v>
                </c:pt>
                <c:pt idx="25">
                  <c:v>47.542610979142587</c:v>
                </c:pt>
                <c:pt idx="26">
                  <c:v>44.550700915805493</c:v>
                </c:pt>
                <c:pt idx="27">
                  <c:v>43.594739828473003</c:v>
                </c:pt>
                <c:pt idx="28">
                  <c:v>47.655870575001217</c:v>
                </c:pt>
                <c:pt idx="29">
                  <c:v>70.543547911111062</c:v>
                </c:pt>
                <c:pt idx="30">
                  <c:v>78.568319747758608</c:v>
                </c:pt>
                <c:pt idx="31">
                  <c:v>81.983351136401794</c:v>
                </c:pt>
                <c:pt idx="32">
                  <c:v>116.20022495544841</c:v>
                </c:pt>
                <c:pt idx="33">
                  <c:v>126.53039520323949</c:v>
                </c:pt>
                <c:pt idx="34">
                  <c:v>160.77058330102949</c:v>
                </c:pt>
                <c:pt idx="35">
                  <c:v>228.8621705579358</c:v>
                </c:pt>
                <c:pt idx="36">
                  <c:v>123.20125067917191</c:v>
                </c:pt>
                <c:pt idx="37">
                  <c:v>117.67077903546</c:v>
                </c:pt>
                <c:pt idx="38">
                  <c:v>191.50807173506701</c:v>
                </c:pt>
                <c:pt idx="39">
                  <c:v>145.70138715926041</c:v>
                </c:pt>
                <c:pt idx="40">
                  <c:v>149.4185612445558</c:v>
                </c:pt>
                <c:pt idx="41">
                  <c:v>194.71103409481981</c:v>
                </c:pt>
                <c:pt idx="42">
                  <c:v>239.3981525107354</c:v>
                </c:pt>
                <c:pt idx="43">
                  <c:v>419.79263722660602</c:v>
                </c:pt>
                <c:pt idx="44">
                  <c:v>310.70739927266709</c:v>
                </c:pt>
                <c:pt idx="45">
                  <c:v>125.6295598680838</c:v>
                </c:pt>
                <c:pt idx="46">
                  <c:v>131.7111886265582</c:v>
                </c:pt>
                <c:pt idx="47">
                  <c:v>282.82379374207261</c:v>
                </c:pt>
                <c:pt idx="48">
                  <c:v>138.52998868426329</c:v>
                </c:pt>
                <c:pt idx="49">
                  <c:v>109.87697572135031</c:v>
                </c:pt>
                <c:pt idx="50">
                  <c:v>93.774190940695377</c:v>
                </c:pt>
                <c:pt idx="51">
                  <c:v>76.25042822265543</c:v>
                </c:pt>
                <c:pt idx="52">
                  <c:v>50.543487760082613</c:v>
                </c:pt>
                <c:pt idx="53">
                  <c:v>74.888982776218057</c:v>
                </c:pt>
                <c:pt idx="54">
                  <c:v>52.095599438463452</c:v>
                </c:pt>
                <c:pt idx="55">
                  <c:v>74.180426039978187</c:v>
                </c:pt>
                <c:pt idx="56">
                  <c:v>68.116869623396937</c:v>
                </c:pt>
                <c:pt idx="57">
                  <c:v>50.539090519702853</c:v>
                </c:pt>
                <c:pt idx="58">
                  <c:v>90.680805562425178</c:v>
                </c:pt>
                <c:pt idx="59">
                  <c:v>63.455327688788032</c:v>
                </c:pt>
                <c:pt idx="60">
                  <c:v>78.571316441678306</c:v>
                </c:pt>
                <c:pt idx="61">
                  <c:v>59.479486768055089</c:v>
                </c:pt>
                <c:pt idx="62">
                  <c:v>51.269783241554933</c:v>
                </c:pt>
                <c:pt idx="63">
                  <c:v>49.383940562011212</c:v>
                </c:pt>
                <c:pt idx="64">
                  <c:v>35.894148271408874</c:v>
                </c:pt>
                <c:pt idx="65">
                  <c:v>47.037633727397647</c:v>
                </c:pt>
                <c:pt idx="66">
                  <c:v>42.521773223099522</c:v>
                </c:pt>
                <c:pt idx="67">
                  <c:v>52.17121747504909</c:v>
                </c:pt>
                <c:pt idx="68">
                  <c:v>45.647504626217007</c:v>
                </c:pt>
                <c:pt idx="69">
                  <c:v>58.441583787091993</c:v>
                </c:pt>
                <c:pt idx="70">
                  <c:v>97.582352616331917</c:v>
                </c:pt>
                <c:pt idx="71">
                  <c:v>92.073217693833982</c:v>
                </c:pt>
                <c:pt idx="72">
                  <c:v>111.1945655985155</c:v>
                </c:pt>
                <c:pt idx="73">
                  <c:v>105.41315973788279</c:v>
                </c:pt>
                <c:pt idx="74">
                  <c:v>57.84566339627056</c:v>
                </c:pt>
                <c:pt idx="75">
                  <c:v>45.844395770687349</c:v>
                </c:pt>
                <c:pt idx="76">
                  <c:v>40.065667394009381</c:v>
                </c:pt>
                <c:pt idx="77">
                  <c:v>33.493381965196598</c:v>
                </c:pt>
                <c:pt idx="78">
                  <c:v>61.32224821093979</c:v>
                </c:pt>
                <c:pt idx="79">
                  <c:v>47.755824567457559</c:v>
                </c:pt>
                <c:pt idx="80">
                  <c:v>49.429094996057238</c:v>
                </c:pt>
                <c:pt idx="81">
                  <c:v>74.266634537895257</c:v>
                </c:pt>
                <c:pt idx="82">
                  <c:v>95.564531802521344</c:v>
                </c:pt>
                <c:pt idx="83">
                  <c:v>80.958034242780258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70E-5C49-B3FB-92DEB9AB3351}"/>
            </c:ext>
          </c:extLst>
        </c:ser>
        <c:ser>
          <c:idx val="1"/>
          <c:order val="1"/>
          <c:tx>
            <c:strRef>
              <c:f>'Capture Price Inputs'!$I$1</c:f>
              <c:strCache>
                <c:ptCount val="1"/>
                <c:pt idx="0">
                  <c:v>DK2 Capture Price (EUR/MWh)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'Capture Price Inputs'!$I$2:$I$85</c:f>
              <c:numCache>
                <c:formatCode>General</c:formatCode>
                <c:ptCount val="84"/>
                <c:pt idx="12">
                  <c:v>29.86213642213642</c:v>
                </c:pt>
                <c:pt idx="13">
                  <c:v>23.555517829721889</c:v>
                </c:pt>
                <c:pt idx="14">
                  <c:v>17.149050692261021</c:v>
                </c:pt>
                <c:pt idx="15">
                  <c:v>13.252523128367081</c:v>
                </c:pt>
                <c:pt idx="16">
                  <c:v>18.594049382716051</c:v>
                </c:pt>
                <c:pt idx="17">
                  <c:v>35.21078005032583</c:v>
                </c:pt>
                <c:pt idx="18">
                  <c:v>26.450778046867001</c:v>
                </c:pt>
                <c:pt idx="19">
                  <c:v>44.113765015404859</c:v>
                </c:pt>
                <c:pt idx="20">
                  <c:v>41.853047880870562</c:v>
                </c:pt>
                <c:pt idx="21">
                  <c:v>33.600878372903331</c:v>
                </c:pt>
                <c:pt idx="22">
                  <c:v>37.749765625000002</c:v>
                </c:pt>
                <c:pt idx="23">
                  <c:v>44.191428571428567</c:v>
                </c:pt>
                <c:pt idx="24">
                  <c:v>57.072134410081453</c:v>
                </c:pt>
                <c:pt idx="25">
                  <c:v>52.285083654524577</c:v>
                </c:pt>
                <c:pt idx="26">
                  <c:v>47.422643011897812</c:v>
                </c:pt>
                <c:pt idx="27">
                  <c:v>45.901363748248833</c:v>
                </c:pt>
                <c:pt idx="28">
                  <c:v>50.258720231460799</c:v>
                </c:pt>
                <c:pt idx="29">
                  <c:v>69.469341653776226</c:v>
                </c:pt>
                <c:pt idx="30">
                  <c:v>77.933111551394319</c:v>
                </c:pt>
                <c:pt idx="31">
                  <c:v>84.512747690257029</c:v>
                </c:pt>
                <c:pt idx="32">
                  <c:v>118.7457227855615</c:v>
                </c:pt>
                <c:pt idx="33">
                  <c:v>122.3841235967906</c:v>
                </c:pt>
                <c:pt idx="34">
                  <c:v>153.62679427815749</c:v>
                </c:pt>
                <c:pt idx="35">
                  <c:v>244.48727859764409</c:v>
                </c:pt>
                <c:pt idx="36">
                  <c:v>129.67749023150819</c:v>
                </c:pt>
                <c:pt idx="37">
                  <c:v>108.80333899256409</c:v>
                </c:pt>
                <c:pt idx="38">
                  <c:v>186.0504424586062</c:v>
                </c:pt>
                <c:pt idx="39">
                  <c:v>143.53758886421849</c:v>
                </c:pt>
                <c:pt idx="40">
                  <c:v>146.25360234460331</c:v>
                </c:pt>
                <c:pt idx="41">
                  <c:v>192.2325905808319</c:v>
                </c:pt>
                <c:pt idx="42">
                  <c:v>212.3625858003895</c:v>
                </c:pt>
                <c:pt idx="43">
                  <c:v>397.17988485976059</c:v>
                </c:pt>
                <c:pt idx="44">
                  <c:v>315.92884279677901</c:v>
                </c:pt>
                <c:pt idx="45">
                  <c:v>120.1190076327392</c:v>
                </c:pt>
                <c:pt idx="46">
                  <c:v>134.0399027878758</c:v>
                </c:pt>
                <c:pt idx="47">
                  <c:v>303.26978481668573</c:v>
                </c:pt>
                <c:pt idx="48">
                  <c:v>120.8992864784306</c:v>
                </c:pt>
                <c:pt idx="49">
                  <c:v>103.112625406295</c:v>
                </c:pt>
                <c:pt idx="50">
                  <c:v>89.098468921641697</c:v>
                </c:pt>
                <c:pt idx="51">
                  <c:v>71.125099705594195</c:v>
                </c:pt>
                <c:pt idx="52">
                  <c:v>48.358083796456327</c:v>
                </c:pt>
                <c:pt idx="53">
                  <c:v>71.862090372222397</c:v>
                </c:pt>
                <c:pt idx="54">
                  <c:v>50.345966617092351</c:v>
                </c:pt>
                <c:pt idx="55">
                  <c:v>72.957992347987414</c:v>
                </c:pt>
                <c:pt idx="56">
                  <c:v>64.394484672464898</c:v>
                </c:pt>
                <c:pt idx="57">
                  <c:v>47.660255094286853</c:v>
                </c:pt>
                <c:pt idx="58">
                  <c:v>84.639978605265995</c:v>
                </c:pt>
                <c:pt idx="59">
                  <c:v>59.061746333079718</c:v>
                </c:pt>
                <c:pt idx="60">
                  <c:v>76.427202535219209</c:v>
                </c:pt>
                <c:pt idx="61">
                  <c:v>51.434379196547752</c:v>
                </c:pt>
                <c:pt idx="62">
                  <c:v>50.751163813053438</c:v>
                </c:pt>
                <c:pt idx="63">
                  <c:v>47.053967904827999</c:v>
                </c:pt>
                <c:pt idx="64">
                  <c:v>34.295794113692892</c:v>
                </c:pt>
                <c:pt idx="65">
                  <c:v>46.379384034583367</c:v>
                </c:pt>
                <c:pt idx="66">
                  <c:v>38.812821969471173</c:v>
                </c:pt>
                <c:pt idx="67">
                  <c:v>47.151863118292532</c:v>
                </c:pt>
                <c:pt idx="68">
                  <c:v>43.355946350842189</c:v>
                </c:pt>
                <c:pt idx="69">
                  <c:v>59.534937630286556</c:v>
                </c:pt>
                <c:pt idx="70">
                  <c:v>89.611277477917284</c:v>
                </c:pt>
                <c:pt idx="71">
                  <c:v>100.7961313991171</c:v>
                </c:pt>
                <c:pt idx="72">
                  <c:v>115.0822593270056</c:v>
                </c:pt>
                <c:pt idx="73">
                  <c:v>106.92318207316821</c:v>
                </c:pt>
                <c:pt idx="74">
                  <c:v>50.018062961268747</c:v>
                </c:pt>
                <c:pt idx="75">
                  <c:v>41.82584156307518</c:v>
                </c:pt>
                <c:pt idx="76">
                  <c:v>34.320660344591218</c:v>
                </c:pt>
                <c:pt idx="77">
                  <c:v>24.31568572006325</c:v>
                </c:pt>
                <c:pt idx="78">
                  <c:v>59.766943882147693</c:v>
                </c:pt>
                <c:pt idx="79">
                  <c:v>43.064604783544858</c:v>
                </c:pt>
                <c:pt idx="80">
                  <c:v>52.949405153808357</c:v>
                </c:pt>
                <c:pt idx="81">
                  <c:v>78.645730322406678</c:v>
                </c:pt>
                <c:pt idx="82">
                  <c:v>92.690454871532665</c:v>
                </c:pt>
                <c:pt idx="83">
                  <c:v>79.631228022083661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70E-5C49-B3FB-92DEB9AB33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Capture Price Ratio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Inputs'!$J$1</c:f>
              <c:strCache>
                <c:ptCount val="1"/>
                <c:pt idx="0">
                  <c:v>DK1 CPR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Inputs'!$J$2:$J$85</c:f>
              <c:numCache>
                <c:formatCode>General</c:formatCode>
                <c:ptCount val="84"/>
                <c:pt idx="12">
                  <c:v>1.0091486594474419</c:v>
                </c:pt>
                <c:pt idx="13">
                  <c:v>1.2985911686950511</c:v>
                </c:pt>
                <c:pt idx="14">
                  <c:v>0.8710146939215303</c:v>
                </c:pt>
                <c:pt idx="15">
                  <c:v>0.71315772558819213</c:v>
                </c:pt>
                <c:pt idx="16">
                  <c:v>0.96415576931205649</c:v>
                </c:pt>
                <c:pt idx="17">
                  <c:v>1.0394664137310941</c:v>
                </c:pt>
                <c:pt idx="18">
                  <c:v>1.0086181556608309</c:v>
                </c:pt>
                <c:pt idx="19">
                  <c:v>0.98082264407500741</c:v>
                </c:pt>
                <c:pt idx="20">
                  <c:v>1.0104044869130051</c:v>
                </c:pt>
                <c:pt idx="21">
                  <c:v>1.236802226812374</c:v>
                </c:pt>
                <c:pt idx="22">
                  <c:v>1.094777917215692</c:v>
                </c:pt>
                <c:pt idx="23">
                  <c:v>1.0082301641826621</c:v>
                </c:pt>
                <c:pt idx="24">
                  <c:v>1.103930861568265</c:v>
                </c:pt>
                <c:pt idx="25">
                  <c:v>1.0059479277054251</c:v>
                </c:pt>
                <c:pt idx="26">
                  <c:v>0.9871758725122356</c:v>
                </c:pt>
                <c:pt idx="27">
                  <c:v>0.90884647456650169</c:v>
                </c:pt>
                <c:pt idx="28">
                  <c:v>0.87751805187154364</c:v>
                </c:pt>
                <c:pt idx="29">
                  <c:v>0.95691427953473174</c:v>
                </c:pt>
                <c:pt idx="30">
                  <c:v>0.98211323715969778</c:v>
                </c:pt>
                <c:pt idx="31">
                  <c:v>0.99027147802450566</c:v>
                </c:pt>
                <c:pt idx="32">
                  <c:v>0.92690440483613579</c:v>
                </c:pt>
                <c:pt idx="33">
                  <c:v>1.0810885074134391</c:v>
                </c:pt>
                <c:pt idx="34">
                  <c:v>1.1338034085044659</c:v>
                </c:pt>
                <c:pt idx="35">
                  <c:v>1.2086769624549281</c:v>
                </c:pt>
                <c:pt idx="36">
                  <c:v>1.0441257304277269</c:v>
                </c:pt>
                <c:pt idx="37">
                  <c:v>1.04022281700981</c:v>
                </c:pt>
                <c:pt idx="38">
                  <c:v>0.81207759044207406</c:v>
                </c:pt>
                <c:pt idx="39">
                  <c:v>0.89039133384678326</c:v>
                </c:pt>
                <c:pt idx="40">
                  <c:v>0.86943016050498578</c:v>
                </c:pt>
                <c:pt idx="41">
                  <c:v>0.90803902012341908</c:v>
                </c:pt>
                <c:pt idx="42">
                  <c:v>0.87041791592949547</c:v>
                </c:pt>
                <c:pt idx="43">
                  <c:v>0.91908553046700026</c:v>
                </c:pt>
                <c:pt idx="44">
                  <c:v>0.90632901805683119</c:v>
                </c:pt>
                <c:pt idx="45">
                  <c:v>0.91612325253961768</c:v>
                </c:pt>
                <c:pt idx="46">
                  <c:v>0.94278612074660006</c:v>
                </c:pt>
                <c:pt idx="47">
                  <c:v>1.132810339248927</c:v>
                </c:pt>
                <c:pt idx="48">
                  <c:v>1.2309198691226539</c:v>
                </c:pt>
                <c:pt idx="49">
                  <c:v>0.93008781340266</c:v>
                </c:pt>
                <c:pt idx="50">
                  <c:v>0.94612539759598957</c:v>
                </c:pt>
                <c:pt idx="51">
                  <c:v>0.79203966120386338</c:v>
                </c:pt>
                <c:pt idx="52">
                  <c:v>0.68333610561519953</c:v>
                </c:pt>
                <c:pt idx="53">
                  <c:v>0.80965062086215667</c:v>
                </c:pt>
                <c:pt idx="54">
                  <c:v>0.80380421953260928</c:v>
                </c:pt>
                <c:pt idx="55">
                  <c:v>0.86289309777204071</c:v>
                </c:pt>
                <c:pt idx="56">
                  <c:v>0.8038389922187259</c:v>
                </c:pt>
                <c:pt idx="57">
                  <c:v>0.84083605560542263</c:v>
                </c:pt>
                <c:pt idx="58">
                  <c:v>1.028656893611996</c:v>
                </c:pt>
                <c:pt idx="59">
                  <c:v>0.91325607762876626</c:v>
                </c:pt>
                <c:pt idx="60">
                  <c:v>1.051614630458469</c:v>
                </c:pt>
                <c:pt idx="61">
                  <c:v>1.0144208291794441</c:v>
                </c:pt>
                <c:pt idx="62">
                  <c:v>0.8373818542217274</c:v>
                </c:pt>
                <c:pt idx="63">
                  <c:v>0.83468460161643787</c:v>
                </c:pt>
                <c:pt idx="64">
                  <c:v>0.61339845366508694</c:v>
                </c:pt>
                <c:pt idx="65">
                  <c:v>0.73781003223868646</c:v>
                </c:pt>
                <c:pt idx="66">
                  <c:v>0.68549949487061801</c:v>
                </c:pt>
                <c:pt idx="67">
                  <c:v>0.71512676219349525</c:v>
                </c:pt>
                <c:pt idx="68">
                  <c:v>0.63652522303957304</c:v>
                </c:pt>
                <c:pt idx="69">
                  <c:v>0.76175188075929667</c:v>
                </c:pt>
                <c:pt idx="70">
                  <c:v>1.0174940038611719</c:v>
                </c:pt>
                <c:pt idx="71">
                  <c:v>1.0025674160411211</c:v>
                </c:pt>
                <c:pt idx="72">
                  <c:v>1.135032584901597</c:v>
                </c:pt>
                <c:pt idx="73">
                  <c:v>0.93411665141872979</c:v>
                </c:pt>
                <c:pt idx="74">
                  <c:v>0.68579081688022481</c:v>
                </c:pt>
                <c:pt idx="75">
                  <c:v>0.60995353561832499</c:v>
                </c:pt>
                <c:pt idx="76">
                  <c:v>0.62375117423189408</c:v>
                </c:pt>
                <c:pt idx="77">
                  <c:v>0.56976432128633303</c:v>
                </c:pt>
                <c:pt idx="78">
                  <c:v>0.74058967108380014</c:v>
                </c:pt>
                <c:pt idx="79">
                  <c:v>0.64997112344594554</c:v>
                </c:pt>
                <c:pt idx="80">
                  <c:v>0.68273474898658593</c:v>
                </c:pt>
                <c:pt idx="81">
                  <c:v>0.94701517193480578</c:v>
                </c:pt>
                <c:pt idx="82">
                  <c:v>1.0289764309560969</c:v>
                </c:pt>
                <c:pt idx="83">
                  <c:v>0.98205388617926037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615-8F45-82C6-0AA31676C589}"/>
            </c:ext>
          </c:extLst>
        </c:ser>
        <c:ser>
          <c:idx val="1"/>
          <c:order val="1"/>
          <c:tx>
            <c:strRef>
              <c:f>'Capture Price Inputs'!$K$1</c:f>
              <c:strCache>
                <c:ptCount val="1"/>
                <c:pt idx="0">
                  <c:v>DK2 CPR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'Capture Price Inputs'!$K$2:$K$85</c:f>
              <c:numCache>
                <c:formatCode>General</c:formatCode>
                <c:ptCount val="84"/>
                <c:pt idx="12">
                  <c:v>1.090446324793763</c:v>
                </c:pt>
                <c:pt idx="13">
                  <c:v>1.251821301318464</c:v>
                </c:pt>
                <c:pt idx="14">
                  <c:v>0.85520775851277109</c:v>
                </c:pt>
                <c:pt idx="15">
                  <c:v>0.76362023547871605</c:v>
                </c:pt>
                <c:pt idx="16">
                  <c:v>0.97636938233545278</c:v>
                </c:pt>
                <c:pt idx="17">
                  <c:v>1.180647007173951</c:v>
                </c:pt>
                <c:pt idx="18">
                  <c:v>1.021791049952987</c:v>
                </c:pt>
                <c:pt idx="19">
                  <c:v>1.077948442472481</c:v>
                </c:pt>
                <c:pt idx="20">
                  <c:v>1.0591890923358069</c:v>
                </c:pt>
                <c:pt idx="21">
                  <c:v>1.247549053102559</c:v>
                </c:pt>
                <c:pt idx="22">
                  <c:v>1.057080411727209</c:v>
                </c:pt>
                <c:pt idx="23">
                  <c:v>1.125691191699302</c:v>
                </c:pt>
                <c:pt idx="24">
                  <c:v>1.122164979814525</c:v>
                </c:pt>
                <c:pt idx="25">
                  <c:v>0.9585139857498034</c:v>
                </c:pt>
                <c:pt idx="26">
                  <c:v>1.0147741726503949</c:v>
                </c:pt>
                <c:pt idx="27">
                  <c:v>0.95901643664766134</c:v>
                </c:pt>
                <c:pt idx="28">
                  <c:v>0.91033887361171206</c:v>
                </c:pt>
                <c:pt idx="29">
                  <c:v>0.94404491874816343</c:v>
                </c:pt>
                <c:pt idx="30">
                  <c:v>0.95692856904650769</c:v>
                </c:pt>
                <c:pt idx="31">
                  <c:v>1.001768528067071</c:v>
                </c:pt>
                <c:pt idx="32">
                  <c:v>0.95838336990944806</c:v>
                </c:pt>
                <c:pt idx="33">
                  <c:v>1.1445012658471321</c:v>
                </c:pt>
                <c:pt idx="34">
                  <c:v>1.1264608571418011</c:v>
                </c:pt>
                <c:pt idx="35">
                  <c:v>1.279578427053047</c:v>
                </c:pt>
                <c:pt idx="36">
                  <c:v>1.1617546523412821</c:v>
                </c:pt>
                <c:pt idx="37">
                  <c:v>1.084871924613185</c:v>
                </c:pt>
                <c:pt idx="38">
                  <c:v>0.81629582758371144</c:v>
                </c:pt>
                <c:pt idx="39">
                  <c:v>0.93918048773921026</c:v>
                </c:pt>
                <c:pt idx="40">
                  <c:v>0.89914563143311954</c:v>
                </c:pt>
                <c:pt idx="41">
                  <c:v>0.90151367457475784</c:v>
                </c:pt>
                <c:pt idx="42">
                  <c:v>0.90956244496775596</c:v>
                </c:pt>
                <c:pt idx="43">
                  <c:v>0.8830756108422062</c:v>
                </c:pt>
                <c:pt idx="44">
                  <c:v>0.96085369829588263</c:v>
                </c:pt>
                <c:pt idx="45">
                  <c:v>0.87743541957368609</c:v>
                </c:pt>
                <c:pt idx="46">
                  <c:v>0.92404474391789948</c:v>
                </c:pt>
                <c:pt idx="47">
                  <c:v>1.2185280560697289</c:v>
                </c:pt>
                <c:pt idx="48">
                  <c:v>1.2118663236304299</c:v>
                </c:pt>
                <c:pt idx="49">
                  <c:v>1.0244781228159621</c:v>
                </c:pt>
                <c:pt idx="50">
                  <c:v>0.99223631219701203</c:v>
                </c:pt>
                <c:pt idx="51">
                  <c:v>0.85025873478203906</c:v>
                </c:pt>
                <c:pt idx="52">
                  <c:v>0.73101748270540212</c:v>
                </c:pt>
                <c:pt idx="53">
                  <c:v>0.78603819917365525</c:v>
                </c:pt>
                <c:pt idx="54">
                  <c:v>0.77170348712471282</c:v>
                </c:pt>
                <c:pt idx="55">
                  <c:v>0.84546104105698361</c:v>
                </c:pt>
                <c:pt idx="56">
                  <c:v>0.75329173308453345</c:v>
                </c:pt>
                <c:pt idx="57">
                  <c:v>0.83723449033464103</c:v>
                </c:pt>
                <c:pt idx="58">
                  <c:v>1.038705241708771</c:v>
                </c:pt>
                <c:pt idx="59">
                  <c:v>0.83326707575628478</c:v>
                </c:pt>
                <c:pt idx="60">
                  <c:v>0.97714487510792902</c:v>
                </c:pt>
                <c:pt idx="61">
                  <c:v>0.93991726033346112</c:v>
                </c:pt>
                <c:pt idx="62">
                  <c:v>0.8314293202728863</c:v>
                </c:pt>
                <c:pt idx="63">
                  <c:v>0.77805107456374178</c:v>
                </c:pt>
                <c:pt idx="64">
                  <c:v>0.59005563427075769</c:v>
                </c:pt>
                <c:pt idx="65">
                  <c:v>0.69439585691141426</c:v>
                </c:pt>
                <c:pt idx="66">
                  <c:v>0.61762838453946423</c:v>
                </c:pt>
                <c:pt idx="67">
                  <c:v>0.64934714792296455</c:v>
                </c:pt>
                <c:pt idx="68">
                  <c:v>0.61574801135475132</c:v>
                </c:pt>
                <c:pt idx="69">
                  <c:v>0.78000735067931948</c:v>
                </c:pt>
                <c:pt idx="70">
                  <c:v>0.94047799551015088</c:v>
                </c:pt>
                <c:pt idx="71">
                  <c:v>1.0870067185479459</c:v>
                </c:pt>
                <c:pt idx="72">
                  <c:v>1.1494003648079021</c:v>
                </c:pt>
                <c:pt idx="73">
                  <c:v>0.90662384271333907</c:v>
                </c:pt>
                <c:pt idx="74">
                  <c:v>0.60374116471580297</c:v>
                </c:pt>
                <c:pt idx="75">
                  <c:v>0.55174367988103734</c:v>
                </c:pt>
                <c:pt idx="76">
                  <c:v>0.54405946330729504</c:v>
                </c:pt>
                <c:pt idx="77">
                  <c:v>0.4307606652121766</c:v>
                </c:pt>
                <c:pt idx="78">
                  <c:v>0.74746341861966192</c:v>
                </c:pt>
                <c:pt idx="79">
                  <c:v>0.57178942343359873</c:v>
                </c:pt>
                <c:pt idx="80">
                  <c:v>0.63573160083367797</c:v>
                </c:pt>
                <c:pt idx="81">
                  <c:v>0.95480840081563045</c:v>
                </c:pt>
                <c:pt idx="82">
                  <c:v>0.98927251294969987</c:v>
                </c:pt>
                <c:pt idx="83">
                  <c:v>0.97014796253594149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615-8F45-82C6-0AA31676C5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CPR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Solar Penetration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Inputs'!$F$1</c:f>
              <c:strCache>
                <c:ptCount val="1"/>
                <c:pt idx="0">
                  <c:v>DK1 Solar Penetration (%) — Primary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'Capture Price Inputs'!$F$2:$F$85</c:f>
              <c:numCache>
                <c:formatCode>General</c:formatCode>
                <c:ptCount val="84"/>
                <c:pt idx="12">
                  <c:v>2.2644478926294831E-3</c:v>
                </c:pt>
                <c:pt idx="13">
                  <c:v>5.2474520244822449E-3</c:v>
                </c:pt>
                <c:pt idx="14">
                  <c:v>2.020167759412729E-2</c:v>
                </c:pt>
                <c:pt idx="15">
                  <c:v>3.2427989612304697E-2</c:v>
                </c:pt>
                <c:pt idx="16">
                  <c:v>3.6080087237903569E-2</c:v>
                </c:pt>
                <c:pt idx="17">
                  <c:v>3.7413618831640891E-2</c:v>
                </c:pt>
                <c:pt idx="18">
                  <c:v>3.3998433859503921E-2</c:v>
                </c:pt>
                <c:pt idx="19">
                  <c:v>3.4224763142537661E-2</c:v>
                </c:pt>
                <c:pt idx="20">
                  <c:v>2.4330151939157239E-2</c:v>
                </c:pt>
                <c:pt idx="21">
                  <c:v>1.1490387549446779E-2</c:v>
                </c:pt>
                <c:pt idx="22">
                  <c:v>1.521101274151999E-4</c:v>
                </c:pt>
                <c:pt idx="23">
                  <c:v>1.472410662127807E-5</c:v>
                </c:pt>
                <c:pt idx="24">
                  <c:v>3.6313559990350909E-3</c:v>
                </c:pt>
                <c:pt idx="25">
                  <c:v>1.0868941718057299E-2</c:v>
                </c:pt>
                <c:pt idx="26">
                  <c:v>2.2382303907371628E-2</c:v>
                </c:pt>
                <c:pt idx="27">
                  <c:v>4.212837115783985E-2</c:v>
                </c:pt>
                <c:pt idx="28">
                  <c:v>3.3075052211960353E-2</c:v>
                </c:pt>
                <c:pt idx="29">
                  <c:v>4.9841661821819518E-2</c:v>
                </c:pt>
                <c:pt idx="30">
                  <c:v>4.85715434854639E-2</c:v>
                </c:pt>
                <c:pt idx="31">
                  <c:v>3.8876947944708702E-2</c:v>
                </c:pt>
                <c:pt idx="32">
                  <c:v>2.5932850179436289E-2</c:v>
                </c:pt>
                <c:pt idx="33">
                  <c:v>1.7460096431489061E-2</c:v>
                </c:pt>
                <c:pt idx="34">
                  <c:v>7.0293060058135041E-3</c:v>
                </c:pt>
                <c:pt idx="35">
                  <c:v>3.243365391886713E-3</c:v>
                </c:pt>
                <c:pt idx="36">
                  <c:v>6.6753155472480874E-3</c:v>
                </c:pt>
                <c:pt idx="37">
                  <c:v>1.7399571233002901E-2</c:v>
                </c:pt>
                <c:pt idx="38">
                  <c:v>6.1955070586442867E-2</c:v>
                </c:pt>
                <c:pt idx="39">
                  <c:v>8.404056603836467E-2</c:v>
                </c:pt>
                <c:pt idx="40">
                  <c:v>9.6876891420316108E-2</c:v>
                </c:pt>
                <c:pt idx="41">
                  <c:v>9.4962020744311482E-2</c:v>
                </c:pt>
                <c:pt idx="42">
                  <c:v>9.963556652585577E-2</c:v>
                </c:pt>
                <c:pt idx="43">
                  <c:v>8.9626978325266782E-2</c:v>
                </c:pt>
                <c:pt idx="44">
                  <c:v>6.6046498591704736E-2</c:v>
                </c:pt>
                <c:pt idx="45">
                  <c:v>3.7469414477654707E-2</c:v>
                </c:pt>
                <c:pt idx="46">
                  <c:v>1.046932675470221E-2</c:v>
                </c:pt>
                <c:pt idx="47">
                  <c:v>6.2291646451968653E-3</c:v>
                </c:pt>
                <c:pt idx="48">
                  <c:v>1.2460694276862919E-2</c:v>
                </c:pt>
                <c:pt idx="49">
                  <c:v>3.4376404191763639E-2</c:v>
                </c:pt>
                <c:pt idx="50">
                  <c:v>5.6477968577058592E-2</c:v>
                </c:pt>
                <c:pt idx="51">
                  <c:v>0.1509467292684683</c:v>
                </c:pt>
                <c:pt idx="52">
                  <c:v>0.18600333743842001</c:v>
                </c:pt>
                <c:pt idx="53">
                  <c:v>0.21892573712946101</c:v>
                </c:pt>
                <c:pt idx="54">
                  <c:v>0.18929524056345021</c:v>
                </c:pt>
                <c:pt idx="55">
                  <c:v>0.1493297980639493</c:v>
                </c:pt>
                <c:pt idx="56">
                  <c:v>0.13191654386548721</c:v>
                </c:pt>
                <c:pt idx="57">
                  <c:v>4.2864886456730103E-2</c:v>
                </c:pt>
                <c:pt idx="58">
                  <c:v>1.6003493537152379E-2</c:v>
                </c:pt>
                <c:pt idx="59">
                  <c:v>6.3905046726965339E-3</c:v>
                </c:pt>
                <c:pt idx="60">
                  <c:v>1.3417186050607519E-2</c:v>
                </c:pt>
                <c:pt idx="61">
                  <c:v>2.6436223837926501E-2</c:v>
                </c:pt>
                <c:pt idx="62">
                  <c:v>6.6233973400350477E-2</c:v>
                </c:pt>
                <c:pt idx="63">
                  <c:v>0.1084169878649764</c:v>
                </c:pt>
                <c:pt idx="64">
                  <c:v>0.18887031649880051</c:v>
                </c:pt>
                <c:pt idx="65">
                  <c:v>0.1715230569234828</c:v>
                </c:pt>
                <c:pt idx="66">
                  <c:v>0.1809062055635286</c:v>
                </c:pt>
                <c:pt idx="67">
                  <c:v>0.15512153111725799</c:v>
                </c:pt>
                <c:pt idx="68">
                  <c:v>0.1275567235314205</c:v>
                </c:pt>
                <c:pt idx="69">
                  <c:v>6.2873767847415107E-2</c:v>
                </c:pt>
                <c:pt idx="70">
                  <c:v>1.780902737610289E-2</c:v>
                </c:pt>
                <c:pt idx="71">
                  <c:v>6.7857975683456679E-3</c:v>
                </c:pt>
                <c:pt idx="72">
                  <c:v>1.366055484422285E-2</c:v>
                </c:pt>
                <c:pt idx="73">
                  <c:v>4.3419934817177687E-2</c:v>
                </c:pt>
                <c:pt idx="74">
                  <c:v>0.1120694547038418</c:v>
                </c:pt>
                <c:pt idx="75">
                  <c:v>0.14827548756052711</c:v>
                </c:pt>
                <c:pt idx="76">
                  <c:v>0.19244468175967161</c:v>
                </c:pt>
                <c:pt idx="77">
                  <c:v>0.18784829238523279</c:v>
                </c:pt>
                <c:pt idx="78">
                  <c:v>0.21828188848241209</c:v>
                </c:pt>
                <c:pt idx="79">
                  <c:v>0.19011684012808119</c:v>
                </c:pt>
                <c:pt idx="80">
                  <c:v>0.13816152724517919</c:v>
                </c:pt>
                <c:pt idx="81">
                  <c:v>6.9462071202051626E-2</c:v>
                </c:pt>
                <c:pt idx="82">
                  <c:v>2.6604970402147529E-2</c:v>
                </c:pt>
                <c:pt idx="83">
                  <c:v>1.40253486520015E-2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055-3B46-84E2-50DF32BA848D}"/>
            </c:ext>
          </c:extLst>
        </c:ser>
        <c:ser>
          <c:idx val="1"/>
          <c:order val="1"/>
          <c:tx>
            <c:strRef>
              <c:f>'Capture Price Inputs'!$G$1</c:f>
              <c:strCache>
                <c:ptCount val="1"/>
                <c:pt idx="0">
                  <c:v>DK2 Solar Penetration (%) — Robustness</c:v>
                </c:pt>
              </c:strCache>
            </c:strRef>
          </c:tx>
          <c:spPr>
            <a:ln>
              <a:solidFill>
                <a:srgbClr val="FFD700"/>
              </a:solidFill>
              <a:prstDash val="solid"/>
            </a:ln>
          </c:spPr>
          <c:marker>
            <c:symbol val="none"/>
          </c:marker>
          <c:val>
            <c:numRef>
              <c:f>'Capture Price Inputs'!$G$2:$G$85</c:f>
              <c:numCache>
                <c:formatCode>General</c:formatCode>
                <c:ptCount val="84"/>
                <c:pt idx="12">
                  <c:v>1.864323044087839E-3</c:v>
                </c:pt>
                <c:pt idx="13">
                  <c:v>4.9613393448072352E-3</c:v>
                </c:pt>
                <c:pt idx="14">
                  <c:v>1.532033335337761E-2</c:v>
                </c:pt>
                <c:pt idx="15">
                  <c:v>2.6180595134545931E-2</c:v>
                </c:pt>
                <c:pt idx="16">
                  <c:v>3.2240930774166239E-2</c:v>
                </c:pt>
                <c:pt idx="17">
                  <c:v>3.0651812088155841E-2</c:v>
                </c:pt>
                <c:pt idx="18">
                  <c:v>2.998206800974695E-2</c:v>
                </c:pt>
                <c:pt idx="19">
                  <c:v>2.8034713414307081E-2</c:v>
                </c:pt>
                <c:pt idx="20">
                  <c:v>2.1736479101595249E-2</c:v>
                </c:pt>
                <c:pt idx="21">
                  <c:v>1.107911770574695E-2</c:v>
                </c:pt>
                <c:pt idx="22">
                  <c:v>1.1044611578332841E-4</c:v>
                </c:pt>
                <c:pt idx="23">
                  <c:v>5.6352433584062588E-6</c:v>
                </c:pt>
                <c:pt idx="24">
                  <c:v>3.104474131982996E-3</c:v>
                </c:pt>
                <c:pt idx="25">
                  <c:v>9.2483369487723587E-3</c:v>
                </c:pt>
                <c:pt idx="26">
                  <c:v>1.8474517045212829E-2</c:v>
                </c:pt>
                <c:pt idx="27">
                  <c:v>3.2694407483312787E-2</c:v>
                </c:pt>
                <c:pt idx="28">
                  <c:v>3.2945829294540187E-2</c:v>
                </c:pt>
                <c:pt idx="29">
                  <c:v>4.4480133140056069E-2</c:v>
                </c:pt>
                <c:pt idx="30">
                  <c:v>3.7049542537302173E-2</c:v>
                </c:pt>
                <c:pt idx="31">
                  <c:v>3.1857768834261987E-2</c:v>
                </c:pt>
                <c:pt idx="32">
                  <c:v>2.23981137027396E-2</c:v>
                </c:pt>
                <c:pt idx="33">
                  <c:v>1.267326343754744E-2</c:v>
                </c:pt>
                <c:pt idx="34">
                  <c:v>4.0132810857910267E-3</c:v>
                </c:pt>
                <c:pt idx="35">
                  <c:v>1.8226295838260991E-3</c:v>
                </c:pt>
                <c:pt idx="36">
                  <c:v>4.939556742877535E-3</c:v>
                </c:pt>
                <c:pt idx="37">
                  <c:v>1.3248485586698279E-2</c:v>
                </c:pt>
                <c:pt idx="38">
                  <c:v>3.4089330349121053E-2</c:v>
                </c:pt>
                <c:pt idx="39">
                  <c:v>5.5254436099578648E-2</c:v>
                </c:pt>
                <c:pt idx="40">
                  <c:v>6.5811459960859395E-2</c:v>
                </c:pt>
                <c:pt idx="41">
                  <c:v>6.4528229045867816E-2</c:v>
                </c:pt>
                <c:pt idx="42">
                  <c:v>6.7025803801952916E-2</c:v>
                </c:pt>
                <c:pt idx="43">
                  <c:v>6.1299924397195817E-2</c:v>
                </c:pt>
                <c:pt idx="44">
                  <c:v>4.5784276103507021E-2</c:v>
                </c:pt>
                <c:pt idx="45">
                  <c:v>2.9809058027035401E-2</c:v>
                </c:pt>
                <c:pt idx="46">
                  <c:v>7.8652952619005494E-3</c:v>
                </c:pt>
                <c:pt idx="47">
                  <c:v>4.5323555529735481E-3</c:v>
                </c:pt>
                <c:pt idx="48">
                  <c:v>5.8626527231366082E-3</c:v>
                </c:pt>
                <c:pt idx="49">
                  <c:v>1.8877648418373551E-2</c:v>
                </c:pt>
                <c:pt idx="50">
                  <c:v>3.7096229392005707E-2</c:v>
                </c:pt>
                <c:pt idx="51">
                  <c:v>8.0269966033824955E-2</c:v>
                </c:pt>
                <c:pt idx="52">
                  <c:v>0.1080032082802261</c:v>
                </c:pt>
                <c:pt idx="53">
                  <c:v>0.1144244665352921</c:v>
                </c:pt>
                <c:pt idx="54">
                  <c:v>0.10203074507159759</c:v>
                </c:pt>
                <c:pt idx="55">
                  <c:v>7.7931010532967707E-2</c:v>
                </c:pt>
                <c:pt idx="56">
                  <c:v>8.0909954639318743E-2</c:v>
                </c:pt>
                <c:pt idx="57">
                  <c:v>2.9172340215594381E-2</c:v>
                </c:pt>
                <c:pt idx="58">
                  <c:v>1.04098691216888E-2</c:v>
                </c:pt>
                <c:pt idx="59">
                  <c:v>3.809030164374855E-3</c:v>
                </c:pt>
                <c:pt idx="60">
                  <c:v>6.1781830729755079E-3</c:v>
                </c:pt>
                <c:pt idx="61">
                  <c:v>1.667231366864759E-2</c:v>
                </c:pt>
                <c:pt idx="62">
                  <c:v>4.1112806367337662E-2</c:v>
                </c:pt>
                <c:pt idx="63">
                  <c:v>6.5123378744806448E-2</c:v>
                </c:pt>
                <c:pt idx="64">
                  <c:v>0.106315341440858</c:v>
                </c:pt>
                <c:pt idx="65">
                  <c:v>0.1072729076610999</c:v>
                </c:pt>
                <c:pt idx="66">
                  <c:v>0.1057942634887733</c:v>
                </c:pt>
                <c:pt idx="67">
                  <c:v>9.3690832268705199E-2</c:v>
                </c:pt>
                <c:pt idx="68">
                  <c:v>7.2463202820400169E-2</c:v>
                </c:pt>
                <c:pt idx="69">
                  <c:v>3.6145253892379881E-2</c:v>
                </c:pt>
                <c:pt idx="70">
                  <c:v>8.6028414054236078E-3</c:v>
                </c:pt>
                <c:pt idx="71">
                  <c:v>4.1714684657767577E-3</c:v>
                </c:pt>
                <c:pt idx="72">
                  <c:v>7.223240212576967E-3</c:v>
                </c:pt>
                <c:pt idx="73">
                  <c:v>2.010831138567791E-2</c:v>
                </c:pt>
                <c:pt idx="74">
                  <c:v>4.6547866447452589E-2</c:v>
                </c:pt>
                <c:pt idx="75">
                  <c:v>7.1689783649061992E-2</c:v>
                </c:pt>
                <c:pt idx="76">
                  <c:v>9.4714127256233946E-2</c:v>
                </c:pt>
                <c:pt idx="77">
                  <c:v>9.9826250015510765E-2</c:v>
                </c:pt>
                <c:pt idx="78">
                  <c:v>9.3996419418699143E-2</c:v>
                </c:pt>
                <c:pt idx="79">
                  <c:v>0.1057378118957395</c:v>
                </c:pt>
                <c:pt idx="80">
                  <c:v>9.0628879686523764E-2</c:v>
                </c:pt>
                <c:pt idx="81">
                  <c:v>3.9573125678626628E-2</c:v>
                </c:pt>
                <c:pt idx="82">
                  <c:v>1.454364344794783E-2</c:v>
                </c:pt>
                <c:pt idx="83">
                  <c:v>9.0694911608833299E-3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055-3B46-84E2-50DF32BA84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Solar Penetration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Capture Price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Inputs'!$H$1</c:f>
              <c:strCache>
                <c:ptCount val="1"/>
                <c:pt idx="0">
                  <c:v>DK1 Capture Price (EUR/MWh)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Inputs'!$H$2:$H$85</c:f>
              <c:numCache>
                <c:formatCode>General</c:formatCode>
                <c:ptCount val="84"/>
                <c:pt idx="12">
                  <c:v>25.22320957280251</c:v>
                </c:pt>
                <c:pt idx="13">
                  <c:v>22.83581899109792</c:v>
                </c:pt>
                <c:pt idx="14">
                  <c:v>15.94107348554973</c:v>
                </c:pt>
                <c:pt idx="15">
                  <c:v>10.36487590420421</c:v>
                </c:pt>
                <c:pt idx="16">
                  <c:v>15.478548945086001</c:v>
                </c:pt>
                <c:pt idx="17">
                  <c:v>27.313308227868689</c:v>
                </c:pt>
                <c:pt idx="18">
                  <c:v>24.831745178109159</c:v>
                </c:pt>
                <c:pt idx="19">
                  <c:v>33.876915422047851</c:v>
                </c:pt>
                <c:pt idx="20">
                  <c:v>38.935979003379593</c:v>
                </c:pt>
                <c:pt idx="21">
                  <c:v>31.927741533059191</c:v>
                </c:pt>
                <c:pt idx="22">
                  <c:v>26.005993265993261</c:v>
                </c:pt>
                <c:pt idx="23">
                  <c:v>34.795161290322582</c:v>
                </c:pt>
                <c:pt idx="24">
                  <c:v>55.422967607277918</c:v>
                </c:pt>
                <c:pt idx="25">
                  <c:v>47.542610979142587</c:v>
                </c:pt>
                <c:pt idx="26">
                  <c:v>44.550700915805493</c:v>
                </c:pt>
                <c:pt idx="27">
                  <c:v>43.594739828473003</c:v>
                </c:pt>
                <c:pt idx="28">
                  <c:v>47.655870575001217</c:v>
                </c:pt>
                <c:pt idx="29">
                  <c:v>70.543547911111062</c:v>
                </c:pt>
                <c:pt idx="30">
                  <c:v>78.568319747758608</c:v>
                </c:pt>
                <c:pt idx="31">
                  <c:v>81.983351136401794</c:v>
                </c:pt>
                <c:pt idx="32">
                  <c:v>116.20022495544841</c:v>
                </c:pt>
                <c:pt idx="33">
                  <c:v>126.53039520323949</c:v>
                </c:pt>
                <c:pt idx="34">
                  <c:v>160.77058330102949</c:v>
                </c:pt>
                <c:pt idx="35">
                  <c:v>228.8621705579358</c:v>
                </c:pt>
                <c:pt idx="36">
                  <c:v>123.20125067917191</c:v>
                </c:pt>
                <c:pt idx="37">
                  <c:v>117.67077903546</c:v>
                </c:pt>
                <c:pt idx="38">
                  <c:v>191.50807173506701</c:v>
                </c:pt>
                <c:pt idx="39">
                  <c:v>145.70138715926041</c:v>
                </c:pt>
                <c:pt idx="40">
                  <c:v>149.4185612445558</c:v>
                </c:pt>
                <c:pt idx="41">
                  <c:v>194.71103409481981</c:v>
                </c:pt>
                <c:pt idx="42">
                  <c:v>239.3981525107354</c:v>
                </c:pt>
                <c:pt idx="43">
                  <c:v>419.79263722660602</c:v>
                </c:pt>
                <c:pt idx="44">
                  <c:v>310.70739927266709</c:v>
                </c:pt>
                <c:pt idx="45">
                  <c:v>125.6295598680838</c:v>
                </c:pt>
                <c:pt idx="46">
                  <c:v>131.7111886265582</c:v>
                </c:pt>
                <c:pt idx="47">
                  <c:v>282.82379374207261</c:v>
                </c:pt>
                <c:pt idx="48">
                  <c:v>138.52998868426329</c:v>
                </c:pt>
                <c:pt idx="49">
                  <c:v>109.87697572135031</c:v>
                </c:pt>
                <c:pt idx="50">
                  <c:v>93.774190940695377</c:v>
                </c:pt>
                <c:pt idx="51">
                  <c:v>76.25042822265543</c:v>
                </c:pt>
                <c:pt idx="52">
                  <c:v>50.543487760082613</c:v>
                </c:pt>
                <c:pt idx="53">
                  <c:v>74.888982776218057</c:v>
                </c:pt>
                <c:pt idx="54">
                  <c:v>52.095599438463452</c:v>
                </c:pt>
                <c:pt idx="55">
                  <c:v>74.180426039978187</c:v>
                </c:pt>
                <c:pt idx="56">
                  <c:v>68.116869623396937</c:v>
                </c:pt>
                <c:pt idx="57">
                  <c:v>50.539090519702853</c:v>
                </c:pt>
                <c:pt idx="58">
                  <c:v>90.680805562425178</c:v>
                </c:pt>
                <c:pt idx="59">
                  <c:v>63.455327688788032</c:v>
                </c:pt>
                <c:pt idx="60">
                  <c:v>78.571316441678306</c:v>
                </c:pt>
                <c:pt idx="61">
                  <c:v>59.479486768055089</c:v>
                </c:pt>
                <c:pt idx="62">
                  <c:v>51.269783241554933</c:v>
                </c:pt>
                <c:pt idx="63">
                  <c:v>49.383940562011212</c:v>
                </c:pt>
                <c:pt idx="64">
                  <c:v>35.894148271408874</c:v>
                </c:pt>
                <c:pt idx="65">
                  <c:v>47.037633727397647</c:v>
                </c:pt>
                <c:pt idx="66">
                  <c:v>42.521773223099522</c:v>
                </c:pt>
                <c:pt idx="67">
                  <c:v>52.17121747504909</c:v>
                </c:pt>
                <c:pt idx="68">
                  <c:v>45.647504626217007</c:v>
                </c:pt>
                <c:pt idx="69">
                  <c:v>58.441583787091993</c:v>
                </c:pt>
                <c:pt idx="70">
                  <c:v>97.582352616331917</c:v>
                </c:pt>
                <c:pt idx="71">
                  <c:v>92.073217693833982</c:v>
                </c:pt>
                <c:pt idx="72">
                  <c:v>111.1945655985155</c:v>
                </c:pt>
                <c:pt idx="73">
                  <c:v>105.41315973788279</c:v>
                </c:pt>
                <c:pt idx="74">
                  <c:v>57.84566339627056</c:v>
                </c:pt>
                <c:pt idx="75">
                  <c:v>45.844395770687349</c:v>
                </c:pt>
                <c:pt idx="76">
                  <c:v>40.065667394009381</c:v>
                </c:pt>
                <c:pt idx="77">
                  <c:v>33.493381965196598</c:v>
                </c:pt>
                <c:pt idx="78">
                  <c:v>61.32224821093979</c:v>
                </c:pt>
                <c:pt idx="79">
                  <c:v>47.755824567457559</c:v>
                </c:pt>
                <c:pt idx="80">
                  <c:v>49.429094996057238</c:v>
                </c:pt>
                <c:pt idx="81">
                  <c:v>74.266634537895257</c:v>
                </c:pt>
                <c:pt idx="82">
                  <c:v>95.564531802521344</c:v>
                </c:pt>
                <c:pt idx="83">
                  <c:v>80.958034242780258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FE5-1B4D-AB2C-2A4461D84C30}"/>
            </c:ext>
          </c:extLst>
        </c:ser>
        <c:ser>
          <c:idx val="1"/>
          <c:order val="1"/>
          <c:tx>
            <c:strRef>
              <c:f>'Capture Price Inputs'!$I$1</c:f>
              <c:strCache>
                <c:ptCount val="1"/>
                <c:pt idx="0">
                  <c:v>DK2 Capture Price (EUR/MWh)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'Capture Price Inputs'!$I$2:$I$85</c:f>
              <c:numCache>
                <c:formatCode>General</c:formatCode>
                <c:ptCount val="84"/>
                <c:pt idx="12">
                  <c:v>29.86213642213642</c:v>
                </c:pt>
                <c:pt idx="13">
                  <c:v>23.555517829721889</c:v>
                </c:pt>
                <c:pt idx="14">
                  <c:v>17.149050692261021</c:v>
                </c:pt>
                <c:pt idx="15">
                  <c:v>13.252523128367081</c:v>
                </c:pt>
                <c:pt idx="16">
                  <c:v>18.594049382716051</c:v>
                </c:pt>
                <c:pt idx="17">
                  <c:v>35.21078005032583</c:v>
                </c:pt>
                <c:pt idx="18">
                  <c:v>26.450778046867001</c:v>
                </c:pt>
                <c:pt idx="19">
                  <c:v>44.113765015404859</c:v>
                </c:pt>
                <c:pt idx="20">
                  <c:v>41.853047880870562</c:v>
                </c:pt>
                <c:pt idx="21">
                  <c:v>33.600878372903331</c:v>
                </c:pt>
                <c:pt idx="22">
                  <c:v>37.749765625000002</c:v>
                </c:pt>
                <c:pt idx="23">
                  <c:v>44.191428571428567</c:v>
                </c:pt>
                <c:pt idx="24">
                  <c:v>57.072134410081453</c:v>
                </c:pt>
                <c:pt idx="25">
                  <c:v>52.285083654524577</c:v>
                </c:pt>
                <c:pt idx="26">
                  <c:v>47.422643011897812</c:v>
                </c:pt>
                <c:pt idx="27">
                  <c:v>45.901363748248833</c:v>
                </c:pt>
                <c:pt idx="28">
                  <c:v>50.258720231460799</c:v>
                </c:pt>
                <c:pt idx="29">
                  <c:v>69.469341653776226</c:v>
                </c:pt>
                <c:pt idx="30">
                  <c:v>77.933111551394319</c:v>
                </c:pt>
                <c:pt idx="31">
                  <c:v>84.512747690257029</c:v>
                </c:pt>
                <c:pt idx="32">
                  <c:v>118.7457227855615</c:v>
                </c:pt>
                <c:pt idx="33">
                  <c:v>122.3841235967906</c:v>
                </c:pt>
                <c:pt idx="34">
                  <c:v>153.62679427815749</c:v>
                </c:pt>
                <c:pt idx="35">
                  <c:v>244.48727859764409</c:v>
                </c:pt>
                <c:pt idx="36">
                  <c:v>129.67749023150819</c:v>
                </c:pt>
                <c:pt idx="37">
                  <c:v>108.80333899256409</c:v>
                </c:pt>
                <c:pt idx="38">
                  <c:v>186.0504424586062</c:v>
                </c:pt>
                <c:pt idx="39">
                  <c:v>143.53758886421849</c:v>
                </c:pt>
                <c:pt idx="40">
                  <c:v>146.25360234460331</c:v>
                </c:pt>
                <c:pt idx="41">
                  <c:v>192.2325905808319</c:v>
                </c:pt>
                <c:pt idx="42">
                  <c:v>212.3625858003895</c:v>
                </c:pt>
                <c:pt idx="43">
                  <c:v>397.17988485976059</c:v>
                </c:pt>
                <c:pt idx="44">
                  <c:v>315.92884279677901</c:v>
                </c:pt>
                <c:pt idx="45">
                  <c:v>120.1190076327392</c:v>
                </c:pt>
                <c:pt idx="46">
                  <c:v>134.0399027878758</c:v>
                </c:pt>
                <c:pt idx="47">
                  <c:v>303.26978481668573</c:v>
                </c:pt>
                <c:pt idx="48">
                  <c:v>120.8992864784306</c:v>
                </c:pt>
                <c:pt idx="49">
                  <c:v>103.112625406295</c:v>
                </c:pt>
                <c:pt idx="50">
                  <c:v>89.098468921641697</c:v>
                </c:pt>
                <c:pt idx="51">
                  <c:v>71.125099705594195</c:v>
                </c:pt>
                <c:pt idx="52">
                  <c:v>48.358083796456327</c:v>
                </c:pt>
                <c:pt idx="53">
                  <c:v>71.862090372222397</c:v>
                </c:pt>
                <c:pt idx="54">
                  <c:v>50.345966617092351</c:v>
                </c:pt>
                <c:pt idx="55">
                  <c:v>72.957992347987414</c:v>
                </c:pt>
                <c:pt idx="56">
                  <c:v>64.394484672464898</c:v>
                </c:pt>
                <c:pt idx="57">
                  <c:v>47.660255094286853</c:v>
                </c:pt>
                <c:pt idx="58">
                  <c:v>84.639978605265995</c:v>
                </c:pt>
                <c:pt idx="59">
                  <c:v>59.061746333079718</c:v>
                </c:pt>
                <c:pt idx="60">
                  <c:v>76.427202535219209</c:v>
                </c:pt>
                <c:pt idx="61">
                  <c:v>51.434379196547752</c:v>
                </c:pt>
                <c:pt idx="62">
                  <c:v>50.751163813053438</c:v>
                </c:pt>
                <c:pt idx="63">
                  <c:v>47.053967904827999</c:v>
                </c:pt>
                <c:pt idx="64">
                  <c:v>34.295794113692892</c:v>
                </c:pt>
                <c:pt idx="65">
                  <c:v>46.379384034583367</c:v>
                </c:pt>
                <c:pt idx="66">
                  <c:v>38.812821969471173</c:v>
                </c:pt>
                <c:pt idx="67">
                  <c:v>47.151863118292532</c:v>
                </c:pt>
                <c:pt idx="68">
                  <c:v>43.355946350842189</c:v>
                </c:pt>
                <c:pt idx="69">
                  <c:v>59.534937630286556</c:v>
                </c:pt>
                <c:pt idx="70">
                  <c:v>89.611277477917284</c:v>
                </c:pt>
                <c:pt idx="71">
                  <c:v>100.7961313991171</c:v>
                </c:pt>
                <c:pt idx="72">
                  <c:v>115.0822593270056</c:v>
                </c:pt>
                <c:pt idx="73">
                  <c:v>106.92318207316821</c:v>
                </c:pt>
                <c:pt idx="74">
                  <c:v>50.018062961268747</c:v>
                </c:pt>
                <c:pt idx="75">
                  <c:v>41.82584156307518</c:v>
                </c:pt>
                <c:pt idx="76">
                  <c:v>34.320660344591218</c:v>
                </c:pt>
                <c:pt idx="77">
                  <c:v>24.31568572006325</c:v>
                </c:pt>
                <c:pt idx="78">
                  <c:v>59.766943882147693</c:v>
                </c:pt>
                <c:pt idx="79">
                  <c:v>43.064604783544858</c:v>
                </c:pt>
                <c:pt idx="80">
                  <c:v>52.949405153808357</c:v>
                </c:pt>
                <c:pt idx="81">
                  <c:v>78.645730322406678</c:v>
                </c:pt>
                <c:pt idx="82">
                  <c:v>92.690454871532665</c:v>
                </c:pt>
                <c:pt idx="83">
                  <c:v>79.631228022083661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FE5-1B4D-AB2C-2A4461D84C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Capture Price Ratio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Inputs'!$J$1</c:f>
              <c:strCache>
                <c:ptCount val="1"/>
                <c:pt idx="0">
                  <c:v>DK1 CPR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Inputs'!$J$2:$J$85</c:f>
              <c:numCache>
                <c:formatCode>General</c:formatCode>
                <c:ptCount val="84"/>
                <c:pt idx="12">
                  <c:v>1.0091486594474419</c:v>
                </c:pt>
                <c:pt idx="13">
                  <c:v>1.2985911686950511</c:v>
                </c:pt>
                <c:pt idx="14">
                  <c:v>0.8710146939215303</c:v>
                </c:pt>
                <c:pt idx="15">
                  <c:v>0.71315772558819213</c:v>
                </c:pt>
                <c:pt idx="16">
                  <c:v>0.96415576931205649</c:v>
                </c:pt>
                <c:pt idx="17">
                  <c:v>1.0394664137310941</c:v>
                </c:pt>
                <c:pt idx="18">
                  <c:v>1.0086181556608309</c:v>
                </c:pt>
                <c:pt idx="19">
                  <c:v>0.98082264407500741</c:v>
                </c:pt>
                <c:pt idx="20">
                  <c:v>1.0104044869130051</c:v>
                </c:pt>
                <c:pt idx="21">
                  <c:v>1.236802226812374</c:v>
                </c:pt>
                <c:pt idx="22">
                  <c:v>1.094777917215692</c:v>
                </c:pt>
                <c:pt idx="23">
                  <c:v>1.0082301641826621</c:v>
                </c:pt>
                <c:pt idx="24">
                  <c:v>1.103930861568265</c:v>
                </c:pt>
                <c:pt idx="25">
                  <c:v>1.0059479277054251</c:v>
                </c:pt>
                <c:pt idx="26">
                  <c:v>0.9871758725122356</c:v>
                </c:pt>
                <c:pt idx="27">
                  <c:v>0.90884647456650169</c:v>
                </c:pt>
                <c:pt idx="28">
                  <c:v>0.87751805187154364</c:v>
                </c:pt>
                <c:pt idx="29">
                  <c:v>0.95691427953473174</c:v>
                </c:pt>
                <c:pt idx="30">
                  <c:v>0.98211323715969778</c:v>
                </c:pt>
                <c:pt idx="31">
                  <c:v>0.99027147802450566</c:v>
                </c:pt>
                <c:pt idx="32">
                  <c:v>0.92690440483613579</c:v>
                </c:pt>
                <c:pt idx="33">
                  <c:v>1.0810885074134391</c:v>
                </c:pt>
                <c:pt idx="34">
                  <c:v>1.1338034085044659</c:v>
                </c:pt>
                <c:pt idx="35">
                  <c:v>1.2086769624549281</c:v>
                </c:pt>
                <c:pt idx="36">
                  <c:v>1.0441257304277269</c:v>
                </c:pt>
                <c:pt idx="37">
                  <c:v>1.04022281700981</c:v>
                </c:pt>
                <c:pt idx="38">
                  <c:v>0.81207759044207406</c:v>
                </c:pt>
                <c:pt idx="39">
                  <c:v>0.89039133384678326</c:v>
                </c:pt>
                <c:pt idx="40">
                  <c:v>0.86943016050498578</c:v>
                </c:pt>
                <c:pt idx="41">
                  <c:v>0.90803902012341908</c:v>
                </c:pt>
                <c:pt idx="42">
                  <c:v>0.87041791592949547</c:v>
                </c:pt>
                <c:pt idx="43">
                  <c:v>0.91908553046700026</c:v>
                </c:pt>
                <c:pt idx="44">
                  <c:v>0.90632901805683119</c:v>
                </c:pt>
                <c:pt idx="45">
                  <c:v>0.91612325253961768</c:v>
                </c:pt>
                <c:pt idx="46">
                  <c:v>0.94278612074660006</c:v>
                </c:pt>
                <c:pt idx="47">
                  <c:v>1.132810339248927</c:v>
                </c:pt>
                <c:pt idx="48">
                  <c:v>1.2309198691226539</c:v>
                </c:pt>
                <c:pt idx="49">
                  <c:v>0.93008781340266</c:v>
                </c:pt>
                <c:pt idx="50">
                  <c:v>0.94612539759598957</c:v>
                </c:pt>
                <c:pt idx="51">
                  <c:v>0.79203966120386338</c:v>
                </c:pt>
                <c:pt idx="52">
                  <c:v>0.68333610561519953</c:v>
                </c:pt>
                <c:pt idx="53">
                  <c:v>0.80965062086215667</c:v>
                </c:pt>
                <c:pt idx="54">
                  <c:v>0.80380421953260928</c:v>
                </c:pt>
                <c:pt idx="55">
                  <c:v>0.86289309777204071</c:v>
                </c:pt>
                <c:pt idx="56">
                  <c:v>0.8038389922187259</c:v>
                </c:pt>
                <c:pt idx="57">
                  <c:v>0.84083605560542263</c:v>
                </c:pt>
                <c:pt idx="58">
                  <c:v>1.028656893611996</c:v>
                </c:pt>
                <c:pt idx="59">
                  <c:v>0.91325607762876626</c:v>
                </c:pt>
                <c:pt idx="60">
                  <c:v>1.051614630458469</c:v>
                </c:pt>
                <c:pt idx="61">
                  <c:v>1.0144208291794441</c:v>
                </c:pt>
                <c:pt idx="62">
                  <c:v>0.8373818542217274</c:v>
                </c:pt>
                <c:pt idx="63">
                  <c:v>0.83468460161643787</c:v>
                </c:pt>
                <c:pt idx="64">
                  <c:v>0.61339845366508694</c:v>
                </c:pt>
                <c:pt idx="65">
                  <c:v>0.73781003223868646</c:v>
                </c:pt>
                <c:pt idx="66">
                  <c:v>0.68549949487061801</c:v>
                </c:pt>
                <c:pt idx="67">
                  <c:v>0.71512676219349525</c:v>
                </c:pt>
                <c:pt idx="68">
                  <c:v>0.63652522303957304</c:v>
                </c:pt>
                <c:pt idx="69">
                  <c:v>0.76175188075929667</c:v>
                </c:pt>
                <c:pt idx="70">
                  <c:v>1.0174940038611719</c:v>
                </c:pt>
                <c:pt idx="71">
                  <c:v>1.0025674160411211</c:v>
                </c:pt>
                <c:pt idx="72">
                  <c:v>1.135032584901597</c:v>
                </c:pt>
                <c:pt idx="73">
                  <c:v>0.93411665141872979</c:v>
                </c:pt>
                <c:pt idx="74">
                  <c:v>0.68579081688022481</c:v>
                </c:pt>
                <c:pt idx="75">
                  <c:v>0.60995353561832499</c:v>
                </c:pt>
                <c:pt idx="76">
                  <c:v>0.62375117423189408</c:v>
                </c:pt>
                <c:pt idx="77">
                  <c:v>0.56976432128633303</c:v>
                </c:pt>
                <c:pt idx="78">
                  <c:v>0.74058967108380014</c:v>
                </c:pt>
                <c:pt idx="79">
                  <c:v>0.64997112344594554</c:v>
                </c:pt>
                <c:pt idx="80">
                  <c:v>0.68273474898658593</c:v>
                </c:pt>
                <c:pt idx="81">
                  <c:v>0.94701517193480578</c:v>
                </c:pt>
                <c:pt idx="82">
                  <c:v>1.0289764309560969</c:v>
                </c:pt>
                <c:pt idx="83">
                  <c:v>0.98205388617926037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A7D-2B49-94F3-E2A475E718AD}"/>
            </c:ext>
          </c:extLst>
        </c:ser>
        <c:ser>
          <c:idx val="1"/>
          <c:order val="1"/>
          <c:tx>
            <c:strRef>
              <c:f>'Capture Price Inputs'!$K$1</c:f>
              <c:strCache>
                <c:ptCount val="1"/>
                <c:pt idx="0">
                  <c:v>DK2 CPR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'Capture Price Inputs'!$K$2:$K$85</c:f>
              <c:numCache>
                <c:formatCode>General</c:formatCode>
                <c:ptCount val="84"/>
                <c:pt idx="12">
                  <c:v>1.090446324793763</c:v>
                </c:pt>
                <c:pt idx="13">
                  <c:v>1.251821301318464</c:v>
                </c:pt>
                <c:pt idx="14">
                  <c:v>0.85520775851277109</c:v>
                </c:pt>
                <c:pt idx="15">
                  <c:v>0.76362023547871605</c:v>
                </c:pt>
                <c:pt idx="16">
                  <c:v>0.97636938233545278</c:v>
                </c:pt>
                <c:pt idx="17">
                  <c:v>1.180647007173951</c:v>
                </c:pt>
                <c:pt idx="18">
                  <c:v>1.021791049952987</c:v>
                </c:pt>
                <c:pt idx="19">
                  <c:v>1.077948442472481</c:v>
                </c:pt>
                <c:pt idx="20">
                  <c:v>1.0591890923358069</c:v>
                </c:pt>
                <c:pt idx="21">
                  <c:v>1.247549053102559</c:v>
                </c:pt>
                <c:pt idx="22">
                  <c:v>1.057080411727209</c:v>
                </c:pt>
                <c:pt idx="23">
                  <c:v>1.125691191699302</c:v>
                </c:pt>
                <c:pt idx="24">
                  <c:v>1.122164979814525</c:v>
                </c:pt>
                <c:pt idx="25">
                  <c:v>0.9585139857498034</c:v>
                </c:pt>
                <c:pt idx="26">
                  <c:v>1.0147741726503949</c:v>
                </c:pt>
                <c:pt idx="27">
                  <c:v>0.95901643664766134</c:v>
                </c:pt>
                <c:pt idx="28">
                  <c:v>0.91033887361171206</c:v>
                </c:pt>
                <c:pt idx="29">
                  <c:v>0.94404491874816343</c:v>
                </c:pt>
                <c:pt idx="30">
                  <c:v>0.95692856904650769</c:v>
                </c:pt>
                <c:pt idx="31">
                  <c:v>1.001768528067071</c:v>
                </c:pt>
                <c:pt idx="32">
                  <c:v>0.95838336990944806</c:v>
                </c:pt>
                <c:pt idx="33">
                  <c:v>1.1445012658471321</c:v>
                </c:pt>
                <c:pt idx="34">
                  <c:v>1.1264608571418011</c:v>
                </c:pt>
                <c:pt idx="35">
                  <c:v>1.279578427053047</c:v>
                </c:pt>
                <c:pt idx="36">
                  <c:v>1.1617546523412821</c:v>
                </c:pt>
                <c:pt idx="37">
                  <c:v>1.084871924613185</c:v>
                </c:pt>
                <c:pt idx="38">
                  <c:v>0.81629582758371144</c:v>
                </c:pt>
                <c:pt idx="39">
                  <c:v>0.93918048773921026</c:v>
                </c:pt>
                <c:pt idx="40">
                  <c:v>0.89914563143311954</c:v>
                </c:pt>
                <c:pt idx="41">
                  <c:v>0.90151367457475784</c:v>
                </c:pt>
                <c:pt idx="42">
                  <c:v>0.90956244496775596</c:v>
                </c:pt>
                <c:pt idx="43">
                  <c:v>0.8830756108422062</c:v>
                </c:pt>
                <c:pt idx="44">
                  <c:v>0.96085369829588263</c:v>
                </c:pt>
                <c:pt idx="45">
                  <c:v>0.87743541957368609</c:v>
                </c:pt>
                <c:pt idx="46">
                  <c:v>0.92404474391789948</c:v>
                </c:pt>
                <c:pt idx="47">
                  <c:v>1.2185280560697289</c:v>
                </c:pt>
                <c:pt idx="48">
                  <c:v>1.2118663236304299</c:v>
                </c:pt>
                <c:pt idx="49">
                  <c:v>1.0244781228159621</c:v>
                </c:pt>
                <c:pt idx="50">
                  <c:v>0.99223631219701203</c:v>
                </c:pt>
                <c:pt idx="51">
                  <c:v>0.85025873478203906</c:v>
                </c:pt>
                <c:pt idx="52">
                  <c:v>0.73101748270540212</c:v>
                </c:pt>
                <c:pt idx="53">
                  <c:v>0.78603819917365525</c:v>
                </c:pt>
                <c:pt idx="54">
                  <c:v>0.77170348712471282</c:v>
                </c:pt>
                <c:pt idx="55">
                  <c:v>0.84546104105698361</c:v>
                </c:pt>
                <c:pt idx="56">
                  <c:v>0.75329173308453345</c:v>
                </c:pt>
                <c:pt idx="57">
                  <c:v>0.83723449033464103</c:v>
                </c:pt>
                <c:pt idx="58">
                  <c:v>1.038705241708771</c:v>
                </c:pt>
                <c:pt idx="59">
                  <c:v>0.83326707575628478</c:v>
                </c:pt>
                <c:pt idx="60">
                  <c:v>0.97714487510792902</c:v>
                </c:pt>
                <c:pt idx="61">
                  <c:v>0.93991726033346112</c:v>
                </c:pt>
                <c:pt idx="62">
                  <c:v>0.8314293202728863</c:v>
                </c:pt>
                <c:pt idx="63">
                  <c:v>0.77805107456374178</c:v>
                </c:pt>
                <c:pt idx="64">
                  <c:v>0.59005563427075769</c:v>
                </c:pt>
                <c:pt idx="65">
                  <c:v>0.69439585691141426</c:v>
                </c:pt>
                <c:pt idx="66">
                  <c:v>0.61762838453946423</c:v>
                </c:pt>
                <c:pt idx="67">
                  <c:v>0.64934714792296455</c:v>
                </c:pt>
                <c:pt idx="68">
                  <c:v>0.61574801135475132</c:v>
                </c:pt>
                <c:pt idx="69">
                  <c:v>0.78000735067931948</c:v>
                </c:pt>
                <c:pt idx="70">
                  <c:v>0.94047799551015088</c:v>
                </c:pt>
                <c:pt idx="71">
                  <c:v>1.0870067185479459</c:v>
                </c:pt>
                <c:pt idx="72">
                  <c:v>1.1494003648079021</c:v>
                </c:pt>
                <c:pt idx="73">
                  <c:v>0.90662384271333907</c:v>
                </c:pt>
                <c:pt idx="74">
                  <c:v>0.60374116471580297</c:v>
                </c:pt>
                <c:pt idx="75">
                  <c:v>0.55174367988103734</c:v>
                </c:pt>
                <c:pt idx="76">
                  <c:v>0.54405946330729504</c:v>
                </c:pt>
                <c:pt idx="77">
                  <c:v>0.4307606652121766</c:v>
                </c:pt>
                <c:pt idx="78">
                  <c:v>0.74746341861966192</c:v>
                </c:pt>
                <c:pt idx="79">
                  <c:v>0.57178942343359873</c:v>
                </c:pt>
                <c:pt idx="80">
                  <c:v>0.63573160083367797</c:v>
                </c:pt>
                <c:pt idx="81">
                  <c:v>0.95480840081563045</c:v>
                </c:pt>
                <c:pt idx="82">
                  <c:v>0.98927251294969987</c:v>
                </c:pt>
                <c:pt idx="83">
                  <c:v>0.97014796253594149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A7D-2B49-94F3-E2A475E718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CPR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Solar Penetration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Inputs'!$F$1</c:f>
              <c:strCache>
                <c:ptCount val="1"/>
                <c:pt idx="0">
                  <c:v>DK1 Solar Penetration (%) — Primary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'Capture Price Inputs'!$F$2:$F$85</c:f>
              <c:numCache>
                <c:formatCode>General</c:formatCode>
                <c:ptCount val="84"/>
                <c:pt idx="12">
                  <c:v>2.2644478926294831E-3</c:v>
                </c:pt>
                <c:pt idx="13">
                  <c:v>5.2474520244822449E-3</c:v>
                </c:pt>
                <c:pt idx="14">
                  <c:v>2.020167759412729E-2</c:v>
                </c:pt>
                <c:pt idx="15">
                  <c:v>3.2427989612304697E-2</c:v>
                </c:pt>
                <c:pt idx="16">
                  <c:v>3.6080087237903569E-2</c:v>
                </c:pt>
                <c:pt idx="17">
                  <c:v>3.7413618831640891E-2</c:v>
                </c:pt>
                <c:pt idx="18">
                  <c:v>3.3998433859503921E-2</c:v>
                </c:pt>
                <c:pt idx="19">
                  <c:v>3.4224763142537661E-2</c:v>
                </c:pt>
                <c:pt idx="20">
                  <c:v>2.4330151939157239E-2</c:v>
                </c:pt>
                <c:pt idx="21">
                  <c:v>1.1490387549446779E-2</c:v>
                </c:pt>
                <c:pt idx="22">
                  <c:v>1.521101274151999E-4</c:v>
                </c:pt>
                <c:pt idx="23">
                  <c:v>1.472410662127807E-5</c:v>
                </c:pt>
                <c:pt idx="24">
                  <c:v>3.6313559990350909E-3</c:v>
                </c:pt>
                <c:pt idx="25">
                  <c:v>1.0868941718057299E-2</c:v>
                </c:pt>
                <c:pt idx="26">
                  <c:v>2.2382303907371628E-2</c:v>
                </c:pt>
                <c:pt idx="27">
                  <c:v>4.212837115783985E-2</c:v>
                </c:pt>
                <c:pt idx="28">
                  <c:v>3.3075052211960353E-2</c:v>
                </c:pt>
                <c:pt idx="29">
                  <c:v>4.9841661821819518E-2</c:v>
                </c:pt>
                <c:pt idx="30">
                  <c:v>4.85715434854639E-2</c:v>
                </c:pt>
                <c:pt idx="31">
                  <c:v>3.8876947944708702E-2</c:v>
                </c:pt>
                <c:pt idx="32">
                  <c:v>2.5932850179436289E-2</c:v>
                </c:pt>
                <c:pt idx="33">
                  <c:v>1.7460096431489061E-2</c:v>
                </c:pt>
                <c:pt idx="34">
                  <c:v>7.0293060058135041E-3</c:v>
                </c:pt>
                <c:pt idx="35">
                  <c:v>3.243365391886713E-3</c:v>
                </c:pt>
                <c:pt idx="36">
                  <c:v>6.6753155472480874E-3</c:v>
                </c:pt>
                <c:pt idx="37">
                  <c:v>1.7399571233002901E-2</c:v>
                </c:pt>
                <c:pt idx="38">
                  <c:v>6.1955070586442867E-2</c:v>
                </c:pt>
                <c:pt idx="39">
                  <c:v>8.404056603836467E-2</c:v>
                </c:pt>
                <c:pt idx="40">
                  <c:v>9.6876891420316108E-2</c:v>
                </c:pt>
                <c:pt idx="41">
                  <c:v>9.4962020744311482E-2</c:v>
                </c:pt>
                <c:pt idx="42">
                  <c:v>9.963556652585577E-2</c:v>
                </c:pt>
                <c:pt idx="43">
                  <c:v>8.9626978325266782E-2</c:v>
                </c:pt>
                <c:pt idx="44">
                  <c:v>6.6046498591704736E-2</c:v>
                </c:pt>
                <c:pt idx="45">
                  <c:v>3.7469414477654707E-2</c:v>
                </c:pt>
                <c:pt idx="46">
                  <c:v>1.046932675470221E-2</c:v>
                </c:pt>
                <c:pt idx="47">
                  <c:v>6.2291646451968653E-3</c:v>
                </c:pt>
                <c:pt idx="48">
                  <c:v>1.2460694276862919E-2</c:v>
                </c:pt>
                <c:pt idx="49">
                  <c:v>3.4376404191763639E-2</c:v>
                </c:pt>
                <c:pt idx="50">
                  <c:v>5.6477968577058592E-2</c:v>
                </c:pt>
                <c:pt idx="51">
                  <c:v>0.1509467292684683</c:v>
                </c:pt>
                <c:pt idx="52">
                  <c:v>0.18600333743842001</c:v>
                </c:pt>
                <c:pt idx="53">
                  <c:v>0.21892573712946101</c:v>
                </c:pt>
                <c:pt idx="54">
                  <c:v>0.18929524056345021</c:v>
                </c:pt>
                <c:pt idx="55">
                  <c:v>0.1493297980639493</c:v>
                </c:pt>
                <c:pt idx="56">
                  <c:v>0.13191654386548721</c:v>
                </c:pt>
                <c:pt idx="57">
                  <c:v>4.2864886456730103E-2</c:v>
                </c:pt>
                <c:pt idx="58">
                  <c:v>1.6003493537152379E-2</c:v>
                </c:pt>
                <c:pt idx="59">
                  <c:v>6.3905046726965339E-3</c:v>
                </c:pt>
                <c:pt idx="60">
                  <c:v>1.3417186050607519E-2</c:v>
                </c:pt>
                <c:pt idx="61">
                  <c:v>2.6436223837926501E-2</c:v>
                </c:pt>
                <c:pt idx="62">
                  <c:v>6.6233973400350477E-2</c:v>
                </c:pt>
                <c:pt idx="63">
                  <c:v>0.1084169878649764</c:v>
                </c:pt>
                <c:pt idx="64">
                  <c:v>0.18887031649880051</c:v>
                </c:pt>
                <c:pt idx="65">
                  <c:v>0.1715230569234828</c:v>
                </c:pt>
                <c:pt idx="66">
                  <c:v>0.1809062055635286</c:v>
                </c:pt>
                <c:pt idx="67">
                  <c:v>0.15512153111725799</c:v>
                </c:pt>
                <c:pt idx="68">
                  <c:v>0.1275567235314205</c:v>
                </c:pt>
                <c:pt idx="69">
                  <c:v>6.2873767847415107E-2</c:v>
                </c:pt>
                <c:pt idx="70">
                  <c:v>1.780902737610289E-2</c:v>
                </c:pt>
                <c:pt idx="71">
                  <c:v>6.7857975683456679E-3</c:v>
                </c:pt>
                <c:pt idx="72">
                  <c:v>1.366055484422285E-2</c:v>
                </c:pt>
                <c:pt idx="73">
                  <c:v>4.3419934817177687E-2</c:v>
                </c:pt>
                <c:pt idx="74">
                  <c:v>0.1120694547038418</c:v>
                </c:pt>
                <c:pt idx="75">
                  <c:v>0.14827548756052711</c:v>
                </c:pt>
                <c:pt idx="76">
                  <c:v>0.19244468175967161</c:v>
                </c:pt>
                <c:pt idx="77">
                  <c:v>0.18784829238523279</c:v>
                </c:pt>
                <c:pt idx="78">
                  <c:v>0.21828188848241209</c:v>
                </c:pt>
                <c:pt idx="79">
                  <c:v>0.19011684012808119</c:v>
                </c:pt>
                <c:pt idx="80">
                  <c:v>0.13816152724517919</c:v>
                </c:pt>
                <c:pt idx="81">
                  <c:v>6.9462071202051626E-2</c:v>
                </c:pt>
                <c:pt idx="82">
                  <c:v>2.6604970402147529E-2</c:v>
                </c:pt>
                <c:pt idx="83">
                  <c:v>1.40253486520015E-2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F77-264C-ABC1-E59743A565A7}"/>
            </c:ext>
          </c:extLst>
        </c:ser>
        <c:ser>
          <c:idx val="1"/>
          <c:order val="1"/>
          <c:tx>
            <c:strRef>
              <c:f>'Capture Price Inputs'!$G$1</c:f>
              <c:strCache>
                <c:ptCount val="1"/>
                <c:pt idx="0">
                  <c:v>DK2 Solar Penetration (%) — Robustness</c:v>
                </c:pt>
              </c:strCache>
            </c:strRef>
          </c:tx>
          <c:spPr>
            <a:ln>
              <a:solidFill>
                <a:srgbClr val="FFD700"/>
              </a:solidFill>
              <a:prstDash val="solid"/>
            </a:ln>
          </c:spPr>
          <c:marker>
            <c:symbol val="none"/>
          </c:marker>
          <c:val>
            <c:numRef>
              <c:f>'Capture Price Inputs'!$G$2:$G$85</c:f>
              <c:numCache>
                <c:formatCode>General</c:formatCode>
                <c:ptCount val="84"/>
                <c:pt idx="12">
                  <c:v>1.864323044087839E-3</c:v>
                </c:pt>
                <c:pt idx="13">
                  <c:v>4.9613393448072352E-3</c:v>
                </c:pt>
                <c:pt idx="14">
                  <c:v>1.532033335337761E-2</c:v>
                </c:pt>
                <c:pt idx="15">
                  <c:v>2.6180595134545931E-2</c:v>
                </c:pt>
                <c:pt idx="16">
                  <c:v>3.2240930774166239E-2</c:v>
                </c:pt>
                <c:pt idx="17">
                  <c:v>3.0651812088155841E-2</c:v>
                </c:pt>
                <c:pt idx="18">
                  <c:v>2.998206800974695E-2</c:v>
                </c:pt>
                <c:pt idx="19">
                  <c:v>2.8034713414307081E-2</c:v>
                </c:pt>
                <c:pt idx="20">
                  <c:v>2.1736479101595249E-2</c:v>
                </c:pt>
                <c:pt idx="21">
                  <c:v>1.107911770574695E-2</c:v>
                </c:pt>
                <c:pt idx="22">
                  <c:v>1.1044611578332841E-4</c:v>
                </c:pt>
                <c:pt idx="23">
                  <c:v>5.6352433584062588E-6</c:v>
                </c:pt>
                <c:pt idx="24">
                  <c:v>3.104474131982996E-3</c:v>
                </c:pt>
                <c:pt idx="25">
                  <c:v>9.2483369487723587E-3</c:v>
                </c:pt>
                <c:pt idx="26">
                  <c:v>1.8474517045212829E-2</c:v>
                </c:pt>
                <c:pt idx="27">
                  <c:v>3.2694407483312787E-2</c:v>
                </c:pt>
                <c:pt idx="28">
                  <c:v>3.2945829294540187E-2</c:v>
                </c:pt>
                <c:pt idx="29">
                  <c:v>4.4480133140056069E-2</c:v>
                </c:pt>
                <c:pt idx="30">
                  <c:v>3.7049542537302173E-2</c:v>
                </c:pt>
                <c:pt idx="31">
                  <c:v>3.1857768834261987E-2</c:v>
                </c:pt>
                <c:pt idx="32">
                  <c:v>2.23981137027396E-2</c:v>
                </c:pt>
                <c:pt idx="33">
                  <c:v>1.267326343754744E-2</c:v>
                </c:pt>
                <c:pt idx="34">
                  <c:v>4.0132810857910267E-3</c:v>
                </c:pt>
                <c:pt idx="35">
                  <c:v>1.8226295838260991E-3</c:v>
                </c:pt>
                <c:pt idx="36">
                  <c:v>4.939556742877535E-3</c:v>
                </c:pt>
                <c:pt idx="37">
                  <c:v>1.3248485586698279E-2</c:v>
                </c:pt>
                <c:pt idx="38">
                  <c:v>3.4089330349121053E-2</c:v>
                </c:pt>
                <c:pt idx="39">
                  <c:v>5.5254436099578648E-2</c:v>
                </c:pt>
                <c:pt idx="40">
                  <c:v>6.5811459960859395E-2</c:v>
                </c:pt>
                <c:pt idx="41">
                  <c:v>6.4528229045867816E-2</c:v>
                </c:pt>
                <c:pt idx="42">
                  <c:v>6.7025803801952916E-2</c:v>
                </c:pt>
                <c:pt idx="43">
                  <c:v>6.1299924397195817E-2</c:v>
                </c:pt>
                <c:pt idx="44">
                  <c:v>4.5784276103507021E-2</c:v>
                </c:pt>
                <c:pt idx="45">
                  <c:v>2.9809058027035401E-2</c:v>
                </c:pt>
                <c:pt idx="46">
                  <c:v>7.8652952619005494E-3</c:v>
                </c:pt>
                <c:pt idx="47">
                  <c:v>4.5323555529735481E-3</c:v>
                </c:pt>
                <c:pt idx="48">
                  <c:v>5.8626527231366082E-3</c:v>
                </c:pt>
                <c:pt idx="49">
                  <c:v>1.8877648418373551E-2</c:v>
                </c:pt>
                <c:pt idx="50">
                  <c:v>3.7096229392005707E-2</c:v>
                </c:pt>
                <c:pt idx="51">
                  <c:v>8.0269966033824955E-2</c:v>
                </c:pt>
                <c:pt idx="52">
                  <c:v>0.1080032082802261</c:v>
                </c:pt>
                <c:pt idx="53">
                  <c:v>0.1144244665352921</c:v>
                </c:pt>
                <c:pt idx="54">
                  <c:v>0.10203074507159759</c:v>
                </c:pt>
                <c:pt idx="55">
                  <c:v>7.7931010532967707E-2</c:v>
                </c:pt>
                <c:pt idx="56">
                  <c:v>8.0909954639318743E-2</c:v>
                </c:pt>
                <c:pt idx="57">
                  <c:v>2.9172340215594381E-2</c:v>
                </c:pt>
                <c:pt idx="58">
                  <c:v>1.04098691216888E-2</c:v>
                </c:pt>
                <c:pt idx="59">
                  <c:v>3.809030164374855E-3</c:v>
                </c:pt>
                <c:pt idx="60">
                  <c:v>6.1781830729755079E-3</c:v>
                </c:pt>
                <c:pt idx="61">
                  <c:v>1.667231366864759E-2</c:v>
                </c:pt>
                <c:pt idx="62">
                  <c:v>4.1112806367337662E-2</c:v>
                </c:pt>
                <c:pt idx="63">
                  <c:v>6.5123378744806448E-2</c:v>
                </c:pt>
                <c:pt idx="64">
                  <c:v>0.106315341440858</c:v>
                </c:pt>
                <c:pt idx="65">
                  <c:v>0.1072729076610999</c:v>
                </c:pt>
                <c:pt idx="66">
                  <c:v>0.1057942634887733</c:v>
                </c:pt>
                <c:pt idx="67">
                  <c:v>9.3690832268705199E-2</c:v>
                </c:pt>
                <c:pt idx="68">
                  <c:v>7.2463202820400169E-2</c:v>
                </c:pt>
                <c:pt idx="69">
                  <c:v>3.6145253892379881E-2</c:v>
                </c:pt>
                <c:pt idx="70">
                  <c:v>8.6028414054236078E-3</c:v>
                </c:pt>
                <c:pt idx="71">
                  <c:v>4.1714684657767577E-3</c:v>
                </c:pt>
                <c:pt idx="72">
                  <c:v>7.223240212576967E-3</c:v>
                </c:pt>
                <c:pt idx="73">
                  <c:v>2.010831138567791E-2</c:v>
                </c:pt>
                <c:pt idx="74">
                  <c:v>4.6547866447452589E-2</c:v>
                </c:pt>
                <c:pt idx="75">
                  <c:v>7.1689783649061992E-2</c:v>
                </c:pt>
                <c:pt idx="76">
                  <c:v>9.4714127256233946E-2</c:v>
                </c:pt>
                <c:pt idx="77">
                  <c:v>9.9826250015510765E-2</c:v>
                </c:pt>
                <c:pt idx="78">
                  <c:v>9.3996419418699143E-2</c:v>
                </c:pt>
                <c:pt idx="79">
                  <c:v>0.1057378118957395</c:v>
                </c:pt>
                <c:pt idx="80">
                  <c:v>9.0628879686523764E-2</c:v>
                </c:pt>
                <c:pt idx="81">
                  <c:v>3.9573125678626628E-2</c:v>
                </c:pt>
                <c:pt idx="82">
                  <c:v>1.454364344794783E-2</c:v>
                </c:pt>
                <c:pt idx="83">
                  <c:v>9.0694911608833299E-3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F77-264C-ABC1-E59743A565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Solar Penetration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Capture Price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Inputs'!$H$1</c:f>
              <c:strCache>
                <c:ptCount val="1"/>
                <c:pt idx="0">
                  <c:v>DK1 Capture Price (EUR/MWh)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Inputs'!$H$2:$H$85</c:f>
              <c:numCache>
                <c:formatCode>General</c:formatCode>
                <c:ptCount val="84"/>
                <c:pt idx="12">
                  <c:v>25.22320957280251</c:v>
                </c:pt>
                <c:pt idx="13">
                  <c:v>22.83581899109792</c:v>
                </c:pt>
                <c:pt idx="14">
                  <c:v>15.94107348554973</c:v>
                </c:pt>
                <c:pt idx="15">
                  <c:v>10.36487590420421</c:v>
                </c:pt>
                <c:pt idx="16">
                  <c:v>15.478548945086001</c:v>
                </c:pt>
                <c:pt idx="17">
                  <c:v>27.313308227868689</c:v>
                </c:pt>
                <c:pt idx="18">
                  <c:v>24.831745178109159</c:v>
                </c:pt>
                <c:pt idx="19">
                  <c:v>33.876915422047851</c:v>
                </c:pt>
                <c:pt idx="20">
                  <c:v>38.935979003379593</c:v>
                </c:pt>
                <c:pt idx="21">
                  <c:v>31.927741533059191</c:v>
                </c:pt>
                <c:pt idx="22">
                  <c:v>26.005993265993261</c:v>
                </c:pt>
                <c:pt idx="23">
                  <c:v>34.795161290322582</c:v>
                </c:pt>
                <c:pt idx="24">
                  <c:v>55.422967607277918</c:v>
                </c:pt>
                <c:pt idx="25">
                  <c:v>47.542610979142587</c:v>
                </c:pt>
                <c:pt idx="26">
                  <c:v>44.550700915805493</c:v>
                </c:pt>
                <c:pt idx="27">
                  <c:v>43.594739828473003</c:v>
                </c:pt>
                <c:pt idx="28">
                  <c:v>47.655870575001217</c:v>
                </c:pt>
                <c:pt idx="29">
                  <c:v>70.543547911111062</c:v>
                </c:pt>
                <c:pt idx="30">
                  <c:v>78.568319747758608</c:v>
                </c:pt>
                <c:pt idx="31">
                  <c:v>81.983351136401794</c:v>
                </c:pt>
                <c:pt idx="32">
                  <c:v>116.20022495544841</c:v>
                </c:pt>
                <c:pt idx="33">
                  <c:v>126.53039520323949</c:v>
                </c:pt>
                <c:pt idx="34">
                  <c:v>160.77058330102949</c:v>
                </c:pt>
                <c:pt idx="35">
                  <c:v>228.8621705579358</c:v>
                </c:pt>
                <c:pt idx="36">
                  <c:v>123.20125067917191</c:v>
                </c:pt>
                <c:pt idx="37">
                  <c:v>117.67077903546</c:v>
                </c:pt>
                <c:pt idx="38">
                  <c:v>191.50807173506701</c:v>
                </c:pt>
                <c:pt idx="39">
                  <c:v>145.70138715926041</c:v>
                </c:pt>
                <c:pt idx="40">
                  <c:v>149.4185612445558</c:v>
                </c:pt>
                <c:pt idx="41">
                  <c:v>194.71103409481981</c:v>
                </c:pt>
                <c:pt idx="42">
                  <c:v>239.3981525107354</c:v>
                </c:pt>
                <c:pt idx="43">
                  <c:v>419.79263722660602</c:v>
                </c:pt>
                <c:pt idx="44">
                  <c:v>310.70739927266709</c:v>
                </c:pt>
                <c:pt idx="45">
                  <c:v>125.6295598680838</c:v>
                </c:pt>
                <c:pt idx="46">
                  <c:v>131.7111886265582</c:v>
                </c:pt>
                <c:pt idx="47">
                  <c:v>282.82379374207261</c:v>
                </c:pt>
                <c:pt idx="48">
                  <c:v>138.52998868426329</c:v>
                </c:pt>
                <c:pt idx="49">
                  <c:v>109.87697572135031</c:v>
                </c:pt>
                <c:pt idx="50">
                  <c:v>93.774190940695377</c:v>
                </c:pt>
                <c:pt idx="51">
                  <c:v>76.25042822265543</c:v>
                </c:pt>
                <c:pt idx="52">
                  <c:v>50.543487760082613</c:v>
                </c:pt>
                <c:pt idx="53">
                  <c:v>74.888982776218057</c:v>
                </c:pt>
                <c:pt idx="54">
                  <c:v>52.095599438463452</c:v>
                </c:pt>
                <c:pt idx="55">
                  <c:v>74.180426039978187</c:v>
                </c:pt>
                <c:pt idx="56">
                  <c:v>68.116869623396937</c:v>
                </c:pt>
                <c:pt idx="57">
                  <c:v>50.539090519702853</c:v>
                </c:pt>
                <c:pt idx="58">
                  <c:v>90.680805562425178</c:v>
                </c:pt>
                <c:pt idx="59">
                  <c:v>63.455327688788032</c:v>
                </c:pt>
                <c:pt idx="60">
                  <c:v>78.571316441678306</c:v>
                </c:pt>
                <c:pt idx="61">
                  <c:v>59.479486768055089</c:v>
                </c:pt>
                <c:pt idx="62">
                  <c:v>51.269783241554933</c:v>
                </c:pt>
                <c:pt idx="63">
                  <c:v>49.383940562011212</c:v>
                </c:pt>
                <c:pt idx="64">
                  <c:v>35.894148271408874</c:v>
                </c:pt>
                <c:pt idx="65">
                  <c:v>47.037633727397647</c:v>
                </c:pt>
                <c:pt idx="66">
                  <c:v>42.521773223099522</c:v>
                </c:pt>
                <c:pt idx="67">
                  <c:v>52.17121747504909</c:v>
                </c:pt>
                <c:pt idx="68">
                  <c:v>45.647504626217007</c:v>
                </c:pt>
                <c:pt idx="69">
                  <c:v>58.441583787091993</c:v>
                </c:pt>
                <c:pt idx="70">
                  <c:v>97.582352616331917</c:v>
                </c:pt>
                <c:pt idx="71">
                  <c:v>92.073217693833982</c:v>
                </c:pt>
                <c:pt idx="72">
                  <c:v>111.1945655985155</c:v>
                </c:pt>
                <c:pt idx="73">
                  <c:v>105.41315973788279</c:v>
                </c:pt>
                <c:pt idx="74">
                  <c:v>57.84566339627056</c:v>
                </c:pt>
                <c:pt idx="75">
                  <c:v>45.844395770687349</c:v>
                </c:pt>
                <c:pt idx="76">
                  <c:v>40.065667394009381</c:v>
                </c:pt>
                <c:pt idx="77">
                  <c:v>33.493381965196598</c:v>
                </c:pt>
                <c:pt idx="78">
                  <c:v>61.32224821093979</c:v>
                </c:pt>
                <c:pt idx="79">
                  <c:v>47.755824567457559</c:v>
                </c:pt>
                <c:pt idx="80">
                  <c:v>49.429094996057238</c:v>
                </c:pt>
                <c:pt idx="81">
                  <c:v>74.266634537895257</c:v>
                </c:pt>
                <c:pt idx="82">
                  <c:v>95.564531802521344</c:v>
                </c:pt>
                <c:pt idx="83">
                  <c:v>80.958034242780258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A6C-C648-A53D-0E910264BD5A}"/>
            </c:ext>
          </c:extLst>
        </c:ser>
        <c:ser>
          <c:idx val="1"/>
          <c:order val="1"/>
          <c:tx>
            <c:strRef>
              <c:f>'Capture Price Inputs'!$I$1</c:f>
              <c:strCache>
                <c:ptCount val="1"/>
                <c:pt idx="0">
                  <c:v>DK2 Capture Price (EUR/MWh)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'Capture Price Inputs'!$I$2:$I$85</c:f>
              <c:numCache>
                <c:formatCode>General</c:formatCode>
                <c:ptCount val="84"/>
                <c:pt idx="12">
                  <c:v>29.86213642213642</c:v>
                </c:pt>
                <c:pt idx="13">
                  <c:v>23.555517829721889</c:v>
                </c:pt>
                <c:pt idx="14">
                  <c:v>17.149050692261021</c:v>
                </c:pt>
                <c:pt idx="15">
                  <c:v>13.252523128367081</c:v>
                </c:pt>
                <c:pt idx="16">
                  <c:v>18.594049382716051</c:v>
                </c:pt>
                <c:pt idx="17">
                  <c:v>35.21078005032583</c:v>
                </c:pt>
                <c:pt idx="18">
                  <c:v>26.450778046867001</c:v>
                </c:pt>
                <c:pt idx="19">
                  <c:v>44.113765015404859</c:v>
                </c:pt>
                <c:pt idx="20">
                  <c:v>41.853047880870562</c:v>
                </c:pt>
                <c:pt idx="21">
                  <c:v>33.600878372903331</c:v>
                </c:pt>
                <c:pt idx="22">
                  <c:v>37.749765625000002</c:v>
                </c:pt>
                <c:pt idx="23">
                  <c:v>44.191428571428567</c:v>
                </c:pt>
                <c:pt idx="24">
                  <c:v>57.072134410081453</c:v>
                </c:pt>
                <c:pt idx="25">
                  <c:v>52.285083654524577</c:v>
                </c:pt>
                <c:pt idx="26">
                  <c:v>47.422643011897812</c:v>
                </c:pt>
                <c:pt idx="27">
                  <c:v>45.901363748248833</c:v>
                </c:pt>
                <c:pt idx="28">
                  <c:v>50.258720231460799</c:v>
                </c:pt>
                <c:pt idx="29">
                  <c:v>69.469341653776226</c:v>
                </c:pt>
                <c:pt idx="30">
                  <c:v>77.933111551394319</c:v>
                </c:pt>
                <c:pt idx="31">
                  <c:v>84.512747690257029</c:v>
                </c:pt>
                <c:pt idx="32">
                  <c:v>118.7457227855615</c:v>
                </c:pt>
                <c:pt idx="33">
                  <c:v>122.3841235967906</c:v>
                </c:pt>
                <c:pt idx="34">
                  <c:v>153.62679427815749</c:v>
                </c:pt>
                <c:pt idx="35">
                  <c:v>244.48727859764409</c:v>
                </c:pt>
                <c:pt idx="36">
                  <c:v>129.67749023150819</c:v>
                </c:pt>
                <c:pt idx="37">
                  <c:v>108.80333899256409</c:v>
                </c:pt>
                <c:pt idx="38">
                  <c:v>186.0504424586062</c:v>
                </c:pt>
                <c:pt idx="39">
                  <c:v>143.53758886421849</c:v>
                </c:pt>
                <c:pt idx="40">
                  <c:v>146.25360234460331</c:v>
                </c:pt>
                <c:pt idx="41">
                  <c:v>192.2325905808319</c:v>
                </c:pt>
                <c:pt idx="42">
                  <c:v>212.3625858003895</c:v>
                </c:pt>
                <c:pt idx="43">
                  <c:v>397.17988485976059</c:v>
                </c:pt>
                <c:pt idx="44">
                  <c:v>315.92884279677901</c:v>
                </c:pt>
                <c:pt idx="45">
                  <c:v>120.1190076327392</c:v>
                </c:pt>
                <c:pt idx="46">
                  <c:v>134.0399027878758</c:v>
                </c:pt>
                <c:pt idx="47">
                  <c:v>303.26978481668573</c:v>
                </c:pt>
                <c:pt idx="48">
                  <c:v>120.8992864784306</c:v>
                </c:pt>
                <c:pt idx="49">
                  <c:v>103.112625406295</c:v>
                </c:pt>
                <c:pt idx="50">
                  <c:v>89.098468921641697</c:v>
                </c:pt>
                <c:pt idx="51">
                  <c:v>71.125099705594195</c:v>
                </c:pt>
                <c:pt idx="52">
                  <c:v>48.358083796456327</c:v>
                </c:pt>
                <c:pt idx="53">
                  <c:v>71.862090372222397</c:v>
                </c:pt>
                <c:pt idx="54">
                  <c:v>50.345966617092351</c:v>
                </c:pt>
                <c:pt idx="55">
                  <c:v>72.957992347987414</c:v>
                </c:pt>
                <c:pt idx="56">
                  <c:v>64.394484672464898</c:v>
                </c:pt>
                <c:pt idx="57">
                  <c:v>47.660255094286853</c:v>
                </c:pt>
                <c:pt idx="58">
                  <c:v>84.639978605265995</c:v>
                </c:pt>
                <c:pt idx="59">
                  <c:v>59.061746333079718</c:v>
                </c:pt>
                <c:pt idx="60">
                  <c:v>76.427202535219209</c:v>
                </c:pt>
                <c:pt idx="61">
                  <c:v>51.434379196547752</c:v>
                </c:pt>
                <c:pt idx="62">
                  <c:v>50.751163813053438</c:v>
                </c:pt>
                <c:pt idx="63">
                  <c:v>47.053967904827999</c:v>
                </c:pt>
                <c:pt idx="64">
                  <c:v>34.295794113692892</c:v>
                </c:pt>
                <c:pt idx="65">
                  <c:v>46.379384034583367</c:v>
                </c:pt>
                <c:pt idx="66">
                  <c:v>38.812821969471173</c:v>
                </c:pt>
                <c:pt idx="67">
                  <c:v>47.151863118292532</c:v>
                </c:pt>
                <c:pt idx="68">
                  <c:v>43.355946350842189</c:v>
                </c:pt>
                <c:pt idx="69">
                  <c:v>59.534937630286556</c:v>
                </c:pt>
                <c:pt idx="70">
                  <c:v>89.611277477917284</c:v>
                </c:pt>
                <c:pt idx="71">
                  <c:v>100.7961313991171</c:v>
                </c:pt>
                <c:pt idx="72">
                  <c:v>115.0822593270056</c:v>
                </c:pt>
                <c:pt idx="73">
                  <c:v>106.92318207316821</c:v>
                </c:pt>
                <c:pt idx="74">
                  <c:v>50.018062961268747</c:v>
                </c:pt>
                <c:pt idx="75">
                  <c:v>41.82584156307518</c:v>
                </c:pt>
                <c:pt idx="76">
                  <c:v>34.320660344591218</c:v>
                </c:pt>
                <c:pt idx="77">
                  <c:v>24.31568572006325</c:v>
                </c:pt>
                <c:pt idx="78">
                  <c:v>59.766943882147693</c:v>
                </c:pt>
                <c:pt idx="79">
                  <c:v>43.064604783544858</c:v>
                </c:pt>
                <c:pt idx="80">
                  <c:v>52.949405153808357</c:v>
                </c:pt>
                <c:pt idx="81">
                  <c:v>78.645730322406678</c:v>
                </c:pt>
                <c:pt idx="82">
                  <c:v>92.690454871532665</c:v>
                </c:pt>
                <c:pt idx="83">
                  <c:v>79.631228022083661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A6C-C648-A53D-0E910264BD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Capture Price Ratio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Inputs'!$J$1</c:f>
              <c:strCache>
                <c:ptCount val="1"/>
                <c:pt idx="0">
                  <c:v>DK1 CPR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Inputs'!$J$2:$J$85</c:f>
              <c:numCache>
                <c:formatCode>General</c:formatCode>
                <c:ptCount val="84"/>
                <c:pt idx="12">
                  <c:v>1.0091486594474419</c:v>
                </c:pt>
                <c:pt idx="13">
                  <c:v>1.2985911686950511</c:v>
                </c:pt>
                <c:pt idx="14">
                  <c:v>0.8710146939215303</c:v>
                </c:pt>
                <c:pt idx="15">
                  <c:v>0.71315772558819213</c:v>
                </c:pt>
                <c:pt idx="16">
                  <c:v>0.96415576931205649</c:v>
                </c:pt>
                <c:pt idx="17">
                  <c:v>1.0394664137310941</c:v>
                </c:pt>
                <c:pt idx="18">
                  <c:v>1.0086181556608309</c:v>
                </c:pt>
                <c:pt idx="19">
                  <c:v>0.98082264407500741</c:v>
                </c:pt>
                <c:pt idx="20">
                  <c:v>1.0104044869130051</c:v>
                </c:pt>
                <c:pt idx="21">
                  <c:v>1.236802226812374</c:v>
                </c:pt>
                <c:pt idx="22">
                  <c:v>1.094777917215692</c:v>
                </c:pt>
                <c:pt idx="23">
                  <c:v>1.0082301641826621</c:v>
                </c:pt>
                <c:pt idx="24">
                  <c:v>1.103930861568265</c:v>
                </c:pt>
                <c:pt idx="25">
                  <c:v>1.0059479277054251</c:v>
                </c:pt>
                <c:pt idx="26">
                  <c:v>0.9871758725122356</c:v>
                </c:pt>
                <c:pt idx="27">
                  <c:v>0.90884647456650169</c:v>
                </c:pt>
                <c:pt idx="28">
                  <c:v>0.87751805187154364</c:v>
                </c:pt>
                <c:pt idx="29">
                  <c:v>0.95691427953473174</c:v>
                </c:pt>
                <c:pt idx="30">
                  <c:v>0.98211323715969778</c:v>
                </c:pt>
                <c:pt idx="31">
                  <c:v>0.99027147802450566</c:v>
                </c:pt>
                <c:pt idx="32">
                  <c:v>0.92690440483613579</c:v>
                </c:pt>
                <c:pt idx="33">
                  <c:v>1.0810885074134391</c:v>
                </c:pt>
                <c:pt idx="34">
                  <c:v>1.1338034085044659</c:v>
                </c:pt>
                <c:pt idx="35">
                  <c:v>1.2086769624549281</c:v>
                </c:pt>
                <c:pt idx="36">
                  <c:v>1.0441257304277269</c:v>
                </c:pt>
                <c:pt idx="37">
                  <c:v>1.04022281700981</c:v>
                </c:pt>
                <c:pt idx="38">
                  <c:v>0.81207759044207406</c:v>
                </c:pt>
                <c:pt idx="39">
                  <c:v>0.89039133384678326</c:v>
                </c:pt>
                <c:pt idx="40">
                  <c:v>0.86943016050498578</c:v>
                </c:pt>
                <c:pt idx="41">
                  <c:v>0.90803902012341908</c:v>
                </c:pt>
                <c:pt idx="42">
                  <c:v>0.87041791592949547</c:v>
                </c:pt>
                <c:pt idx="43">
                  <c:v>0.91908553046700026</c:v>
                </c:pt>
                <c:pt idx="44">
                  <c:v>0.90632901805683119</c:v>
                </c:pt>
                <c:pt idx="45">
                  <c:v>0.91612325253961768</c:v>
                </c:pt>
                <c:pt idx="46">
                  <c:v>0.94278612074660006</c:v>
                </c:pt>
                <c:pt idx="47">
                  <c:v>1.132810339248927</c:v>
                </c:pt>
                <c:pt idx="48">
                  <c:v>1.2309198691226539</c:v>
                </c:pt>
                <c:pt idx="49">
                  <c:v>0.93008781340266</c:v>
                </c:pt>
                <c:pt idx="50">
                  <c:v>0.94612539759598957</c:v>
                </c:pt>
                <c:pt idx="51">
                  <c:v>0.79203966120386338</c:v>
                </c:pt>
                <c:pt idx="52">
                  <c:v>0.68333610561519953</c:v>
                </c:pt>
                <c:pt idx="53">
                  <c:v>0.80965062086215667</c:v>
                </c:pt>
                <c:pt idx="54">
                  <c:v>0.80380421953260928</c:v>
                </c:pt>
                <c:pt idx="55">
                  <c:v>0.86289309777204071</c:v>
                </c:pt>
                <c:pt idx="56">
                  <c:v>0.8038389922187259</c:v>
                </c:pt>
                <c:pt idx="57">
                  <c:v>0.84083605560542263</c:v>
                </c:pt>
                <c:pt idx="58">
                  <c:v>1.028656893611996</c:v>
                </c:pt>
                <c:pt idx="59">
                  <c:v>0.91325607762876626</c:v>
                </c:pt>
                <c:pt idx="60">
                  <c:v>1.051614630458469</c:v>
                </c:pt>
                <c:pt idx="61">
                  <c:v>1.0144208291794441</c:v>
                </c:pt>
                <c:pt idx="62">
                  <c:v>0.8373818542217274</c:v>
                </c:pt>
                <c:pt idx="63">
                  <c:v>0.83468460161643787</c:v>
                </c:pt>
                <c:pt idx="64">
                  <c:v>0.61339845366508694</c:v>
                </c:pt>
                <c:pt idx="65">
                  <c:v>0.73781003223868646</c:v>
                </c:pt>
                <c:pt idx="66">
                  <c:v>0.68549949487061801</c:v>
                </c:pt>
                <c:pt idx="67">
                  <c:v>0.71512676219349525</c:v>
                </c:pt>
                <c:pt idx="68">
                  <c:v>0.63652522303957304</c:v>
                </c:pt>
                <c:pt idx="69">
                  <c:v>0.76175188075929667</c:v>
                </c:pt>
                <c:pt idx="70">
                  <c:v>1.0174940038611719</c:v>
                </c:pt>
                <c:pt idx="71">
                  <c:v>1.0025674160411211</c:v>
                </c:pt>
                <c:pt idx="72">
                  <c:v>1.135032584901597</c:v>
                </c:pt>
                <c:pt idx="73">
                  <c:v>0.93411665141872979</c:v>
                </c:pt>
                <c:pt idx="74">
                  <c:v>0.68579081688022481</c:v>
                </c:pt>
                <c:pt idx="75">
                  <c:v>0.60995353561832499</c:v>
                </c:pt>
                <c:pt idx="76">
                  <c:v>0.62375117423189408</c:v>
                </c:pt>
                <c:pt idx="77">
                  <c:v>0.56976432128633303</c:v>
                </c:pt>
                <c:pt idx="78">
                  <c:v>0.74058967108380014</c:v>
                </c:pt>
                <c:pt idx="79">
                  <c:v>0.64997112344594554</c:v>
                </c:pt>
                <c:pt idx="80">
                  <c:v>0.68273474898658593</c:v>
                </c:pt>
                <c:pt idx="81">
                  <c:v>0.94701517193480578</c:v>
                </c:pt>
                <c:pt idx="82">
                  <c:v>1.0289764309560969</c:v>
                </c:pt>
                <c:pt idx="83">
                  <c:v>0.98205388617926037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9DE-884B-BF29-DE2AF000AAED}"/>
            </c:ext>
          </c:extLst>
        </c:ser>
        <c:ser>
          <c:idx val="1"/>
          <c:order val="1"/>
          <c:tx>
            <c:strRef>
              <c:f>'Capture Price Inputs'!$K$1</c:f>
              <c:strCache>
                <c:ptCount val="1"/>
                <c:pt idx="0">
                  <c:v>DK2 CPR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'Capture Price Inputs'!$K$2:$K$85</c:f>
              <c:numCache>
                <c:formatCode>General</c:formatCode>
                <c:ptCount val="84"/>
                <c:pt idx="12">
                  <c:v>1.090446324793763</c:v>
                </c:pt>
                <c:pt idx="13">
                  <c:v>1.251821301318464</c:v>
                </c:pt>
                <c:pt idx="14">
                  <c:v>0.85520775851277109</c:v>
                </c:pt>
                <c:pt idx="15">
                  <c:v>0.76362023547871605</c:v>
                </c:pt>
                <c:pt idx="16">
                  <c:v>0.97636938233545278</c:v>
                </c:pt>
                <c:pt idx="17">
                  <c:v>1.180647007173951</c:v>
                </c:pt>
                <c:pt idx="18">
                  <c:v>1.021791049952987</c:v>
                </c:pt>
                <c:pt idx="19">
                  <c:v>1.077948442472481</c:v>
                </c:pt>
                <c:pt idx="20">
                  <c:v>1.0591890923358069</c:v>
                </c:pt>
                <c:pt idx="21">
                  <c:v>1.247549053102559</c:v>
                </c:pt>
                <c:pt idx="22">
                  <c:v>1.057080411727209</c:v>
                </c:pt>
                <c:pt idx="23">
                  <c:v>1.125691191699302</c:v>
                </c:pt>
                <c:pt idx="24">
                  <c:v>1.122164979814525</c:v>
                </c:pt>
                <c:pt idx="25">
                  <c:v>0.9585139857498034</c:v>
                </c:pt>
                <c:pt idx="26">
                  <c:v>1.0147741726503949</c:v>
                </c:pt>
                <c:pt idx="27">
                  <c:v>0.95901643664766134</c:v>
                </c:pt>
                <c:pt idx="28">
                  <c:v>0.91033887361171206</c:v>
                </c:pt>
                <c:pt idx="29">
                  <c:v>0.94404491874816343</c:v>
                </c:pt>
                <c:pt idx="30">
                  <c:v>0.95692856904650769</c:v>
                </c:pt>
                <c:pt idx="31">
                  <c:v>1.001768528067071</c:v>
                </c:pt>
                <c:pt idx="32">
                  <c:v>0.95838336990944806</c:v>
                </c:pt>
                <c:pt idx="33">
                  <c:v>1.1445012658471321</c:v>
                </c:pt>
                <c:pt idx="34">
                  <c:v>1.1264608571418011</c:v>
                </c:pt>
                <c:pt idx="35">
                  <c:v>1.279578427053047</c:v>
                </c:pt>
                <c:pt idx="36">
                  <c:v>1.1617546523412821</c:v>
                </c:pt>
                <c:pt idx="37">
                  <c:v>1.084871924613185</c:v>
                </c:pt>
                <c:pt idx="38">
                  <c:v>0.81629582758371144</c:v>
                </c:pt>
                <c:pt idx="39">
                  <c:v>0.93918048773921026</c:v>
                </c:pt>
                <c:pt idx="40">
                  <c:v>0.89914563143311954</c:v>
                </c:pt>
                <c:pt idx="41">
                  <c:v>0.90151367457475784</c:v>
                </c:pt>
                <c:pt idx="42">
                  <c:v>0.90956244496775596</c:v>
                </c:pt>
                <c:pt idx="43">
                  <c:v>0.8830756108422062</c:v>
                </c:pt>
                <c:pt idx="44">
                  <c:v>0.96085369829588263</c:v>
                </c:pt>
                <c:pt idx="45">
                  <c:v>0.87743541957368609</c:v>
                </c:pt>
                <c:pt idx="46">
                  <c:v>0.92404474391789948</c:v>
                </c:pt>
                <c:pt idx="47">
                  <c:v>1.2185280560697289</c:v>
                </c:pt>
                <c:pt idx="48">
                  <c:v>1.2118663236304299</c:v>
                </c:pt>
                <c:pt idx="49">
                  <c:v>1.0244781228159621</c:v>
                </c:pt>
                <c:pt idx="50">
                  <c:v>0.99223631219701203</c:v>
                </c:pt>
                <c:pt idx="51">
                  <c:v>0.85025873478203906</c:v>
                </c:pt>
                <c:pt idx="52">
                  <c:v>0.73101748270540212</c:v>
                </c:pt>
                <c:pt idx="53">
                  <c:v>0.78603819917365525</c:v>
                </c:pt>
                <c:pt idx="54">
                  <c:v>0.77170348712471282</c:v>
                </c:pt>
                <c:pt idx="55">
                  <c:v>0.84546104105698361</c:v>
                </c:pt>
                <c:pt idx="56">
                  <c:v>0.75329173308453345</c:v>
                </c:pt>
                <c:pt idx="57">
                  <c:v>0.83723449033464103</c:v>
                </c:pt>
                <c:pt idx="58">
                  <c:v>1.038705241708771</c:v>
                </c:pt>
                <c:pt idx="59">
                  <c:v>0.83326707575628478</c:v>
                </c:pt>
                <c:pt idx="60">
                  <c:v>0.97714487510792902</c:v>
                </c:pt>
                <c:pt idx="61">
                  <c:v>0.93991726033346112</c:v>
                </c:pt>
                <c:pt idx="62">
                  <c:v>0.8314293202728863</c:v>
                </c:pt>
                <c:pt idx="63">
                  <c:v>0.77805107456374178</c:v>
                </c:pt>
                <c:pt idx="64">
                  <c:v>0.59005563427075769</c:v>
                </c:pt>
                <c:pt idx="65">
                  <c:v>0.69439585691141426</c:v>
                </c:pt>
                <c:pt idx="66">
                  <c:v>0.61762838453946423</c:v>
                </c:pt>
                <c:pt idx="67">
                  <c:v>0.64934714792296455</c:v>
                </c:pt>
                <c:pt idx="68">
                  <c:v>0.61574801135475132</c:v>
                </c:pt>
                <c:pt idx="69">
                  <c:v>0.78000735067931948</c:v>
                </c:pt>
                <c:pt idx="70">
                  <c:v>0.94047799551015088</c:v>
                </c:pt>
                <c:pt idx="71">
                  <c:v>1.0870067185479459</c:v>
                </c:pt>
                <c:pt idx="72">
                  <c:v>1.1494003648079021</c:v>
                </c:pt>
                <c:pt idx="73">
                  <c:v>0.90662384271333907</c:v>
                </c:pt>
                <c:pt idx="74">
                  <c:v>0.60374116471580297</c:v>
                </c:pt>
                <c:pt idx="75">
                  <c:v>0.55174367988103734</c:v>
                </c:pt>
                <c:pt idx="76">
                  <c:v>0.54405946330729504</c:v>
                </c:pt>
                <c:pt idx="77">
                  <c:v>0.4307606652121766</c:v>
                </c:pt>
                <c:pt idx="78">
                  <c:v>0.74746341861966192</c:v>
                </c:pt>
                <c:pt idx="79">
                  <c:v>0.57178942343359873</c:v>
                </c:pt>
                <c:pt idx="80">
                  <c:v>0.63573160083367797</c:v>
                </c:pt>
                <c:pt idx="81">
                  <c:v>0.95480840081563045</c:v>
                </c:pt>
                <c:pt idx="82">
                  <c:v>0.98927251294969987</c:v>
                </c:pt>
                <c:pt idx="83">
                  <c:v>0.97014796253594149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9DE-884B-BF29-DE2AF000AA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CPR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Solar Penetration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Inputs'!$F$1</c:f>
              <c:strCache>
                <c:ptCount val="1"/>
                <c:pt idx="0">
                  <c:v>DK1 Solar Penetration (%) — Primary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'Capture Price Inputs'!$F$2:$F$85</c:f>
              <c:numCache>
                <c:formatCode>General</c:formatCode>
                <c:ptCount val="84"/>
                <c:pt idx="12">
                  <c:v>2.2644478926294831E-3</c:v>
                </c:pt>
                <c:pt idx="13">
                  <c:v>5.2474520244822449E-3</c:v>
                </c:pt>
                <c:pt idx="14">
                  <c:v>2.020167759412729E-2</c:v>
                </c:pt>
                <c:pt idx="15">
                  <c:v>3.2427989612304697E-2</c:v>
                </c:pt>
                <c:pt idx="16">
                  <c:v>3.6080087237903569E-2</c:v>
                </c:pt>
                <c:pt idx="17">
                  <c:v>3.7413618831640891E-2</c:v>
                </c:pt>
                <c:pt idx="18">
                  <c:v>3.3998433859503921E-2</c:v>
                </c:pt>
                <c:pt idx="19">
                  <c:v>3.4224763142537661E-2</c:v>
                </c:pt>
                <c:pt idx="20">
                  <c:v>2.4330151939157239E-2</c:v>
                </c:pt>
                <c:pt idx="21">
                  <c:v>1.1490387549446779E-2</c:v>
                </c:pt>
                <c:pt idx="22">
                  <c:v>1.521101274151999E-4</c:v>
                </c:pt>
                <c:pt idx="23">
                  <c:v>1.472410662127807E-5</c:v>
                </c:pt>
                <c:pt idx="24">
                  <c:v>3.6313559990350909E-3</c:v>
                </c:pt>
                <c:pt idx="25">
                  <c:v>1.0868941718057299E-2</c:v>
                </c:pt>
                <c:pt idx="26">
                  <c:v>2.2382303907371628E-2</c:v>
                </c:pt>
                <c:pt idx="27">
                  <c:v>4.212837115783985E-2</c:v>
                </c:pt>
                <c:pt idx="28">
                  <c:v>3.3075052211960353E-2</c:v>
                </c:pt>
                <c:pt idx="29">
                  <c:v>4.9841661821819518E-2</c:v>
                </c:pt>
                <c:pt idx="30">
                  <c:v>4.85715434854639E-2</c:v>
                </c:pt>
                <c:pt idx="31">
                  <c:v>3.8876947944708702E-2</c:v>
                </c:pt>
                <c:pt idx="32">
                  <c:v>2.5932850179436289E-2</c:v>
                </c:pt>
                <c:pt idx="33">
                  <c:v>1.7460096431489061E-2</c:v>
                </c:pt>
                <c:pt idx="34">
                  <c:v>7.0293060058135041E-3</c:v>
                </c:pt>
                <c:pt idx="35">
                  <c:v>3.243365391886713E-3</c:v>
                </c:pt>
                <c:pt idx="36">
                  <c:v>6.6753155472480874E-3</c:v>
                </c:pt>
                <c:pt idx="37">
                  <c:v>1.7399571233002901E-2</c:v>
                </c:pt>
                <c:pt idx="38">
                  <c:v>6.1955070586442867E-2</c:v>
                </c:pt>
                <c:pt idx="39">
                  <c:v>8.404056603836467E-2</c:v>
                </c:pt>
                <c:pt idx="40">
                  <c:v>9.6876891420316108E-2</c:v>
                </c:pt>
                <c:pt idx="41">
                  <c:v>9.4962020744311482E-2</c:v>
                </c:pt>
                <c:pt idx="42">
                  <c:v>9.963556652585577E-2</c:v>
                </c:pt>
                <c:pt idx="43">
                  <c:v>8.9626978325266782E-2</c:v>
                </c:pt>
                <c:pt idx="44">
                  <c:v>6.6046498591704736E-2</c:v>
                </c:pt>
                <c:pt idx="45">
                  <c:v>3.7469414477654707E-2</c:v>
                </c:pt>
                <c:pt idx="46">
                  <c:v>1.046932675470221E-2</c:v>
                </c:pt>
                <c:pt idx="47">
                  <c:v>6.2291646451968653E-3</c:v>
                </c:pt>
                <c:pt idx="48">
                  <c:v>1.2460694276862919E-2</c:v>
                </c:pt>
                <c:pt idx="49">
                  <c:v>3.4376404191763639E-2</c:v>
                </c:pt>
                <c:pt idx="50">
                  <c:v>5.6477968577058592E-2</c:v>
                </c:pt>
                <c:pt idx="51">
                  <c:v>0.1509467292684683</c:v>
                </c:pt>
                <c:pt idx="52">
                  <c:v>0.18600333743842001</c:v>
                </c:pt>
                <c:pt idx="53">
                  <c:v>0.21892573712946101</c:v>
                </c:pt>
                <c:pt idx="54">
                  <c:v>0.18929524056345021</c:v>
                </c:pt>
                <c:pt idx="55">
                  <c:v>0.1493297980639493</c:v>
                </c:pt>
                <c:pt idx="56">
                  <c:v>0.13191654386548721</c:v>
                </c:pt>
                <c:pt idx="57">
                  <c:v>4.2864886456730103E-2</c:v>
                </c:pt>
                <c:pt idx="58">
                  <c:v>1.6003493537152379E-2</c:v>
                </c:pt>
                <c:pt idx="59">
                  <c:v>6.3905046726965339E-3</c:v>
                </c:pt>
                <c:pt idx="60">
                  <c:v>1.3417186050607519E-2</c:v>
                </c:pt>
                <c:pt idx="61">
                  <c:v>2.6436223837926501E-2</c:v>
                </c:pt>
                <c:pt idx="62">
                  <c:v>6.6233973400350477E-2</c:v>
                </c:pt>
                <c:pt idx="63">
                  <c:v>0.1084169878649764</c:v>
                </c:pt>
                <c:pt idx="64">
                  <c:v>0.18887031649880051</c:v>
                </c:pt>
                <c:pt idx="65">
                  <c:v>0.1715230569234828</c:v>
                </c:pt>
                <c:pt idx="66">
                  <c:v>0.1809062055635286</c:v>
                </c:pt>
                <c:pt idx="67">
                  <c:v>0.15512153111725799</c:v>
                </c:pt>
                <c:pt idx="68">
                  <c:v>0.1275567235314205</c:v>
                </c:pt>
                <c:pt idx="69">
                  <c:v>6.2873767847415107E-2</c:v>
                </c:pt>
                <c:pt idx="70">
                  <c:v>1.780902737610289E-2</c:v>
                </c:pt>
                <c:pt idx="71">
                  <c:v>6.7857975683456679E-3</c:v>
                </c:pt>
                <c:pt idx="72">
                  <c:v>1.366055484422285E-2</c:v>
                </c:pt>
                <c:pt idx="73">
                  <c:v>4.3419934817177687E-2</c:v>
                </c:pt>
                <c:pt idx="74">
                  <c:v>0.1120694547038418</c:v>
                </c:pt>
                <c:pt idx="75">
                  <c:v>0.14827548756052711</c:v>
                </c:pt>
                <c:pt idx="76">
                  <c:v>0.19244468175967161</c:v>
                </c:pt>
                <c:pt idx="77">
                  <c:v>0.18784829238523279</c:v>
                </c:pt>
                <c:pt idx="78">
                  <c:v>0.21828188848241209</c:v>
                </c:pt>
                <c:pt idx="79">
                  <c:v>0.19011684012808119</c:v>
                </c:pt>
                <c:pt idx="80">
                  <c:v>0.13816152724517919</c:v>
                </c:pt>
                <c:pt idx="81">
                  <c:v>6.9462071202051626E-2</c:v>
                </c:pt>
                <c:pt idx="82">
                  <c:v>2.6604970402147529E-2</c:v>
                </c:pt>
                <c:pt idx="83">
                  <c:v>1.40253486520015E-2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4F6-4749-8AF2-E84B0EEC2DCA}"/>
            </c:ext>
          </c:extLst>
        </c:ser>
        <c:ser>
          <c:idx val="1"/>
          <c:order val="1"/>
          <c:tx>
            <c:strRef>
              <c:f>'Capture Price Inputs'!$G$1</c:f>
              <c:strCache>
                <c:ptCount val="1"/>
                <c:pt idx="0">
                  <c:v>DK2 Solar Penetration (%) — Robustness</c:v>
                </c:pt>
              </c:strCache>
            </c:strRef>
          </c:tx>
          <c:spPr>
            <a:ln>
              <a:solidFill>
                <a:srgbClr val="FFD700"/>
              </a:solidFill>
              <a:prstDash val="solid"/>
            </a:ln>
          </c:spPr>
          <c:marker>
            <c:symbol val="none"/>
          </c:marker>
          <c:val>
            <c:numRef>
              <c:f>'Capture Price Inputs'!$G$2:$G$85</c:f>
              <c:numCache>
                <c:formatCode>General</c:formatCode>
                <c:ptCount val="84"/>
                <c:pt idx="12">
                  <c:v>1.864323044087839E-3</c:v>
                </c:pt>
                <c:pt idx="13">
                  <c:v>4.9613393448072352E-3</c:v>
                </c:pt>
                <c:pt idx="14">
                  <c:v>1.532033335337761E-2</c:v>
                </c:pt>
                <c:pt idx="15">
                  <c:v>2.6180595134545931E-2</c:v>
                </c:pt>
                <c:pt idx="16">
                  <c:v>3.2240930774166239E-2</c:v>
                </c:pt>
                <c:pt idx="17">
                  <c:v>3.0651812088155841E-2</c:v>
                </c:pt>
                <c:pt idx="18">
                  <c:v>2.998206800974695E-2</c:v>
                </c:pt>
                <c:pt idx="19">
                  <c:v>2.8034713414307081E-2</c:v>
                </c:pt>
                <c:pt idx="20">
                  <c:v>2.1736479101595249E-2</c:v>
                </c:pt>
                <c:pt idx="21">
                  <c:v>1.107911770574695E-2</c:v>
                </c:pt>
                <c:pt idx="22">
                  <c:v>1.1044611578332841E-4</c:v>
                </c:pt>
                <c:pt idx="23">
                  <c:v>5.6352433584062588E-6</c:v>
                </c:pt>
                <c:pt idx="24">
                  <c:v>3.104474131982996E-3</c:v>
                </c:pt>
                <c:pt idx="25">
                  <c:v>9.2483369487723587E-3</c:v>
                </c:pt>
                <c:pt idx="26">
                  <c:v>1.8474517045212829E-2</c:v>
                </c:pt>
                <c:pt idx="27">
                  <c:v>3.2694407483312787E-2</c:v>
                </c:pt>
                <c:pt idx="28">
                  <c:v>3.2945829294540187E-2</c:v>
                </c:pt>
                <c:pt idx="29">
                  <c:v>4.4480133140056069E-2</c:v>
                </c:pt>
                <c:pt idx="30">
                  <c:v>3.7049542537302173E-2</c:v>
                </c:pt>
                <c:pt idx="31">
                  <c:v>3.1857768834261987E-2</c:v>
                </c:pt>
                <c:pt idx="32">
                  <c:v>2.23981137027396E-2</c:v>
                </c:pt>
                <c:pt idx="33">
                  <c:v>1.267326343754744E-2</c:v>
                </c:pt>
                <c:pt idx="34">
                  <c:v>4.0132810857910267E-3</c:v>
                </c:pt>
                <c:pt idx="35">
                  <c:v>1.8226295838260991E-3</c:v>
                </c:pt>
                <c:pt idx="36">
                  <c:v>4.939556742877535E-3</c:v>
                </c:pt>
                <c:pt idx="37">
                  <c:v>1.3248485586698279E-2</c:v>
                </c:pt>
                <c:pt idx="38">
                  <c:v>3.4089330349121053E-2</c:v>
                </c:pt>
                <c:pt idx="39">
                  <c:v>5.5254436099578648E-2</c:v>
                </c:pt>
                <c:pt idx="40">
                  <c:v>6.5811459960859395E-2</c:v>
                </c:pt>
                <c:pt idx="41">
                  <c:v>6.4528229045867816E-2</c:v>
                </c:pt>
                <c:pt idx="42">
                  <c:v>6.7025803801952916E-2</c:v>
                </c:pt>
                <c:pt idx="43">
                  <c:v>6.1299924397195817E-2</c:v>
                </c:pt>
                <c:pt idx="44">
                  <c:v>4.5784276103507021E-2</c:v>
                </c:pt>
                <c:pt idx="45">
                  <c:v>2.9809058027035401E-2</c:v>
                </c:pt>
                <c:pt idx="46">
                  <c:v>7.8652952619005494E-3</c:v>
                </c:pt>
                <c:pt idx="47">
                  <c:v>4.5323555529735481E-3</c:v>
                </c:pt>
                <c:pt idx="48">
                  <c:v>5.8626527231366082E-3</c:v>
                </c:pt>
                <c:pt idx="49">
                  <c:v>1.8877648418373551E-2</c:v>
                </c:pt>
                <c:pt idx="50">
                  <c:v>3.7096229392005707E-2</c:v>
                </c:pt>
                <c:pt idx="51">
                  <c:v>8.0269966033824955E-2</c:v>
                </c:pt>
                <c:pt idx="52">
                  <c:v>0.1080032082802261</c:v>
                </c:pt>
                <c:pt idx="53">
                  <c:v>0.1144244665352921</c:v>
                </c:pt>
                <c:pt idx="54">
                  <c:v>0.10203074507159759</c:v>
                </c:pt>
                <c:pt idx="55">
                  <c:v>7.7931010532967707E-2</c:v>
                </c:pt>
                <c:pt idx="56">
                  <c:v>8.0909954639318743E-2</c:v>
                </c:pt>
                <c:pt idx="57">
                  <c:v>2.9172340215594381E-2</c:v>
                </c:pt>
                <c:pt idx="58">
                  <c:v>1.04098691216888E-2</c:v>
                </c:pt>
                <c:pt idx="59">
                  <c:v>3.809030164374855E-3</c:v>
                </c:pt>
                <c:pt idx="60">
                  <c:v>6.1781830729755079E-3</c:v>
                </c:pt>
                <c:pt idx="61">
                  <c:v>1.667231366864759E-2</c:v>
                </c:pt>
                <c:pt idx="62">
                  <c:v>4.1112806367337662E-2</c:v>
                </c:pt>
                <c:pt idx="63">
                  <c:v>6.5123378744806448E-2</c:v>
                </c:pt>
                <c:pt idx="64">
                  <c:v>0.106315341440858</c:v>
                </c:pt>
                <c:pt idx="65">
                  <c:v>0.1072729076610999</c:v>
                </c:pt>
                <c:pt idx="66">
                  <c:v>0.1057942634887733</c:v>
                </c:pt>
                <c:pt idx="67">
                  <c:v>9.3690832268705199E-2</c:v>
                </c:pt>
                <c:pt idx="68">
                  <c:v>7.2463202820400169E-2</c:v>
                </c:pt>
                <c:pt idx="69">
                  <c:v>3.6145253892379881E-2</c:v>
                </c:pt>
                <c:pt idx="70">
                  <c:v>8.6028414054236078E-3</c:v>
                </c:pt>
                <c:pt idx="71">
                  <c:v>4.1714684657767577E-3</c:v>
                </c:pt>
                <c:pt idx="72">
                  <c:v>7.223240212576967E-3</c:v>
                </c:pt>
                <c:pt idx="73">
                  <c:v>2.010831138567791E-2</c:v>
                </c:pt>
                <c:pt idx="74">
                  <c:v>4.6547866447452589E-2</c:v>
                </c:pt>
                <c:pt idx="75">
                  <c:v>7.1689783649061992E-2</c:v>
                </c:pt>
                <c:pt idx="76">
                  <c:v>9.4714127256233946E-2</c:v>
                </c:pt>
                <c:pt idx="77">
                  <c:v>9.9826250015510765E-2</c:v>
                </c:pt>
                <c:pt idx="78">
                  <c:v>9.3996419418699143E-2</c:v>
                </c:pt>
                <c:pt idx="79">
                  <c:v>0.1057378118957395</c:v>
                </c:pt>
                <c:pt idx="80">
                  <c:v>9.0628879686523764E-2</c:v>
                </c:pt>
                <c:pt idx="81">
                  <c:v>3.9573125678626628E-2</c:v>
                </c:pt>
                <c:pt idx="82">
                  <c:v>1.454364344794783E-2</c:v>
                </c:pt>
                <c:pt idx="83">
                  <c:v>9.0694911608833299E-3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4F6-4749-8AF2-E84B0EEC2D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Solar Penetration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Capture Price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Inputs'!$H$1</c:f>
              <c:strCache>
                <c:ptCount val="1"/>
                <c:pt idx="0">
                  <c:v>DK1 Capture Price (EUR/MWh)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Inputs'!$H$2:$H$85</c:f>
              <c:numCache>
                <c:formatCode>General</c:formatCode>
                <c:ptCount val="84"/>
                <c:pt idx="12">
                  <c:v>25.22320957280251</c:v>
                </c:pt>
                <c:pt idx="13">
                  <c:v>22.83581899109792</c:v>
                </c:pt>
                <c:pt idx="14">
                  <c:v>15.94107348554973</c:v>
                </c:pt>
                <c:pt idx="15">
                  <c:v>10.36487590420421</c:v>
                </c:pt>
                <c:pt idx="16">
                  <c:v>15.478548945086001</c:v>
                </c:pt>
                <c:pt idx="17">
                  <c:v>27.313308227868689</c:v>
                </c:pt>
                <c:pt idx="18">
                  <c:v>24.831745178109159</c:v>
                </c:pt>
                <c:pt idx="19">
                  <c:v>33.876915422047851</c:v>
                </c:pt>
                <c:pt idx="20">
                  <c:v>38.935979003379593</c:v>
                </c:pt>
                <c:pt idx="21">
                  <c:v>31.927741533059191</c:v>
                </c:pt>
                <c:pt idx="22">
                  <c:v>26.005993265993261</c:v>
                </c:pt>
                <c:pt idx="23">
                  <c:v>34.795161290322582</c:v>
                </c:pt>
                <c:pt idx="24">
                  <c:v>55.422967607277918</c:v>
                </c:pt>
                <c:pt idx="25">
                  <c:v>47.542610979142587</c:v>
                </c:pt>
                <c:pt idx="26">
                  <c:v>44.550700915805493</c:v>
                </c:pt>
                <c:pt idx="27">
                  <c:v>43.594739828473003</c:v>
                </c:pt>
                <c:pt idx="28">
                  <c:v>47.655870575001217</c:v>
                </c:pt>
                <c:pt idx="29">
                  <c:v>70.543547911111062</c:v>
                </c:pt>
                <c:pt idx="30">
                  <c:v>78.568319747758608</c:v>
                </c:pt>
                <c:pt idx="31">
                  <c:v>81.983351136401794</c:v>
                </c:pt>
                <c:pt idx="32">
                  <c:v>116.20022495544841</c:v>
                </c:pt>
                <c:pt idx="33">
                  <c:v>126.53039520323949</c:v>
                </c:pt>
                <c:pt idx="34">
                  <c:v>160.77058330102949</c:v>
                </c:pt>
                <c:pt idx="35">
                  <c:v>228.8621705579358</c:v>
                </c:pt>
                <c:pt idx="36">
                  <c:v>123.20125067917191</c:v>
                </c:pt>
                <c:pt idx="37">
                  <c:v>117.67077903546</c:v>
                </c:pt>
                <c:pt idx="38">
                  <c:v>191.50807173506701</c:v>
                </c:pt>
                <c:pt idx="39">
                  <c:v>145.70138715926041</c:v>
                </c:pt>
                <c:pt idx="40">
                  <c:v>149.4185612445558</c:v>
                </c:pt>
                <c:pt idx="41">
                  <c:v>194.71103409481981</c:v>
                </c:pt>
                <c:pt idx="42">
                  <c:v>239.3981525107354</c:v>
                </c:pt>
                <c:pt idx="43">
                  <c:v>419.79263722660602</c:v>
                </c:pt>
                <c:pt idx="44">
                  <c:v>310.70739927266709</c:v>
                </c:pt>
                <c:pt idx="45">
                  <c:v>125.6295598680838</c:v>
                </c:pt>
                <c:pt idx="46">
                  <c:v>131.7111886265582</c:v>
                </c:pt>
                <c:pt idx="47">
                  <c:v>282.82379374207261</c:v>
                </c:pt>
                <c:pt idx="48">
                  <c:v>138.52998868426329</c:v>
                </c:pt>
                <c:pt idx="49">
                  <c:v>109.87697572135031</c:v>
                </c:pt>
                <c:pt idx="50">
                  <c:v>93.774190940695377</c:v>
                </c:pt>
                <c:pt idx="51">
                  <c:v>76.25042822265543</c:v>
                </c:pt>
                <c:pt idx="52">
                  <c:v>50.543487760082613</c:v>
                </c:pt>
                <c:pt idx="53">
                  <c:v>74.888982776218057</c:v>
                </c:pt>
                <c:pt idx="54">
                  <c:v>52.095599438463452</c:v>
                </c:pt>
                <c:pt idx="55">
                  <c:v>74.180426039978187</c:v>
                </c:pt>
                <c:pt idx="56">
                  <c:v>68.116869623396937</c:v>
                </c:pt>
                <c:pt idx="57">
                  <c:v>50.539090519702853</c:v>
                </c:pt>
                <c:pt idx="58">
                  <c:v>90.680805562425178</c:v>
                </c:pt>
                <c:pt idx="59">
                  <c:v>63.455327688788032</c:v>
                </c:pt>
                <c:pt idx="60">
                  <c:v>78.571316441678306</c:v>
                </c:pt>
                <c:pt idx="61">
                  <c:v>59.479486768055089</c:v>
                </c:pt>
                <c:pt idx="62">
                  <c:v>51.269783241554933</c:v>
                </c:pt>
                <c:pt idx="63">
                  <c:v>49.383940562011212</c:v>
                </c:pt>
                <c:pt idx="64">
                  <c:v>35.894148271408874</c:v>
                </c:pt>
                <c:pt idx="65">
                  <c:v>47.037633727397647</c:v>
                </c:pt>
                <c:pt idx="66">
                  <c:v>42.521773223099522</c:v>
                </c:pt>
                <c:pt idx="67">
                  <c:v>52.17121747504909</c:v>
                </c:pt>
                <c:pt idx="68">
                  <c:v>45.647504626217007</c:v>
                </c:pt>
                <c:pt idx="69">
                  <c:v>58.441583787091993</c:v>
                </c:pt>
                <c:pt idx="70">
                  <c:v>97.582352616331917</c:v>
                </c:pt>
                <c:pt idx="71">
                  <c:v>92.073217693833982</c:v>
                </c:pt>
                <c:pt idx="72">
                  <c:v>111.1945655985155</c:v>
                </c:pt>
                <c:pt idx="73">
                  <c:v>105.41315973788279</c:v>
                </c:pt>
                <c:pt idx="74">
                  <c:v>57.84566339627056</c:v>
                </c:pt>
                <c:pt idx="75">
                  <c:v>45.844395770687349</c:v>
                </c:pt>
                <c:pt idx="76">
                  <c:v>40.065667394009381</c:v>
                </c:pt>
                <c:pt idx="77">
                  <c:v>33.493381965196598</c:v>
                </c:pt>
                <c:pt idx="78">
                  <c:v>61.32224821093979</c:v>
                </c:pt>
                <c:pt idx="79">
                  <c:v>47.755824567457559</c:v>
                </c:pt>
                <c:pt idx="80">
                  <c:v>49.429094996057238</c:v>
                </c:pt>
                <c:pt idx="81">
                  <c:v>74.266634537895257</c:v>
                </c:pt>
                <c:pt idx="82">
                  <c:v>95.564531802521344</c:v>
                </c:pt>
                <c:pt idx="83">
                  <c:v>80.958034242780258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CD7-FD45-B4F1-6F100929C190}"/>
            </c:ext>
          </c:extLst>
        </c:ser>
        <c:ser>
          <c:idx val="1"/>
          <c:order val="1"/>
          <c:tx>
            <c:strRef>
              <c:f>'Capture Price Inputs'!$I$1</c:f>
              <c:strCache>
                <c:ptCount val="1"/>
                <c:pt idx="0">
                  <c:v>DK2 Capture Price (EUR/MWh)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'Capture Price Inputs'!$I$2:$I$85</c:f>
              <c:numCache>
                <c:formatCode>General</c:formatCode>
                <c:ptCount val="84"/>
                <c:pt idx="12">
                  <c:v>29.86213642213642</c:v>
                </c:pt>
                <c:pt idx="13">
                  <c:v>23.555517829721889</c:v>
                </c:pt>
                <c:pt idx="14">
                  <c:v>17.149050692261021</c:v>
                </c:pt>
                <c:pt idx="15">
                  <c:v>13.252523128367081</c:v>
                </c:pt>
                <c:pt idx="16">
                  <c:v>18.594049382716051</c:v>
                </c:pt>
                <c:pt idx="17">
                  <c:v>35.21078005032583</c:v>
                </c:pt>
                <c:pt idx="18">
                  <c:v>26.450778046867001</c:v>
                </c:pt>
                <c:pt idx="19">
                  <c:v>44.113765015404859</c:v>
                </c:pt>
                <c:pt idx="20">
                  <c:v>41.853047880870562</c:v>
                </c:pt>
                <c:pt idx="21">
                  <c:v>33.600878372903331</c:v>
                </c:pt>
                <c:pt idx="22">
                  <c:v>37.749765625000002</c:v>
                </c:pt>
                <c:pt idx="23">
                  <c:v>44.191428571428567</c:v>
                </c:pt>
                <c:pt idx="24">
                  <c:v>57.072134410081453</c:v>
                </c:pt>
                <c:pt idx="25">
                  <c:v>52.285083654524577</c:v>
                </c:pt>
                <c:pt idx="26">
                  <c:v>47.422643011897812</c:v>
                </c:pt>
                <c:pt idx="27">
                  <c:v>45.901363748248833</c:v>
                </c:pt>
                <c:pt idx="28">
                  <c:v>50.258720231460799</c:v>
                </c:pt>
                <c:pt idx="29">
                  <c:v>69.469341653776226</c:v>
                </c:pt>
                <c:pt idx="30">
                  <c:v>77.933111551394319</c:v>
                </c:pt>
                <c:pt idx="31">
                  <c:v>84.512747690257029</c:v>
                </c:pt>
                <c:pt idx="32">
                  <c:v>118.7457227855615</c:v>
                </c:pt>
                <c:pt idx="33">
                  <c:v>122.3841235967906</c:v>
                </c:pt>
                <c:pt idx="34">
                  <c:v>153.62679427815749</c:v>
                </c:pt>
                <c:pt idx="35">
                  <c:v>244.48727859764409</c:v>
                </c:pt>
                <c:pt idx="36">
                  <c:v>129.67749023150819</c:v>
                </c:pt>
                <c:pt idx="37">
                  <c:v>108.80333899256409</c:v>
                </c:pt>
                <c:pt idx="38">
                  <c:v>186.0504424586062</c:v>
                </c:pt>
                <c:pt idx="39">
                  <c:v>143.53758886421849</c:v>
                </c:pt>
                <c:pt idx="40">
                  <c:v>146.25360234460331</c:v>
                </c:pt>
                <c:pt idx="41">
                  <c:v>192.2325905808319</c:v>
                </c:pt>
                <c:pt idx="42">
                  <c:v>212.3625858003895</c:v>
                </c:pt>
                <c:pt idx="43">
                  <c:v>397.17988485976059</c:v>
                </c:pt>
                <c:pt idx="44">
                  <c:v>315.92884279677901</c:v>
                </c:pt>
                <c:pt idx="45">
                  <c:v>120.1190076327392</c:v>
                </c:pt>
                <c:pt idx="46">
                  <c:v>134.0399027878758</c:v>
                </c:pt>
                <c:pt idx="47">
                  <c:v>303.26978481668573</c:v>
                </c:pt>
                <c:pt idx="48">
                  <c:v>120.8992864784306</c:v>
                </c:pt>
                <c:pt idx="49">
                  <c:v>103.112625406295</c:v>
                </c:pt>
                <c:pt idx="50">
                  <c:v>89.098468921641697</c:v>
                </c:pt>
                <c:pt idx="51">
                  <c:v>71.125099705594195</c:v>
                </c:pt>
                <c:pt idx="52">
                  <c:v>48.358083796456327</c:v>
                </c:pt>
                <c:pt idx="53">
                  <c:v>71.862090372222397</c:v>
                </c:pt>
                <c:pt idx="54">
                  <c:v>50.345966617092351</c:v>
                </c:pt>
                <c:pt idx="55">
                  <c:v>72.957992347987414</c:v>
                </c:pt>
                <c:pt idx="56">
                  <c:v>64.394484672464898</c:v>
                </c:pt>
                <c:pt idx="57">
                  <c:v>47.660255094286853</c:v>
                </c:pt>
                <c:pt idx="58">
                  <c:v>84.639978605265995</c:v>
                </c:pt>
                <c:pt idx="59">
                  <c:v>59.061746333079718</c:v>
                </c:pt>
                <c:pt idx="60">
                  <c:v>76.427202535219209</c:v>
                </c:pt>
                <c:pt idx="61">
                  <c:v>51.434379196547752</c:v>
                </c:pt>
                <c:pt idx="62">
                  <c:v>50.751163813053438</c:v>
                </c:pt>
                <c:pt idx="63">
                  <c:v>47.053967904827999</c:v>
                </c:pt>
                <c:pt idx="64">
                  <c:v>34.295794113692892</c:v>
                </c:pt>
                <c:pt idx="65">
                  <c:v>46.379384034583367</c:v>
                </c:pt>
                <c:pt idx="66">
                  <c:v>38.812821969471173</c:v>
                </c:pt>
                <c:pt idx="67">
                  <c:v>47.151863118292532</c:v>
                </c:pt>
                <c:pt idx="68">
                  <c:v>43.355946350842189</c:v>
                </c:pt>
                <c:pt idx="69">
                  <c:v>59.534937630286556</c:v>
                </c:pt>
                <c:pt idx="70">
                  <c:v>89.611277477917284</c:v>
                </c:pt>
                <c:pt idx="71">
                  <c:v>100.7961313991171</c:v>
                </c:pt>
                <c:pt idx="72">
                  <c:v>115.0822593270056</c:v>
                </c:pt>
                <c:pt idx="73">
                  <c:v>106.92318207316821</c:v>
                </c:pt>
                <c:pt idx="74">
                  <c:v>50.018062961268747</c:v>
                </c:pt>
                <c:pt idx="75">
                  <c:v>41.82584156307518</c:v>
                </c:pt>
                <c:pt idx="76">
                  <c:v>34.320660344591218</c:v>
                </c:pt>
                <c:pt idx="77">
                  <c:v>24.31568572006325</c:v>
                </c:pt>
                <c:pt idx="78">
                  <c:v>59.766943882147693</c:v>
                </c:pt>
                <c:pt idx="79">
                  <c:v>43.064604783544858</c:v>
                </c:pt>
                <c:pt idx="80">
                  <c:v>52.949405153808357</c:v>
                </c:pt>
                <c:pt idx="81">
                  <c:v>78.645730322406678</c:v>
                </c:pt>
                <c:pt idx="82">
                  <c:v>92.690454871532665</c:v>
                </c:pt>
                <c:pt idx="83">
                  <c:v>79.631228022083661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CD7-FD45-B4F1-6F100929C1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Capture Price Ratio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Inputs'!$J$1</c:f>
              <c:strCache>
                <c:ptCount val="1"/>
                <c:pt idx="0">
                  <c:v>DK1 CPR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Inputs'!$J$2:$J$85</c:f>
              <c:numCache>
                <c:formatCode>General</c:formatCode>
                <c:ptCount val="84"/>
                <c:pt idx="12">
                  <c:v>1.0091486594474419</c:v>
                </c:pt>
                <c:pt idx="13">
                  <c:v>1.2985911686950511</c:v>
                </c:pt>
                <c:pt idx="14">
                  <c:v>0.8710146939215303</c:v>
                </c:pt>
                <c:pt idx="15">
                  <c:v>0.71315772558819213</c:v>
                </c:pt>
                <c:pt idx="16">
                  <c:v>0.96415576931205649</c:v>
                </c:pt>
                <c:pt idx="17">
                  <c:v>1.0394664137310941</c:v>
                </c:pt>
                <c:pt idx="18">
                  <c:v>1.0086181556608309</c:v>
                </c:pt>
                <c:pt idx="19">
                  <c:v>0.98082264407500741</c:v>
                </c:pt>
                <c:pt idx="20">
                  <c:v>1.0104044869130051</c:v>
                </c:pt>
                <c:pt idx="21">
                  <c:v>1.236802226812374</c:v>
                </c:pt>
                <c:pt idx="22">
                  <c:v>1.094777917215692</c:v>
                </c:pt>
                <c:pt idx="23">
                  <c:v>1.0082301641826621</c:v>
                </c:pt>
                <c:pt idx="24">
                  <c:v>1.103930861568265</c:v>
                </c:pt>
                <c:pt idx="25">
                  <c:v>1.0059479277054251</c:v>
                </c:pt>
                <c:pt idx="26">
                  <c:v>0.9871758725122356</c:v>
                </c:pt>
                <c:pt idx="27">
                  <c:v>0.90884647456650169</c:v>
                </c:pt>
                <c:pt idx="28">
                  <c:v>0.87751805187154364</c:v>
                </c:pt>
                <c:pt idx="29">
                  <c:v>0.95691427953473174</c:v>
                </c:pt>
                <c:pt idx="30">
                  <c:v>0.98211323715969778</c:v>
                </c:pt>
                <c:pt idx="31">
                  <c:v>0.99027147802450566</c:v>
                </c:pt>
                <c:pt idx="32">
                  <c:v>0.92690440483613579</c:v>
                </c:pt>
                <c:pt idx="33">
                  <c:v>1.0810885074134391</c:v>
                </c:pt>
                <c:pt idx="34">
                  <c:v>1.1338034085044659</c:v>
                </c:pt>
                <c:pt idx="35">
                  <c:v>1.2086769624549281</c:v>
                </c:pt>
                <c:pt idx="36">
                  <c:v>1.0441257304277269</c:v>
                </c:pt>
                <c:pt idx="37">
                  <c:v>1.04022281700981</c:v>
                </c:pt>
                <c:pt idx="38">
                  <c:v>0.81207759044207406</c:v>
                </c:pt>
                <c:pt idx="39">
                  <c:v>0.89039133384678326</c:v>
                </c:pt>
                <c:pt idx="40">
                  <c:v>0.86943016050498578</c:v>
                </c:pt>
                <c:pt idx="41">
                  <c:v>0.90803902012341908</c:v>
                </c:pt>
                <c:pt idx="42">
                  <c:v>0.87041791592949547</c:v>
                </c:pt>
                <c:pt idx="43">
                  <c:v>0.91908553046700026</c:v>
                </c:pt>
                <c:pt idx="44">
                  <c:v>0.90632901805683119</c:v>
                </c:pt>
                <c:pt idx="45">
                  <c:v>0.91612325253961768</c:v>
                </c:pt>
                <c:pt idx="46">
                  <c:v>0.94278612074660006</c:v>
                </c:pt>
                <c:pt idx="47">
                  <c:v>1.132810339248927</c:v>
                </c:pt>
                <c:pt idx="48">
                  <c:v>1.2309198691226539</c:v>
                </c:pt>
                <c:pt idx="49">
                  <c:v>0.93008781340266</c:v>
                </c:pt>
                <c:pt idx="50">
                  <c:v>0.94612539759598957</c:v>
                </c:pt>
                <c:pt idx="51">
                  <c:v>0.79203966120386338</c:v>
                </c:pt>
                <c:pt idx="52">
                  <c:v>0.68333610561519953</c:v>
                </c:pt>
                <c:pt idx="53">
                  <c:v>0.80965062086215667</c:v>
                </c:pt>
                <c:pt idx="54">
                  <c:v>0.80380421953260928</c:v>
                </c:pt>
                <c:pt idx="55">
                  <c:v>0.86289309777204071</c:v>
                </c:pt>
                <c:pt idx="56">
                  <c:v>0.8038389922187259</c:v>
                </c:pt>
                <c:pt idx="57">
                  <c:v>0.84083605560542263</c:v>
                </c:pt>
                <c:pt idx="58">
                  <c:v>1.028656893611996</c:v>
                </c:pt>
                <c:pt idx="59">
                  <c:v>0.91325607762876626</c:v>
                </c:pt>
                <c:pt idx="60">
                  <c:v>1.051614630458469</c:v>
                </c:pt>
                <c:pt idx="61">
                  <c:v>1.0144208291794441</c:v>
                </c:pt>
                <c:pt idx="62">
                  <c:v>0.8373818542217274</c:v>
                </c:pt>
                <c:pt idx="63">
                  <c:v>0.83468460161643787</c:v>
                </c:pt>
                <c:pt idx="64">
                  <c:v>0.61339845366508694</c:v>
                </c:pt>
                <c:pt idx="65">
                  <c:v>0.73781003223868646</c:v>
                </c:pt>
                <c:pt idx="66">
                  <c:v>0.68549949487061801</c:v>
                </c:pt>
                <c:pt idx="67">
                  <c:v>0.71512676219349525</c:v>
                </c:pt>
                <c:pt idx="68">
                  <c:v>0.63652522303957304</c:v>
                </c:pt>
                <c:pt idx="69">
                  <c:v>0.76175188075929667</c:v>
                </c:pt>
                <c:pt idx="70">
                  <c:v>1.0174940038611719</c:v>
                </c:pt>
                <c:pt idx="71">
                  <c:v>1.0025674160411211</c:v>
                </c:pt>
                <c:pt idx="72">
                  <c:v>1.135032584901597</c:v>
                </c:pt>
                <c:pt idx="73">
                  <c:v>0.93411665141872979</c:v>
                </c:pt>
                <c:pt idx="74">
                  <c:v>0.68579081688022481</c:v>
                </c:pt>
                <c:pt idx="75">
                  <c:v>0.60995353561832499</c:v>
                </c:pt>
                <c:pt idx="76">
                  <c:v>0.62375117423189408</c:v>
                </c:pt>
                <c:pt idx="77">
                  <c:v>0.56976432128633303</c:v>
                </c:pt>
                <c:pt idx="78">
                  <c:v>0.74058967108380014</c:v>
                </c:pt>
                <c:pt idx="79">
                  <c:v>0.64997112344594554</c:v>
                </c:pt>
                <c:pt idx="80">
                  <c:v>0.68273474898658593</c:v>
                </c:pt>
                <c:pt idx="81">
                  <c:v>0.94701517193480578</c:v>
                </c:pt>
                <c:pt idx="82">
                  <c:v>1.0289764309560969</c:v>
                </c:pt>
                <c:pt idx="83">
                  <c:v>0.98205388617926037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748-F642-8ABA-282E91DA5B4E}"/>
            </c:ext>
          </c:extLst>
        </c:ser>
        <c:ser>
          <c:idx val="1"/>
          <c:order val="1"/>
          <c:tx>
            <c:strRef>
              <c:f>'Capture Price Inputs'!$K$1</c:f>
              <c:strCache>
                <c:ptCount val="1"/>
                <c:pt idx="0">
                  <c:v>DK2 CPR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'Capture Price Inputs'!$K$2:$K$85</c:f>
              <c:numCache>
                <c:formatCode>General</c:formatCode>
                <c:ptCount val="84"/>
                <c:pt idx="12">
                  <c:v>1.090446324793763</c:v>
                </c:pt>
                <c:pt idx="13">
                  <c:v>1.251821301318464</c:v>
                </c:pt>
                <c:pt idx="14">
                  <c:v>0.85520775851277109</c:v>
                </c:pt>
                <c:pt idx="15">
                  <c:v>0.76362023547871605</c:v>
                </c:pt>
                <c:pt idx="16">
                  <c:v>0.97636938233545278</c:v>
                </c:pt>
                <c:pt idx="17">
                  <c:v>1.180647007173951</c:v>
                </c:pt>
                <c:pt idx="18">
                  <c:v>1.021791049952987</c:v>
                </c:pt>
                <c:pt idx="19">
                  <c:v>1.077948442472481</c:v>
                </c:pt>
                <c:pt idx="20">
                  <c:v>1.0591890923358069</c:v>
                </c:pt>
                <c:pt idx="21">
                  <c:v>1.247549053102559</c:v>
                </c:pt>
                <c:pt idx="22">
                  <c:v>1.057080411727209</c:v>
                </c:pt>
                <c:pt idx="23">
                  <c:v>1.125691191699302</c:v>
                </c:pt>
                <c:pt idx="24">
                  <c:v>1.122164979814525</c:v>
                </c:pt>
                <c:pt idx="25">
                  <c:v>0.9585139857498034</c:v>
                </c:pt>
                <c:pt idx="26">
                  <c:v>1.0147741726503949</c:v>
                </c:pt>
                <c:pt idx="27">
                  <c:v>0.95901643664766134</c:v>
                </c:pt>
                <c:pt idx="28">
                  <c:v>0.91033887361171206</c:v>
                </c:pt>
                <c:pt idx="29">
                  <c:v>0.94404491874816343</c:v>
                </c:pt>
                <c:pt idx="30">
                  <c:v>0.95692856904650769</c:v>
                </c:pt>
                <c:pt idx="31">
                  <c:v>1.001768528067071</c:v>
                </c:pt>
                <c:pt idx="32">
                  <c:v>0.95838336990944806</c:v>
                </c:pt>
                <c:pt idx="33">
                  <c:v>1.1445012658471321</c:v>
                </c:pt>
                <c:pt idx="34">
                  <c:v>1.1264608571418011</c:v>
                </c:pt>
                <c:pt idx="35">
                  <c:v>1.279578427053047</c:v>
                </c:pt>
                <c:pt idx="36">
                  <c:v>1.1617546523412821</c:v>
                </c:pt>
                <c:pt idx="37">
                  <c:v>1.084871924613185</c:v>
                </c:pt>
                <c:pt idx="38">
                  <c:v>0.81629582758371144</c:v>
                </c:pt>
                <c:pt idx="39">
                  <c:v>0.93918048773921026</c:v>
                </c:pt>
                <c:pt idx="40">
                  <c:v>0.89914563143311954</c:v>
                </c:pt>
                <c:pt idx="41">
                  <c:v>0.90151367457475784</c:v>
                </c:pt>
                <c:pt idx="42">
                  <c:v>0.90956244496775596</c:v>
                </c:pt>
                <c:pt idx="43">
                  <c:v>0.8830756108422062</c:v>
                </c:pt>
                <c:pt idx="44">
                  <c:v>0.96085369829588263</c:v>
                </c:pt>
                <c:pt idx="45">
                  <c:v>0.87743541957368609</c:v>
                </c:pt>
                <c:pt idx="46">
                  <c:v>0.92404474391789948</c:v>
                </c:pt>
                <c:pt idx="47">
                  <c:v>1.2185280560697289</c:v>
                </c:pt>
                <c:pt idx="48">
                  <c:v>1.2118663236304299</c:v>
                </c:pt>
                <c:pt idx="49">
                  <c:v>1.0244781228159621</c:v>
                </c:pt>
                <c:pt idx="50">
                  <c:v>0.99223631219701203</c:v>
                </c:pt>
                <c:pt idx="51">
                  <c:v>0.85025873478203906</c:v>
                </c:pt>
                <c:pt idx="52">
                  <c:v>0.73101748270540212</c:v>
                </c:pt>
                <c:pt idx="53">
                  <c:v>0.78603819917365525</c:v>
                </c:pt>
                <c:pt idx="54">
                  <c:v>0.77170348712471282</c:v>
                </c:pt>
                <c:pt idx="55">
                  <c:v>0.84546104105698361</c:v>
                </c:pt>
                <c:pt idx="56">
                  <c:v>0.75329173308453345</c:v>
                </c:pt>
                <c:pt idx="57">
                  <c:v>0.83723449033464103</c:v>
                </c:pt>
                <c:pt idx="58">
                  <c:v>1.038705241708771</c:v>
                </c:pt>
                <c:pt idx="59">
                  <c:v>0.83326707575628478</c:v>
                </c:pt>
                <c:pt idx="60">
                  <c:v>0.97714487510792902</c:v>
                </c:pt>
                <c:pt idx="61">
                  <c:v>0.93991726033346112</c:v>
                </c:pt>
                <c:pt idx="62">
                  <c:v>0.8314293202728863</c:v>
                </c:pt>
                <c:pt idx="63">
                  <c:v>0.77805107456374178</c:v>
                </c:pt>
                <c:pt idx="64">
                  <c:v>0.59005563427075769</c:v>
                </c:pt>
                <c:pt idx="65">
                  <c:v>0.69439585691141426</c:v>
                </c:pt>
                <c:pt idx="66">
                  <c:v>0.61762838453946423</c:v>
                </c:pt>
                <c:pt idx="67">
                  <c:v>0.64934714792296455</c:v>
                </c:pt>
                <c:pt idx="68">
                  <c:v>0.61574801135475132</c:v>
                </c:pt>
                <c:pt idx="69">
                  <c:v>0.78000735067931948</c:v>
                </c:pt>
                <c:pt idx="70">
                  <c:v>0.94047799551015088</c:v>
                </c:pt>
                <c:pt idx="71">
                  <c:v>1.0870067185479459</c:v>
                </c:pt>
                <c:pt idx="72">
                  <c:v>1.1494003648079021</c:v>
                </c:pt>
                <c:pt idx="73">
                  <c:v>0.90662384271333907</c:v>
                </c:pt>
                <c:pt idx="74">
                  <c:v>0.60374116471580297</c:v>
                </c:pt>
                <c:pt idx="75">
                  <c:v>0.55174367988103734</c:v>
                </c:pt>
                <c:pt idx="76">
                  <c:v>0.54405946330729504</c:v>
                </c:pt>
                <c:pt idx="77">
                  <c:v>0.4307606652121766</c:v>
                </c:pt>
                <c:pt idx="78">
                  <c:v>0.74746341861966192</c:v>
                </c:pt>
                <c:pt idx="79">
                  <c:v>0.57178942343359873</c:v>
                </c:pt>
                <c:pt idx="80">
                  <c:v>0.63573160083367797</c:v>
                </c:pt>
                <c:pt idx="81">
                  <c:v>0.95480840081563045</c:v>
                </c:pt>
                <c:pt idx="82">
                  <c:v>0.98927251294969987</c:v>
                </c:pt>
                <c:pt idx="83">
                  <c:v>0.97014796253594149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748-F642-8ABA-282E91DA5B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CPR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Solar Penetration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Inputs'!$F$1</c:f>
              <c:strCache>
                <c:ptCount val="1"/>
                <c:pt idx="0">
                  <c:v>DK1 Solar Penetration (%) — Primary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'Capture Price Inputs'!$F$2:$F$85</c:f>
              <c:numCache>
                <c:formatCode>General</c:formatCode>
                <c:ptCount val="84"/>
                <c:pt idx="12">
                  <c:v>2.2644478926294831E-3</c:v>
                </c:pt>
                <c:pt idx="13">
                  <c:v>5.2474520244822449E-3</c:v>
                </c:pt>
                <c:pt idx="14">
                  <c:v>2.020167759412729E-2</c:v>
                </c:pt>
                <c:pt idx="15">
                  <c:v>3.2427989612304697E-2</c:v>
                </c:pt>
                <c:pt idx="16">
                  <c:v>3.6080087237903569E-2</c:v>
                </c:pt>
                <c:pt idx="17">
                  <c:v>3.7413618831640891E-2</c:v>
                </c:pt>
                <c:pt idx="18">
                  <c:v>3.3998433859503921E-2</c:v>
                </c:pt>
                <c:pt idx="19">
                  <c:v>3.4224763142537661E-2</c:v>
                </c:pt>
                <c:pt idx="20">
                  <c:v>2.4330151939157239E-2</c:v>
                </c:pt>
                <c:pt idx="21">
                  <c:v>1.1490387549446779E-2</c:v>
                </c:pt>
                <c:pt idx="22">
                  <c:v>1.521101274151999E-4</c:v>
                </c:pt>
                <c:pt idx="23">
                  <c:v>1.472410662127807E-5</c:v>
                </c:pt>
                <c:pt idx="24">
                  <c:v>3.6313559990350909E-3</c:v>
                </c:pt>
                <c:pt idx="25">
                  <c:v>1.0868941718057299E-2</c:v>
                </c:pt>
                <c:pt idx="26">
                  <c:v>2.2382303907371628E-2</c:v>
                </c:pt>
                <c:pt idx="27">
                  <c:v>4.212837115783985E-2</c:v>
                </c:pt>
                <c:pt idx="28">
                  <c:v>3.3075052211960353E-2</c:v>
                </c:pt>
                <c:pt idx="29">
                  <c:v>4.9841661821819518E-2</c:v>
                </c:pt>
                <c:pt idx="30">
                  <c:v>4.85715434854639E-2</c:v>
                </c:pt>
                <c:pt idx="31">
                  <c:v>3.8876947944708702E-2</c:v>
                </c:pt>
                <c:pt idx="32">
                  <c:v>2.5932850179436289E-2</c:v>
                </c:pt>
                <c:pt idx="33">
                  <c:v>1.7460096431489061E-2</c:v>
                </c:pt>
                <c:pt idx="34">
                  <c:v>7.0293060058135041E-3</c:v>
                </c:pt>
                <c:pt idx="35">
                  <c:v>3.243365391886713E-3</c:v>
                </c:pt>
                <c:pt idx="36">
                  <c:v>6.6753155472480874E-3</c:v>
                </c:pt>
                <c:pt idx="37">
                  <c:v>1.7399571233002901E-2</c:v>
                </c:pt>
                <c:pt idx="38">
                  <c:v>6.1955070586442867E-2</c:v>
                </c:pt>
                <c:pt idx="39">
                  <c:v>8.404056603836467E-2</c:v>
                </c:pt>
                <c:pt idx="40">
                  <c:v>9.6876891420316108E-2</c:v>
                </c:pt>
                <c:pt idx="41">
                  <c:v>9.4962020744311482E-2</c:v>
                </c:pt>
                <c:pt idx="42">
                  <c:v>9.963556652585577E-2</c:v>
                </c:pt>
                <c:pt idx="43">
                  <c:v>8.9626978325266782E-2</c:v>
                </c:pt>
                <c:pt idx="44">
                  <c:v>6.6046498591704736E-2</c:v>
                </c:pt>
                <c:pt idx="45">
                  <c:v>3.7469414477654707E-2</c:v>
                </c:pt>
                <c:pt idx="46">
                  <c:v>1.046932675470221E-2</c:v>
                </c:pt>
                <c:pt idx="47">
                  <c:v>6.2291646451968653E-3</c:v>
                </c:pt>
                <c:pt idx="48">
                  <c:v>1.2460694276862919E-2</c:v>
                </c:pt>
                <c:pt idx="49">
                  <c:v>3.4376404191763639E-2</c:v>
                </c:pt>
                <c:pt idx="50">
                  <c:v>5.6477968577058592E-2</c:v>
                </c:pt>
                <c:pt idx="51">
                  <c:v>0.1509467292684683</c:v>
                </c:pt>
                <c:pt idx="52">
                  <c:v>0.18600333743842001</c:v>
                </c:pt>
                <c:pt idx="53">
                  <c:v>0.21892573712946101</c:v>
                </c:pt>
                <c:pt idx="54">
                  <c:v>0.18929524056345021</c:v>
                </c:pt>
                <c:pt idx="55">
                  <c:v>0.1493297980639493</c:v>
                </c:pt>
                <c:pt idx="56">
                  <c:v>0.13191654386548721</c:v>
                </c:pt>
                <c:pt idx="57">
                  <c:v>4.2864886456730103E-2</c:v>
                </c:pt>
                <c:pt idx="58">
                  <c:v>1.6003493537152379E-2</c:v>
                </c:pt>
                <c:pt idx="59">
                  <c:v>6.3905046726965339E-3</c:v>
                </c:pt>
                <c:pt idx="60">
                  <c:v>1.3417186050607519E-2</c:v>
                </c:pt>
                <c:pt idx="61">
                  <c:v>2.6436223837926501E-2</c:v>
                </c:pt>
                <c:pt idx="62">
                  <c:v>6.6233973400350477E-2</c:v>
                </c:pt>
                <c:pt idx="63">
                  <c:v>0.1084169878649764</c:v>
                </c:pt>
                <c:pt idx="64">
                  <c:v>0.18887031649880051</c:v>
                </c:pt>
                <c:pt idx="65">
                  <c:v>0.1715230569234828</c:v>
                </c:pt>
                <c:pt idx="66">
                  <c:v>0.1809062055635286</c:v>
                </c:pt>
                <c:pt idx="67">
                  <c:v>0.15512153111725799</c:v>
                </c:pt>
                <c:pt idx="68">
                  <c:v>0.1275567235314205</c:v>
                </c:pt>
                <c:pt idx="69">
                  <c:v>6.2873767847415107E-2</c:v>
                </c:pt>
                <c:pt idx="70">
                  <c:v>1.780902737610289E-2</c:v>
                </c:pt>
                <c:pt idx="71">
                  <c:v>6.7857975683456679E-3</c:v>
                </c:pt>
                <c:pt idx="72">
                  <c:v>1.366055484422285E-2</c:v>
                </c:pt>
                <c:pt idx="73">
                  <c:v>4.3419934817177687E-2</c:v>
                </c:pt>
                <c:pt idx="74">
                  <c:v>0.1120694547038418</c:v>
                </c:pt>
                <c:pt idx="75">
                  <c:v>0.14827548756052711</c:v>
                </c:pt>
                <c:pt idx="76">
                  <c:v>0.19244468175967161</c:v>
                </c:pt>
                <c:pt idx="77">
                  <c:v>0.18784829238523279</c:v>
                </c:pt>
                <c:pt idx="78">
                  <c:v>0.21828188848241209</c:v>
                </c:pt>
                <c:pt idx="79">
                  <c:v>0.19011684012808119</c:v>
                </c:pt>
                <c:pt idx="80">
                  <c:v>0.13816152724517919</c:v>
                </c:pt>
                <c:pt idx="81">
                  <c:v>6.9462071202051626E-2</c:v>
                </c:pt>
                <c:pt idx="82">
                  <c:v>2.6604970402147529E-2</c:v>
                </c:pt>
                <c:pt idx="83">
                  <c:v>1.40253486520015E-2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47B-7A4D-8469-D50897C4EC6F}"/>
            </c:ext>
          </c:extLst>
        </c:ser>
        <c:ser>
          <c:idx val="1"/>
          <c:order val="1"/>
          <c:tx>
            <c:strRef>
              <c:f>'Capture Price Inputs'!$G$1</c:f>
              <c:strCache>
                <c:ptCount val="1"/>
                <c:pt idx="0">
                  <c:v>DK2 Solar Penetration (%) — Robustness</c:v>
                </c:pt>
              </c:strCache>
            </c:strRef>
          </c:tx>
          <c:spPr>
            <a:ln>
              <a:solidFill>
                <a:srgbClr val="FFD700"/>
              </a:solidFill>
              <a:prstDash val="solid"/>
            </a:ln>
          </c:spPr>
          <c:marker>
            <c:symbol val="none"/>
          </c:marker>
          <c:val>
            <c:numRef>
              <c:f>'Capture Price Inputs'!$G$2:$G$85</c:f>
              <c:numCache>
                <c:formatCode>General</c:formatCode>
                <c:ptCount val="84"/>
                <c:pt idx="12">
                  <c:v>1.864323044087839E-3</c:v>
                </c:pt>
                <c:pt idx="13">
                  <c:v>4.9613393448072352E-3</c:v>
                </c:pt>
                <c:pt idx="14">
                  <c:v>1.532033335337761E-2</c:v>
                </c:pt>
                <c:pt idx="15">
                  <c:v>2.6180595134545931E-2</c:v>
                </c:pt>
                <c:pt idx="16">
                  <c:v>3.2240930774166239E-2</c:v>
                </c:pt>
                <c:pt idx="17">
                  <c:v>3.0651812088155841E-2</c:v>
                </c:pt>
                <c:pt idx="18">
                  <c:v>2.998206800974695E-2</c:v>
                </c:pt>
                <c:pt idx="19">
                  <c:v>2.8034713414307081E-2</c:v>
                </c:pt>
                <c:pt idx="20">
                  <c:v>2.1736479101595249E-2</c:v>
                </c:pt>
                <c:pt idx="21">
                  <c:v>1.107911770574695E-2</c:v>
                </c:pt>
                <c:pt idx="22">
                  <c:v>1.1044611578332841E-4</c:v>
                </c:pt>
                <c:pt idx="23">
                  <c:v>5.6352433584062588E-6</c:v>
                </c:pt>
                <c:pt idx="24">
                  <c:v>3.104474131982996E-3</c:v>
                </c:pt>
                <c:pt idx="25">
                  <c:v>9.2483369487723587E-3</c:v>
                </c:pt>
                <c:pt idx="26">
                  <c:v>1.8474517045212829E-2</c:v>
                </c:pt>
                <c:pt idx="27">
                  <c:v>3.2694407483312787E-2</c:v>
                </c:pt>
                <c:pt idx="28">
                  <c:v>3.2945829294540187E-2</c:v>
                </c:pt>
                <c:pt idx="29">
                  <c:v>4.4480133140056069E-2</c:v>
                </c:pt>
                <c:pt idx="30">
                  <c:v>3.7049542537302173E-2</c:v>
                </c:pt>
                <c:pt idx="31">
                  <c:v>3.1857768834261987E-2</c:v>
                </c:pt>
                <c:pt idx="32">
                  <c:v>2.23981137027396E-2</c:v>
                </c:pt>
                <c:pt idx="33">
                  <c:v>1.267326343754744E-2</c:v>
                </c:pt>
                <c:pt idx="34">
                  <c:v>4.0132810857910267E-3</c:v>
                </c:pt>
                <c:pt idx="35">
                  <c:v>1.8226295838260991E-3</c:v>
                </c:pt>
                <c:pt idx="36">
                  <c:v>4.939556742877535E-3</c:v>
                </c:pt>
                <c:pt idx="37">
                  <c:v>1.3248485586698279E-2</c:v>
                </c:pt>
                <c:pt idx="38">
                  <c:v>3.4089330349121053E-2</c:v>
                </c:pt>
                <c:pt idx="39">
                  <c:v>5.5254436099578648E-2</c:v>
                </c:pt>
                <c:pt idx="40">
                  <c:v>6.5811459960859395E-2</c:v>
                </c:pt>
                <c:pt idx="41">
                  <c:v>6.4528229045867816E-2</c:v>
                </c:pt>
                <c:pt idx="42">
                  <c:v>6.7025803801952916E-2</c:v>
                </c:pt>
                <c:pt idx="43">
                  <c:v>6.1299924397195817E-2</c:v>
                </c:pt>
                <c:pt idx="44">
                  <c:v>4.5784276103507021E-2</c:v>
                </c:pt>
                <c:pt idx="45">
                  <c:v>2.9809058027035401E-2</c:v>
                </c:pt>
                <c:pt idx="46">
                  <c:v>7.8652952619005494E-3</c:v>
                </c:pt>
                <c:pt idx="47">
                  <c:v>4.5323555529735481E-3</c:v>
                </c:pt>
                <c:pt idx="48">
                  <c:v>5.8626527231366082E-3</c:v>
                </c:pt>
                <c:pt idx="49">
                  <c:v>1.8877648418373551E-2</c:v>
                </c:pt>
                <c:pt idx="50">
                  <c:v>3.7096229392005707E-2</c:v>
                </c:pt>
                <c:pt idx="51">
                  <c:v>8.0269966033824955E-2</c:v>
                </c:pt>
                <c:pt idx="52">
                  <c:v>0.1080032082802261</c:v>
                </c:pt>
                <c:pt idx="53">
                  <c:v>0.1144244665352921</c:v>
                </c:pt>
                <c:pt idx="54">
                  <c:v>0.10203074507159759</c:v>
                </c:pt>
                <c:pt idx="55">
                  <c:v>7.7931010532967707E-2</c:v>
                </c:pt>
                <c:pt idx="56">
                  <c:v>8.0909954639318743E-2</c:v>
                </c:pt>
                <c:pt idx="57">
                  <c:v>2.9172340215594381E-2</c:v>
                </c:pt>
                <c:pt idx="58">
                  <c:v>1.04098691216888E-2</c:v>
                </c:pt>
                <c:pt idx="59">
                  <c:v>3.809030164374855E-3</c:v>
                </c:pt>
                <c:pt idx="60">
                  <c:v>6.1781830729755079E-3</c:v>
                </c:pt>
                <c:pt idx="61">
                  <c:v>1.667231366864759E-2</c:v>
                </c:pt>
                <c:pt idx="62">
                  <c:v>4.1112806367337662E-2</c:v>
                </c:pt>
                <c:pt idx="63">
                  <c:v>6.5123378744806448E-2</c:v>
                </c:pt>
                <c:pt idx="64">
                  <c:v>0.106315341440858</c:v>
                </c:pt>
                <c:pt idx="65">
                  <c:v>0.1072729076610999</c:v>
                </c:pt>
                <c:pt idx="66">
                  <c:v>0.1057942634887733</c:v>
                </c:pt>
                <c:pt idx="67">
                  <c:v>9.3690832268705199E-2</c:v>
                </c:pt>
                <c:pt idx="68">
                  <c:v>7.2463202820400169E-2</c:v>
                </c:pt>
                <c:pt idx="69">
                  <c:v>3.6145253892379881E-2</c:v>
                </c:pt>
                <c:pt idx="70">
                  <c:v>8.6028414054236078E-3</c:v>
                </c:pt>
                <c:pt idx="71">
                  <c:v>4.1714684657767577E-3</c:v>
                </c:pt>
                <c:pt idx="72">
                  <c:v>7.223240212576967E-3</c:v>
                </c:pt>
                <c:pt idx="73">
                  <c:v>2.010831138567791E-2</c:v>
                </c:pt>
                <c:pt idx="74">
                  <c:v>4.6547866447452589E-2</c:v>
                </c:pt>
                <c:pt idx="75">
                  <c:v>7.1689783649061992E-2</c:v>
                </c:pt>
                <c:pt idx="76">
                  <c:v>9.4714127256233946E-2</c:v>
                </c:pt>
                <c:pt idx="77">
                  <c:v>9.9826250015510765E-2</c:v>
                </c:pt>
                <c:pt idx="78">
                  <c:v>9.3996419418699143E-2</c:v>
                </c:pt>
                <c:pt idx="79">
                  <c:v>0.1057378118957395</c:v>
                </c:pt>
                <c:pt idx="80">
                  <c:v>9.0628879686523764E-2</c:v>
                </c:pt>
                <c:pt idx="81">
                  <c:v>3.9573125678626628E-2</c:v>
                </c:pt>
                <c:pt idx="82">
                  <c:v>1.454364344794783E-2</c:v>
                </c:pt>
                <c:pt idx="83">
                  <c:v>9.0694911608833299E-3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47B-7A4D-8469-D50897C4EC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Solar Penetration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Capture Price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Inputs'!$H$1</c:f>
              <c:strCache>
                <c:ptCount val="1"/>
                <c:pt idx="0">
                  <c:v>DK1 Capture Price (EUR/MWh)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Inputs'!$H$2:$H$85</c:f>
              <c:numCache>
                <c:formatCode>General</c:formatCode>
                <c:ptCount val="84"/>
                <c:pt idx="12">
                  <c:v>25.22320957280251</c:v>
                </c:pt>
                <c:pt idx="13">
                  <c:v>22.83581899109792</c:v>
                </c:pt>
                <c:pt idx="14">
                  <c:v>15.94107348554973</c:v>
                </c:pt>
                <c:pt idx="15">
                  <c:v>10.36487590420421</c:v>
                </c:pt>
                <c:pt idx="16">
                  <c:v>15.478548945086001</c:v>
                </c:pt>
                <c:pt idx="17">
                  <c:v>27.313308227868689</c:v>
                </c:pt>
                <c:pt idx="18">
                  <c:v>24.831745178109159</c:v>
                </c:pt>
                <c:pt idx="19">
                  <c:v>33.876915422047851</c:v>
                </c:pt>
                <c:pt idx="20">
                  <c:v>38.935979003379593</c:v>
                </c:pt>
                <c:pt idx="21">
                  <c:v>31.927741533059191</c:v>
                </c:pt>
                <c:pt idx="22">
                  <c:v>26.005993265993261</c:v>
                </c:pt>
                <c:pt idx="23">
                  <c:v>34.795161290322582</c:v>
                </c:pt>
                <c:pt idx="24">
                  <c:v>55.422967607277918</c:v>
                </c:pt>
                <c:pt idx="25">
                  <c:v>47.542610979142587</c:v>
                </c:pt>
                <c:pt idx="26">
                  <c:v>44.550700915805493</c:v>
                </c:pt>
                <c:pt idx="27">
                  <c:v>43.594739828473003</c:v>
                </c:pt>
                <c:pt idx="28">
                  <c:v>47.655870575001217</c:v>
                </c:pt>
                <c:pt idx="29">
                  <c:v>70.543547911111062</c:v>
                </c:pt>
                <c:pt idx="30">
                  <c:v>78.568319747758608</c:v>
                </c:pt>
                <c:pt idx="31">
                  <c:v>81.983351136401794</c:v>
                </c:pt>
                <c:pt idx="32">
                  <c:v>116.20022495544841</c:v>
                </c:pt>
                <c:pt idx="33">
                  <c:v>126.53039520323949</c:v>
                </c:pt>
                <c:pt idx="34">
                  <c:v>160.77058330102949</c:v>
                </c:pt>
                <c:pt idx="35">
                  <c:v>228.8621705579358</c:v>
                </c:pt>
                <c:pt idx="36">
                  <c:v>123.20125067917191</c:v>
                </c:pt>
                <c:pt idx="37">
                  <c:v>117.67077903546</c:v>
                </c:pt>
                <c:pt idx="38">
                  <c:v>191.50807173506701</c:v>
                </c:pt>
                <c:pt idx="39">
                  <c:v>145.70138715926041</c:v>
                </c:pt>
                <c:pt idx="40">
                  <c:v>149.4185612445558</c:v>
                </c:pt>
                <c:pt idx="41">
                  <c:v>194.71103409481981</c:v>
                </c:pt>
                <c:pt idx="42">
                  <c:v>239.3981525107354</c:v>
                </c:pt>
                <c:pt idx="43">
                  <c:v>419.79263722660602</c:v>
                </c:pt>
                <c:pt idx="44">
                  <c:v>310.70739927266709</c:v>
                </c:pt>
                <c:pt idx="45">
                  <c:v>125.6295598680838</c:v>
                </c:pt>
                <c:pt idx="46">
                  <c:v>131.7111886265582</c:v>
                </c:pt>
                <c:pt idx="47">
                  <c:v>282.82379374207261</c:v>
                </c:pt>
                <c:pt idx="48">
                  <c:v>138.52998868426329</c:v>
                </c:pt>
                <c:pt idx="49">
                  <c:v>109.87697572135031</c:v>
                </c:pt>
                <c:pt idx="50">
                  <c:v>93.774190940695377</c:v>
                </c:pt>
                <c:pt idx="51">
                  <c:v>76.25042822265543</c:v>
                </c:pt>
                <c:pt idx="52">
                  <c:v>50.543487760082613</c:v>
                </c:pt>
                <c:pt idx="53">
                  <c:v>74.888982776218057</c:v>
                </c:pt>
                <c:pt idx="54">
                  <c:v>52.095599438463452</c:v>
                </c:pt>
                <c:pt idx="55">
                  <c:v>74.180426039978187</c:v>
                </c:pt>
                <c:pt idx="56">
                  <c:v>68.116869623396937</c:v>
                </c:pt>
                <c:pt idx="57">
                  <c:v>50.539090519702853</c:v>
                </c:pt>
                <c:pt idx="58">
                  <c:v>90.680805562425178</c:v>
                </c:pt>
                <c:pt idx="59">
                  <c:v>63.455327688788032</c:v>
                </c:pt>
                <c:pt idx="60">
                  <c:v>78.571316441678306</c:v>
                </c:pt>
                <c:pt idx="61">
                  <c:v>59.479486768055089</c:v>
                </c:pt>
                <c:pt idx="62">
                  <c:v>51.269783241554933</c:v>
                </c:pt>
                <c:pt idx="63">
                  <c:v>49.383940562011212</c:v>
                </c:pt>
                <c:pt idx="64">
                  <c:v>35.894148271408874</c:v>
                </c:pt>
                <c:pt idx="65">
                  <c:v>47.037633727397647</c:v>
                </c:pt>
                <c:pt idx="66">
                  <c:v>42.521773223099522</c:v>
                </c:pt>
                <c:pt idx="67">
                  <c:v>52.17121747504909</c:v>
                </c:pt>
                <c:pt idx="68">
                  <c:v>45.647504626217007</c:v>
                </c:pt>
                <c:pt idx="69">
                  <c:v>58.441583787091993</c:v>
                </c:pt>
                <c:pt idx="70">
                  <c:v>97.582352616331917</c:v>
                </c:pt>
                <c:pt idx="71">
                  <c:v>92.073217693833982</c:v>
                </c:pt>
                <c:pt idx="72">
                  <c:v>111.1945655985155</c:v>
                </c:pt>
                <c:pt idx="73">
                  <c:v>105.41315973788279</c:v>
                </c:pt>
                <c:pt idx="74">
                  <c:v>57.84566339627056</c:v>
                </c:pt>
                <c:pt idx="75">
                  <c:v>45.844395770687349</c:v>
                </c:pt>
                <c:pt idx="76">
                  <c:v>40.065667394009381</c:v>
                </c:pt>
                <c:pt idx="77">
                  <c:v>33.493381965196598</c:v>
                </c:pt>
                <c:pt idx="78">
                  <c:v>61.32224821093979</c:v>
                </c:pt>
                <c:pt idx="79">
                  <c:v>47.755824567457559</c:v>
                </c:pt>
                <c:pt idx="80">
                  <c:v>49.429094996057238</c:v>
                </c:pt>
                <c:pt idx="81">
                  <c:v>74.266634537895257</c:v>
                </c:pt>
                <c:pt idx="82">
                  <c:v>95.564531802521344</c:v>
                </c:pt>
                <c:pt idx="83">
                  <c:v>80.958034242780258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461-CC47-9D3B-4891E7D33730}"/>
            </c:ext>
          </c:extLst>
        </c:ser>
        <c:ser>
          <c:idx val="1"/>
          <c:order val="1"/>
          <c:tx>
            <c:strRef>
              <c:f>'Capture Price Inputs'!$I$1</c:f>
              <c:strCache>
                <c:ptCount val="1"/>
                <c:pt idx="0">
                  <c:v>DK2 Capture Price (EUR/MWh)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'Capture Price Inputs'!$I$2:$I$85</c:f>
              <c:numCache>
                <c:formatCode>General</c:formatCode>
                <c:ptCount val="84"/>
                <c:pt idx="12">
                  <c:v>29.86213642213642</c:v>
                </c:pt>
                <c:pt idx="13">
                  <c:v>23.555517829721889</c:v>
                </c:pt>
                <c:pt idx="14">
                  <c:v>17.149050692261021</c:v>
                </c:pt>
                <c:pt idx="15">
                  <c:v>13.252523128367081</c:v>
                </c:pt>
                <c:pt idx="16">
                  <c:v>18.594049382716051</c:v>
                </c:pt>
                <c:pt idx="17">
                  <c:v>35.21078005032583</c:v>
                </c:pt>
                <c:pt idx="18">
                  <c:v>26.450778046867001</c:v>
                </c:pt>
                <c:pt idx="19">
                  <c:v>44.113765015404859</c:v>
                </c:pt>
                <c:pt idx="20">
                  <c:v>41.853047880870562</c:v>
                </c:pt>
                <c:pt idx="21">
                  <c:v>33.600878372903331</c:v>
                </c:pt>
                <c:pt idx="22">
                  <c:v>37.749765625000002</c:v>
                </c:pt>
                <c:pt idx="23">
                  <c:v>44.191428571428567</c:v>
                </c:pt>
                <c:pt idx="24">
                  <c:v>57.072134410081453</c:v>
                </c:pt>
                <c:pt idx="25">
                  <c:v>52.285083654524577</c:v>
                </c:pt>
                <c:pt idx="26">
                  <c:v>47.422643011897812</c:v>
                </c:pt>
                <c:pt idx="27">
                  <c:v>45.901363748248833</c:v>
                </c:pt>
                <c:pt idx="28">
                  <c:v>50.258720231460799</c:v>
                </c:pt>
                <c:pt idx="29">
                  <c:v>69.469341653776226</c:v>
                </c:pt>
                <c:pt idx="30">
                  <c:v>77.933111551394319</c:v>
                </c:pt>
                <c:pt idx="31">
                  <c:v>84.512747690257029</c:v>
                </c:pt>
                <c:pt idx="32">
                  <c:v>118.7457227855615</c:v>
                </c:pt>
                <c:pt idx="33">
                  <c:v>122.3841235967906</c:v>
                </c:pt>
                <c:pt idx="34">
                  <c:v>153.62679427815749</c:v>
                </c:pt>
                <c:pt idx="35">
                  <c:v>244.48727859764409</c:v>
                </c:pt>
                <c:pt idx="36">
                  <c:v>129.67749023150819</c:v>
                </c:pt>
                <c:pt idx="37">
                  <c:v>108.80333899256409</c:v>
                </c:pt>
                <c:pt idx="38">
                  <c:v>186.0504424586062</c:v>
                </c:pt>
                <c:pt idx="39">
                  <c:v>143.53758886421849</c:v>
                </c:pt>
                <c:pt idx="40">
                  <c:v>146.25360234460331</c:v>
                </c:pt>
                <c:pt idx="41">
                  <c:v>192.2325905808319</c:v>
                </c:pt>
                <c:pt idx="42">
                  <c:v>212.3625858003895</c:v>
                </c:pt>
                <c:pt idx="43">
                  <c:v>397.17988485976059</c:v>
                </c:pt>
                <c:pt idx="44">
                  <c:v>315.92884279677901</c:v>
                </c:pt>
                <c:pt idx="45">
                  <c:v>120.1190076327392</c:v>
                </c:pt>
                <c:pt idx="46">
                  <c:v>134.0399027878758</c:v>
                </c:pt>
                <c:pt idx="47">
                  <c:v>303.26978481668573</c:v>
                </c:pt>
                <c:pt idx="48">
                  <c:v>120.8992864784306</c:v>
                </c:pt>
                <c:pt idx="49">
                  <c:v>103.112625406295</c:v>
                </c:pt>
                <c:pt idx="50">
                  <c:v>89.098468921641697</c:v>
                </c:pt>
                <c:pt idx="51">
                  <c:v>71.125099705594195</c:v>
                </c:pt>
                <c:pt idx="52">
                  <c:v>48.358083796456327</c:v>
                </c:pt>
                <c:pt idx="53">
                  <c:v>71.862090372222397</c:v>
                </c:pt>
                <c:pt idx="54">
                  <c:v>50.345966617092351</c:v>
                </c:pt>
                <c:pt idx="55">
                  <c:v>72.957992347987414</c:v>
                </c:pt>
                <c:pt idx="56">
                  <c:v>64.394484672464898</c:v>
                </c:pt>
                <c:pt idx="57">
                  <c:v>47.660255094286853</c:v>
                </c:pt>
                <c:pt idx="58">
                  <c:v>84.639978605265995</c:v>
                </c:pt>
                <c:pt idx="59">
                  <c:v>59.061746333079718</c:v>
                </c:pt>
                <c:pt idx="60">
                  <c:v>76.427202535219209</c:v>
                </c:pt>
                <c:pt idx="61">
                  <c:v>51.434379196547752</c:v>
                </c:pt>
                <c:pt idx="62">
                  <c:v>50.751163813053438</c:v>
                </c:pt>
                <c:pt idx="63">
                  <c:v>47.053967904827999</c:v>
                </c:pt>
                <c:pt idx="64">
                  <c:v>34.295794113692892</c:v>
                </c:pt>
                <c:pt idx="65">
                  <c:v>46.379384034583367</c:v>
                </c:pt>
                <c:pt idx="66">
                  <c:v>38.812821969471173</c:v>
                </c:pt>
                <c:pt idx="67">
                  <c:v>47.151863118292532</c:v>
                </c:pt>
                <c:pt idx="68">
                  <c:v>43.355946350842189</c:v>
                </c:pt>
                <c:pt idx="69">
                  <c:v>59.534937630286556</c:v>
                </c:pt>
                <c:pt idx="70">
                  <c:v>89.611277477917284</c:v>
                </c:pt>
                <c:pt idx="71">
                  <c:v>100.7961313991171</c:v>
                </c:pt>
                <c:pt idx="72">
                  <c:v>115.0822593270056</c:v>
                </c:pt>
                <c:pt idx="73">
                  <c:v>106.92318207316821</c:v>
                </c:pt>
                <c:pt idx="74">
                  <c:v>50.018062961268747</c:v>
                </c:pt>
                <c:pt idx="75">
                  <c:v>41.82584156307518</c:v>
                </c:pt>
                <c:pt idx="76">
                  <c:v>34.320660344591218</c:v>
                </c:pt>
                <c:pt idx="77">
                  <c:v>24.31568572006325</c:v>
                </c:pt>
                <c:pt idx="78">
                  <c:v>59.766943882147693</c:v>
                </c:pt>
                <c:pt idx="79">
                  <c:v>43.064604783544858</c:v>
                </c:pt>
                <c:pt idx="80">
                  <c:v>52.949405153808357</c:v>
                </c:pt>
                <c:pt idx="81">
                  <c:v>78.645730322406678</c:v>
                </c:pt>
                <c:pt idx="82">
                  <c:v>92.690454871532665</c:v>
                </c:pt>
                <c:pt idx="83">
                  <c:v>79.631228022083661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461-CC47-9D3B-4891E7D33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Capture Price Ratio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Inputs'!$J$1</c:f>
              <c:strCache>
                <c:ptCount val="1"/>
                <c:pt idx="0">
                  <c:v>DK1 CPR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Inputs'!$J$2:$J$85</c:f>
              <c:numCache>
                <c:formatCode>General</c:formatCode>
                <c:ptCount val="84"/>
                <c:pt idx="12">
                  <c:v>1.0091486594474419</c:v>
                </c:pt>
                <c:pt idx="13">
                  <c:v>1.2985911686950511</c:v>
                </c:pt>
                <c:pt idx="14">
                  <c:v>0.8710146939215303</c:v>
                </c:pt>
                <c:pt idx="15">
                  <c:v>0.71315772558819213</c:v>
                </c:pt>
                <c:pt idx="16">
                  <c:v>0.96415576931205649</c:v>
                </c:pt>
                <c:pt idx="17">
                  <c:v>1.0394664137310941</c:v>
                </c:pt>
                <c:pt idx="18">
                  <c:v>1.0086181556608309</c:v>
                </c:pt>
                <c:pt idx="19">
                  <c:v>0.98082264407500741</c:v>
                </c:pt>
                <c:pt idx="20">
                  <c:v>1.0104044869130051</c:v>
                </c:pt>
                <c:pt idx="21">
                  <c:v>1.236802226812374</c:v>
                </c:pt>
                <c:pt idx="22">
                  <c:v>1.094777917215692</c:v>
                </c:pt>
                <c:pt idx="23">
                  <c:v>1.0082301641826621</c:v>
                </c:pt>
                <c:pt idx="24">
                  <c:v>1.103930861568265</c:v>
                </c:pt>
                <c:pt idx="25">
                  <c:v>1.0059479277054251</c:v>
                </c:pt>
                <c:pt idx="26">
                  <c:v>0.9871758725122356</c:v>
                </c:pt>
                <c:pt idx="27">
                  <c:v>0.90884647456650169</c:v>
                </c:pt>
                <c:pt idx="28">
                  <c:v>0.87751805187154364</c:v>
                </c:pt>
                <c:pt idx="29">
                  <c:v>0.95691427953473174</c:v>
                </c:pt>
                <c:pt idx="30">
                  <c:v>0.98211323715969778</c:v>
                </c:pt>
                <c:pt idx="31">
                  <c:v>0.99027147802450566</c:v>
                </c:pt>
                <c:pt idx="32">
                  <c:v>0.92690440483613579</c:v>
                </c:pt>
                <c:pt idx="33">
                  <c:v>1.0810885074134391</c:v>
                </c:pt>
                <c:pt idx="34">
                  <c:v>1.1338034085044659</c:v>
                </c:pt>
                <c:pt idx="35">
                  <c:v>1.2086769624549281</c:v>
                </c:pt>
                <c:pt idx="36">
                  <c:v>1.0441257304277269</c:v>
                </c:pt>
                <c:pt idx="37">
                  <c:v>1.04022281700981</c:v>
                </c:pt>
                <c:pt idx="38">
                  <c:v>0.81207759044207406</c:v>
                </c:pt>
                <c:pt idx="39">
                  <c:v>0.89039133384678326</c:v>
                </c:pt>
                <c:pt idx="40">
                  <c:v>0.86943016050498578</c:v>
                </c:pt>
                <c:pt idx="41">
                  <c:v>0.90803902012341908</c:v>
                </c:pt>
                <c:pt idx="42">
                  <c:v>0.87041791592949547</c:v>
                </c:pt>
                <c:pt idx="43">
                  <c:v>0.91908553046700026</c:v>
                </c:pt>
                <c:pt idx="44">
                  <c:v>0.90632901805683119</c:v>
                </c:pt>
                <c:pt idx="45">
                  <c:v>0.91612325253961768</c:v>
                </c:pt>
                <c:pt idx="46">
                  <c:v>0.94278612074660006</c:v>
                </c:pt>
                <c:pt idx="47">
                  <c:v>1.132810339248927</c:v>
                </c:pt>
                <c:pt idx="48">
                  <c:v>1.2309198691226539</c:v>
                </c:pt>
                <c:pt idx="49">
                  <c:v>0.93008781340266</c:v>
                </c:pt>
                <c:pt idx="50">
                  <c:v>0.94612539759598957</c:v>
                </c:pt>
                <c:pt idx="51">
                  <c:v>0.79203966120386338</c:v>
                </c:pt>
                <c:pt idx="52">
                  <c:v>0.68333610561519953</c:v>
                </c:pt>
                <c:pt idx="53">
                  <c:v>0.80965062086215667</c:v>
                </c:pt>
                <c:pt idx="54">
                  <c:v>0.80380421953260928</c:v>
                </c:pt>
                <c:pt idx="55">
                  <c:v>0.86289309777204071</c:v>
                </c:pt>
                <c:pt idx="56">
                  <c:v>0.8038389922187259</c:v>
                </c:pt>
                <c:pt idx="57">
                  <c:v>0.84083605560542263</c:v>
                </c:pt>
                <c:pt idx="58">
                  <c:v>1.028656893611996</c:v>
                </c:pt>
                <c:pt idx="59">
                  <c:v>0.91325607762876626</c:v>
                </c:pt>
                <c:pt idx="60">
                  <c:v>1.051614630458469</c:v>
                </c:pt>
                <c:pt idx="61">
                  <c:v>1.0144208291794441</c:v>
                </c:pt>
                <c:pt idx="62">
                  <c:v>0.8373818542217274</c:v>
                </c:pt>
                <c:pt idx="63">
                  <c:v>0.83468460161643787</c:v>
                </c:pt>
                <c:pt idx="64">
                  <c:v>0.61339845366508694</c:v>
                </c:pt>
                <c:pt idx="65">
                  <c:v>0.73781003223868646</c:v>
                </c:pt>
                <c:pt idx="66">
                  <c:v>0.68549949487061801</c:v>
                </c:pt>
                <c:pt idx="67">
                  <c:v>0.71512676219349525</c:v>
                </c:pt>
                <c:pt idx="68">
                  <c:v>0.63652522303957304</c:v>
                </c:pt>
                <c:pt idx="69">
                  <c:v>0.76175188075929667</c:v>
                </c:pt>
                <c:pt idx="70">
                  <c:v>1.0174940038611719</c:v>
                </c:pt>
                <c:pt idx="71">
                  <c:v>1.0025674160411211</c:v>
                </c:pt>
                <c:pt idx="72">
                  <c:v>1.135032584901597</c:v>
                </c:pt>
                <c:pt idx="73">
                  <c:v>0.93411665141872979</c:v>
                </c:pt>
                <c:pt idx="74">
                  <c:v>0.68579081688022481</c:v>
                </c:pt>
                <c:pt idx="75">
                  <c:v>0.60995353561832499</c:v>
                </c:pt>
                <c:pt idx="76">
                  <c:v>0.62375117423189408</c:v>
                </c:pt>
                <c:pt idx="77">
                  <c:v>0.56976432128633303</c:v>
                </c:pt>
                <c:pt idx="78">
                  <c:v>0.74058967108380014</c:v>
                </c:pt>
                <c:pt idx="79">
                  <c:v>0.64997112344594554</c:v>
                </c:pt>
                <c:pt idx="80">
                  <c:v>0.68273474898658593</c:v>
                </c:pt>
                <c:pt idx="81">
                  <c:v>0.94701517193480578</c:v>
                </c:pt>
                <c:pt idx="82">
                  <c:v>1.0289764309560969</c:v>
                </c:pt>
                <c:pt idx="83">
                  <c:v>0.98205388617926037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66D-BF45-A6FB-2A1D76FE0A2C}"/>
            </c:ext>
          </c:extLst>
        </c:ser>
        <c:ser>
          <c:idx val="1"/>
          <c:order val="1"/>
          <c:tx>
            <c:strRef>
              <c:f>'Capture Price Inputs'!$K$1</c:f>
              <c:strCache>
                <c:ptCount val="1"/>
                <c:pt idx="0">
                  <c:v>DK2 CPR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'Capture Price Inputs'!$K$2:$K$85</c:f>
              <c:numCache>
                <c:formatCode>General</c:formatCode>
                <c:ptCount val="84"/>
                <c:pt idx="12">
                  <c:v>1.090446324793763</c:v>
                </c:pt>
                <c:pt idx="13">
                  <c:v>1.251821301318464</c:v>
                </c:pt>
                <c:pt idx="14">
                  <c:v>0.85520775851277109</c:v>
                </c:pt>
                <c:pt idx="15">
                  <c:v>0.76362023547871605</c:v>
                </c:pt>
                <c:pt idx="16">
                  <c:v>0.97636938233545278</c:v>
                </c:pt>
                <c:pt idx="17">
                  <c:v>1.180647007173951</c:v>
                </c:pt>
                <c:pt idx="18">
                  <c:v>1.021791049952987</c:v>
                </c:pt>
                <c:pt idx="19">
                  <c:v>1.077948442472481</c:v>
                </c:pt>
                <c:pt idx="20">
                  <c:v>1.0591890923358069</c:v>
                </c:pt>
                <c:pt idx="21">
                  <c:v>1.247549053102559</c:v>
                </c:pt>
                <c:pt idx="22">
                  <c:v>1.057080411727209</c:v>
                </c:pt>
                <c:pt idx="23">
                  <c:v>1.125691191699302</c:v>
                </c:pt>
                <c:pt idx="24">
                  <c:v>1.122164979814525</c:v>
                </c:pt>
                <c:pt idx="25">
                  <c:v>0.9585139857498034</c:v>
                </c:pt>
                <c:pt idx="26">
                  <c:v>1.0147741726503949</c:v>
                </c:pt>
                <c:pt idx="27">
                  <c:v>0.95901643664766134</c:v>
                </c:pt>
                <c:pt idx="28">
                  <c:v>0.91033887361171206</c:v>
                </c:pt>
                <c:pt idx="29">
                  <c:v>0.94404491874816343</c:v>
                </c:pt>
                <c:pt idx="30">
                  <c:v>0.95692856904650769</c:v>
                </c:pt>
                <c:pt idx="31">
                  <c:v>1.001768528067071</c:v>
                </c:pt>
                <c:pt idx="32">
                  <c:v>0.95838336990944806</c:v>
                </c:pt>
                <c:pt idx="33">
                  <c:v>1.1445012658471321</c:v>
                </c:pt>
                <c:pt idx="34">
                  <c:v>1.1264608571418011</c:v>
                </c:pt>
                <c:pt idx="35">
                  <c:v>1.279578427053047</c:v>
                </c:pt>
                <c:pt idx="36">
                  <c:v>1.1617546523412821</c:v>
                </c:pt>
                <c:pt idx="37">
                  <c:v>1.084871924613185</c:v>
                </c:pt>
                <c:pt idx="38">
                  <c:v>0.81629582758371144</c:v>
                </c:pt>
                <c:pt idx="39">
                  <c:v>0.93918048773921026</c:v>
                </c:pt>
                <c:pt idx="40">
                  <c:v>0.89914563143311954</c:v>
                </c:pt>
                <c:pt idx="41">
                  <c:v>0.90151367457475784</c:v>
                </c:pt>
                <c:pt idx="42">
                  <c:v>0.90956244496775596</c:v>
                </c:pt>
                <c:pt idx="43">
                  <c:v>0.8830756108422062</c:v>
                </c:pt>
                <c:pt idx="44">
                  <c:v>0.96085369829588263</c:v>
                </c:pt>
                <c:pt idx="45">
                  <c:v>0.87743541957368609</c:v>
                </c:pt>
                <c:pt idx="46">
                  <c:v>0.92404474391789948</c:v>
                </c:pt>
                <c:pt idx="47">
                  <c:v>1.2185280560697289</c:v>
                </c:pt>
                <c:pt idx="48">
                  <c:v>1.2118663236304299</c:v>
                </c:pt>
                <c:pt idx="49">
                  <c:v>1.0244781228159621</c:v>
                </c:pt>
                <c:pt idx="50">
                  <c:v>0.99223631219701203</c:v>
                </c:pt>
                <c:pt idx="51">
                  <c:v>0.85025873478203906</c:v>
                </c:pt>
                <c:pt idx="52">
                  <c:v>0.73101748270540212</c:v>
                </c:pt>
                <c:pt idx="53">
                  <c:v>0.78603819917365525</c:v>
                </c:pt>
                <c:pt idx="54">
                  <c:v>0.77170348712471282</c:v>
                </c:pt>
                <c:pt idx="55">
                  <c:v>0.84546104105698361</c:v>
                </c:pt>
                <c:pt idx="56">
                  <c:v>0.75329173308453345</c:v>
                </c:pt>
                <c:pt idx="57">
                  <c:v>0.83723449033464103</c:v>
                </c:pt>
                <c:pt idx="58">
                  <c:v>1.038705241708771</c:v>
                </c:pt>
                <c:pt idx="59">
                  <c:v>0.83326707575628478</c:v>
                </c:pt>
                <c:pt idx="60">
                  <c:v>0.97714487510792902</c:v>
                </c:pt>
                <c:pt idx="61">
                  <c:v>0.93991726033346112</c:v>
                </c:pt>
                <c:pt idx="62">
                  <c:v>0.8314293202728863</c:v>
                </c:pt>
                <c:pt idx="63">
                  <c:v>0.77805107456374178</c:v>
                </c:pt>
                <c:pt idx="64">
                  <c:v>0.59005563427075769</c:v>
                </c:pt>
                <c:pt idx="65">
                  <c:v>0.69439585691141426</c:v>
                </c:pt>
                <c:pt idx="66">
                  <c:v>0.61762838453946423</c:v>
                </c:pt>
                <c:pt idx="67">
                  <c:v>0.64934714792296455</c:v>
                </c:pt>
                <c:pt idx="68">
                  <c:v>0.61574801135475132</c:v>
                </c:pt>
                <c:pt idx="69">
                  <c:v>0.78000735067931948</c:v>
                </c:pt>
                <c:pt idx="70">
                  <c:v>0.94047799551015088</c:v>
                </c:pt>
                <c:pt idx="71">
                  <c:v>1.0870067185479459</c:v>
                </c:pt>
                <c:pt idx="72">
                  <c:v>1.1494003648079021</c:v>
                </c:pt>
                <c:pt idx="73">
                  <c:v>0.90662384271333907</c:v>
                </c:pt>
                <c:pt idx="74">
                  <c:v>0.60374116471580297</c:v>
                </c:pt>
                <c:pt idx="75">
                  <c:v>0.55174367988103734</c:v>
                </c:pt>
                <c:pt idx="76">
                  <c:v>0.54405946330729504</c:v>
                </c:pt>
                <c:pt idx="77">
                  <c:v>0.4307606652121766</c:v>
                </c:pt>
                <c:pt idx="78">
                  <c:v>0.74746341861966192</c:v>
                </c:pt>
                <c:pt idx="79">
                  <c:v>0.57178942343359873</c:v>
                </c:pt>
                <c:pt idx="80">
                  <c:v>0.63573160083367797</c:v>
                </c:pt>
                <c:pt idx="81">
                  <c:v>0.95480840081563045</c:v>
                </c:pt>
                <c:pt idx="82">
                  <c:v>0.98927251294969987</c:v>
                </c:pt>
                <c:pt idx="83">
                  <c:v>0.97014796253594149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66D-BF45-A6FB-2A1D76FE0A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CPR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Solar Penetration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Inputs'!$F$1</c:f>
              <c:strCache>
                <c:ptCount val="1"/>
                <c:pt idx="0">
                  <c:v>DK1 Solar Penetration (%) — Primary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'Capture Price Inputs'!$F$2:$F$85</c:f>
              <c:numCache>
                <c:formatCode>General</c:formatCode>
                <c:ptCount val="84"/>
                <c:pt idx="12">
                  <c:v>2.2644478926294831E-3</c:v>
                </c:pt>
                <c:pt idx="13">
                  <c:v>5.2474520244822449E-3</c:v>
                </c:pt>
                <c:pt idx="14">
                  <c:v>2.020167759412729E-2</c:v>
                </c:pt>
                <c:pt idx="15">
                  <c:v>3.2427989612304697E-2</c:v>
                </c:pt>
                <c:pt idx="16">
                  <c:v>3.6080087237903569E-2</c:v>
                </c:pt>
                <c:pt idx="17">
                  <c:v>3.7413618831640891E-2</c:v>
                </c:pt>
                <c:pt idx="18">
                  <c:v>3.3998433859503921E-2</c:v>
                </c:pt>
                <c:pt idx="19">
                  <c:v>3.4224763142537661E-2</c:v>
                </c:pt>
                <c:pt idx="20">
                  <c:v>2.4330151939157239E-2</c:v>
                </c:pt>
                <c:pt idx="21">
                  <c:v>1.1490387549446779E-2</c:v>
                </c:pt>
                <c:pt idx="22">
                  <c:v>1.521101274151999E-4</c:v>
                </c:pt>
                <c:pt idx="23">
                  <c:v>1.472410662127807E-5</c:v>
                </c:pt>
                <c:pt idx="24">
                  <c:v>3.6313559990350909E-3</c:v>
                </c:pt>
                <c:pt idx="25">
                  <c:v>1.0868941718057299E-2</c:v>
                </c:pt>
                <c:pt idx="26">
                  <c:v>2.2382303907371628E-2</c:v>
                </c:pt>
                <c:pt idx="27">
                  <c:v>4.212837115783985E-2</c:v>
                </c:pt>
                <c:pt idx="28">
                  <c:v>3.3075052211960353E-2</c:v>
                </c:pt>
                <c:pt idx="29">
                  <c:v>4.9841661821819518E-2</c:v>
                </c:pt>
                <c:pt idx="30">
                  <c:v>4.85715434854639E-2</c:v>
                </c:pt>
                <c:pt idx="31">
                  <c:v>3.8876947944708702E-2</c:v>
                </c:pt>
                <c:pt idx="32">
                  <c:v>2.5932850179436289E-2</c:v>
                </c:pt>
                <c:pt idx="33">
                  <c:v>1.7460096431489061E-2</c:v>
                </c:pt>
                <c:pt idx="34">
                  <c:v>7.0293060058135041E-3</c:v>
                </c:pt>
                <c:pt idx="35">
                  <c:v>3.243365391886713E-3</c:v>
                </c:pt>
                <c:pt idx="36">
                  <c:v>6.6753155472480874E-3</c:v>
                </c:pt>
                <c:pt idx="37">
                  <c:v>1.7399571233002901E-2</c:v>
                </c:pt>
                <c:pt idx="38">
                  <c:v>6.1955070586442867E-2</c:v>
                </c:pt>
                <c:pt idx="39">
                  <c:v>8.404056603836467E-2</c:v>
                </c:pt>
                <c:pt idx="40">
                  <c:v>9.6876891420316108E-2</c:v>
                </c:pt>
                <c:pt idx="41">
                  <c:v>9.4962020744311482E-2</c:v>
                </c:pt>
                <c:pt idx="42">
                  <c:v>9.963556652585577E-2</c:v>
                </c:pt>
                <c:pt idx="43">
                  <c:v>8.9626978325266782E-2</c:v>
                </c:pt>
                <c:pt idx="44">
                  <c:v>6.6046498591704736E-2</c:v>
                </c:pt>
                <c:pt idx="45">
                  <c:v>3.7469414477654707E-2</c:v>
                </c:pt>
                <c:pt idx="46">
                  <c:v>1.046932675470221E-2</c:v>
                </c:pt>
                <c:pt idx="47">
                  <c:v>6.2291646451968653E-3</c:v>
                </c:pt>
                <c:pt idx="48">
                  <c:v>1.2460694276862919E-2</c:v>
                </c:pt>
                <c:pt idx="49">
                  <c:v>3.4376404191763639E-2</c:v>
                </c:pt>
                <c:pt idx="50">
                  <c:v>5.6477968577058592E-2</c:v>
                </c:pt>
                <c:pt idx="51">
                  <c:v>0.1509467292684683</c:v>
                </c:pt>
                <c:pt idx="52">
                  <c:v>0.18600333743842001</c:v>
                </c:pt>
                <c:pt idx="53">
                  <c:v>0.21892573712946101</c:v>
                </c:pt>
                <c:pt idx="54">
                  <c:v>0.18929524056345021</c:v>
                </c:pt>
                <c:pt idx="55">
                  <c:v>0.1493297980639493</c:v>
                </c:pt>
                <c:pt idx="56">
                  <c:v>0.13191654386548721</c:v>
                </c:pt>
                <c:pt idx="57">
                  <c:v>4.2864886456730103E-2</c:v>
                </c:pt>
                <c:pt idx="58">
                  <c:v>1.6003493537152379E-2</c:v>
                </c:pt>
                <c:pt idx="59">
                  <c:v>6.3905046726965339E-3</c:v>
                </c:pt>
                <c:pt idx="60">
                  <c:v>1.3417186050607519E-2</c:v>
                </c:pt>
                <c:pt idx="61">
                  <c:v>2.6436223837926501E-2</c:v>
                </c:pt>
                <c:pt idx="62">
                  <c:v>6.6233973400350477E-2</c:v>
                </c:pt>
                <c:pt idx="63">
                  <c:v>0.1084169878649764</c:v>
                </c:pt>
                <c:pt idx="64">
                  <c:v>0.18887031649880051</c:v>
                </c:pt>
                <c:pt idx="65">
                  <c:v>0.1715230569234828</c:v>
                </c:pt>
                <c:pt idx="66">
                  <c:v>0.1809062055635286</c:v>
                </c:pt>
                <c:pt idx="67">
                  <c:v>0.15512153111725799</c:v>
                </c:pt>
                <c:pt idx="68">
                  <c:v>0.1275567235314205</c:v>
                </c:pt>
                <c:pt idx="69">
                  <c:v>6.2873767847415107E-2</c:v>
                </c:pt>
                <c:pt idx="70">
                  <c:v>1.780902737610289E-2</c:v>
                </c:pt>
                <c:pt idx="71">
                  <c:v>6.7857975683456679E-3</c:v>
                </c:pt>
                <c:pt idx="72">
                  <c:v>1.366055484422285E-2</c:v>
                </c:pt>
                <c:pt idx="73">
                  <c:v>4.3419934817177687E-2</c:v>
                </c:pt>
                <c:pt idx="74">
                  <c:v>0.1120694547038418</c:v>
                </c:pt>
                <c:pt idx="75">
                  <c:v>0.14827548756052711</c:v>
                </c:pt>
                <c:pt idx="76">
                  <c:v>0.19244468175967161</c:v>
                </c:pt>
                <c:pt idx="77">
                  <c:v>0.18784829238523279</c:v>
                </c:pt>
                <c:pt idx="78">
                  <c:v>0.21828188848241209</c:v>
                </c:pt>
                <c:pt idx="79">
                  <c:v>0.19011684012808119</c:v>
                </c:pt>
                <c:pt idx="80">
                  <c:v>0.13816152724517919</c:v>
                </c:pt>
                <c:pt idx="81">
                  <c:v>6.9462071202051626E-2</c:v>
                </c:pt>
                <c:pt idx="82">
                  <c:v>2.6604970402147529E-2</c:v>
                </c:pt>
                <c:pt idx="83">
                  <c:v>1.40253486520015E-2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835-A641-90B6-D6EB4B12AAFB}"/>
            </c:ext>
          </c:extLst>
        </c:ser>
        <c:ser>
          <c:idx val="1"/>
          <c:order val="1"/>
          <c:tx>
            <c:strRef>
              <c:f>'Capture Price Inputs'!$G$1</c:f>
              <c:strCache>
                <c:ptCount val="1"/>
                <c:pt idx="0">
                  <c:v>DK2 Solar Penetration (%) — Robustness</c:v>
                </c:pt>
              </c:strCache>
            </c:strRef>
          </c:tx>
          <c:spPr>
            <a:ln>
              <a:solidFill>
                <a:srgbClr val="FFD700"/>
              </a:solidFill>
              <a:prstDash val="solid"/>
            </a:ln>
          </c:spPr>
          <c:marker>
            <c:symbol val="none"/>
          </c:marker>
          <c:val>
            <c:numRef>
              <c:f>'Capture Price Inputs'!$G$2:$G$85</c:f>
              <c:numCache>
                <c:formatCode>General</c:formatCode>
                <c:ptCount val="84"/>
                <c:pt idx="12">
                  <c:v>1.864323044087839E-3</c:v>
                </c:pt>
                <c:pt idx="13">
                  <c:v>4.9613393448072352E-3</c:v>
                </c:pt>
                <c:pt idx="14">
                  <c:v>1.532033335337761E-2</c:v>
                </c:pt>
                <c:pt idx="15">
                  <c:v>2.6180595134545931E-2</c:v>
                </c:pt>
                <c:pt idx="16">
                  <c:v>3.2240930774166239E-2</c:v>
                </c:pt>
                <c:pt idx="17">
                  <c:v>3.0651812088155841E-2</c:v>
                </c:pt>
                <c:pt idx="18">
                  <c:v>2.998206800974695E-2</c:v>
                </c:pt>
                <c:pt idx="19">
                  <c:v>2.8034713414307081E-2</c:v>
                </c:pt>
                <c:pt idx="20">
                  <c:v>2.1736479101595249E-2</c:v>
                </c:pt>
                <c:pt idx="21">
                  <c:v>1.107911770574695E-2</c:v>
                </c:pt>
                <c:pt idx="22">
                  <c:v>1.1044611578332841E-4</c:v>
                </c:pt>
                <c:pt idx="23">
                  <c:v>5.6352433584062588E-6</c:v>
                </c:pt>
                <c:pt idx="24">
                  <c:v>3.104474131982996E-3</c:v>
                </c:pt>
                <c:pt idx="25">
                  <c:v>9.2483369487723587E-3</c:v>
                </c:pt>
                <c:pt idx="26">
                  <c:v>1.8474517045212829E-2</c:v>
                </c:pt>
                <c:pt idx="27">
                  <c:v>3.2694407483312787E-2</c:v>
                </c:pt>
                <c:pt idx="28">
                  <c:v>3.2945829294540187E-2</c:v>
                </c:pt>
                <c:pt idx="29">
                  <c:v>4.4480133140056069E-2</c:v>
                </c:pt>
                <c:pt idx="30">
                  <c:v>3.7049542537302173E-2</c:v>
                </c:pt>
                <c:pt idx="31">
                  <c:v>3.1857768834261987E-2</c:v>
                </c:pt>
                <c:pt idx="32">
                  <c:v>2.23981137027396E-2</c:v>
                </c:pt>
                <c:pt idx="33">
                  <c:v>1.267326343754744E-2</c:v>
                </c:pt>
                <c:pt idx="34">
                  <c:v>4.0132810857910267E-3</c:v>
                </c:pt>
                <c:pt idx="35">
                  <c:v>1.8226295838260991E-3</c:v>
                </c:pt>
                <c:pt idx="36">
                  <c:v>4.939556742877535E-3</c:v>
                </c:pt>
                <c:pt idx="37">
                  <c:v>1.3248485586698279E-2</c:v>
                </c:pt>
                <c:pt idx="38">
                  <c:v>3.4089330349121053E-2</c:v>
                </c:pt>
                <c:pt idx="39">
                  <c:v>5.5254436099578648E-2</c:v>
                </c:pt>
                <c:pt idx="40">
                  <c:v>6.5811459960859395E-2</c:v>
                </c:pt>
                <c:pt idx="41">
                  <c:v>6.4528229045867816E-2</c:v>
                </c:pt>
                <c:pt idx="42">
                  <c:v>6.7025803801952916E-2</c:v>
                </c:pt>
                <c:pt idx="43">
                  <c:v>6.1299924397195817E-2</c:v>
                </c:pt>
                <c:pt idx="44">
                  <c:v>4.5784276103507021E-2</c:v>
                </c:pt>
                <c:pt idx="45">
                  <c:v>2.9809058027035401E-2</c:v>
                </c:pt>
                <c:pt idx="46">
                  <c:v>7.8652952619005494E-3</c:v>
                </c:pt>
                <c:pt idx="47">
                  <c:v>4.5323555529735481E-3</c:v>
                </c:pt>
                <c:pt idx="48">
                  <c:v>5.8626527231366082E-3</c:v>
                </c:pt>
                <c:pt idx="49">
                  <c:v>1.8877648418373551E-2</c:v>
                </c:pt>
                <c:pt idx="50">
                  <c:v>3.7096229392005707E-2</c:v>
                </c:pt>
                <c:pt idx="51">
                  <c:v>8.0269966033824955E-2</c:v>
                </c:pt>
                <c:pt idx="52">
                  <c:v>0.1080032082802261</c:v>
                </c:pt>
                <c:pt idx="53">
                  <c:v>0.1144244665352921</c:v>
                </c:pt>
                <c:pt idx="54">
                  <c:v>0.10203074507159759</c:v>
                </c:pt>
                <c:pt idx="55">
                  <c:v>7.7931010532967707E-2</c:v>
                </c:pt>
                <c:pt idx="56">
                  <c:v>8.0909954639318743E-2</c:v>
                </c:pt>
                <c:pt idx="57">
                  <c:v>2.9172340215594381E-2</c:v>
                </c:pt>
                <c:pt idx="58">
                  <c:v>1.04098691216888E-2</c:v>
                </c:pt>
                <c:pt idx="59">
                  <c:v>3.809030164374855E-3</c:v>
                </c:pt>
                <c:pt idx="60">
                  <c:v>6.1781830729755079E-3</c:v>
                </c:pt>
                <c:pt idx="61">
                  <c:v>1.667231366864759E-2</c:v>
                </c:pt>
                <c:pt idx="62">
                  <c:v>4.1112806367337662E-2</c:v>
                </c:pt>
                <c:pt idx="63">
                  <c:v>6.5123378744806448E-2</c:v>
                </c:pt>
                <c:pt idx="64">
                  <c:v>0.106315341440858</c:v>
                </c:pt>
                <c:pt idx="65">
                  <c:v>0.1072729076610999</c:v>
                </c:pt>
                <c:pt idx="66">
                  <c:v>0.1057942634887733</c:v>
                </c:pt>
                <c:pt idx="67">
                  <c:v>9.3690832268705199E-2</c:v>
                </c:pt>
                <c:pt idx="68">
                  <c:v>7.2463202820400169E-2</c:v>
                </c:pt>
                <c:pt idx="69">
                  <c:v>3.6145253892379881E-2</c:v>
                </c:pt>
                <c:pt idx="70">
                  <c:v>8.6028414054236078E-3</c:v>
                </c:pt>
                <c:pt idx="71">
                  <c:v>4.1714684657767577E-3</c:v>
                </c:pt>
                <c:pt idx="72">
                  <c:v>7.223240212576967E-3</c:v>
                </c:pt>
                <c:pt idx="73">
                  <c:v>2.010831138567791E-2</c:v>
                </c:pt>
                <c:pt idx="74">
                  <c:v>4.6547866447452589E-2</c:v>
                </c:pt>
                <c:pt idx="75">
                  <c:v>7.1689783649061992E-2</c:v>
                </c:pt>
                <c:pt idx="76">
                  <c:v>9.4714127256233946E-2</c:v>
                </c:pt>
                <c:pt idx="77">
                  <c:v>9.9826250015510765E-2</c:v>
                </c:pt>
                <c:pt idx="78">
                  <c:v>9.3996419418699143E-2</c:v>
                </c:pt>
                <c:pt idx="79">
                  <c:v>0.1057378118957395</c:v>
                </c:pt>
                <c:pt idx="80">
                  <c:v>9.0628879686523764E-2</c:v>
                </c:pt>
                <c:pt idx="81">
                  <c:v>3.9573125678626628E-2</c:v>
                </c:pt>
                <c:pt idx="82">
                  <c:v>1.454364344794783E-2</c:v>
                </c:pt>
                <c:pt idx="83">
                  <c:v>9.0694911608833299E-3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835-A641-90B6-D6EB4B12AA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Solar Penetration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Capture Price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Inputs'!$H$1</c:f>
              <c:strCache>
                <c:ptCount val="1"/>
                <c:pt idx="0">
                  <c:v>DK1 Capture Price (EUR/MWh)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Inputs'!$H$2:$H$85</c:f>
              <c:numCache>
                <c:formatCode>General</c:formatCode>
                <c:ptCount val="84"/>
                <c:pt idx="12">
                  <c:v>25.22320957280251</c:v>
                </c:pt>
                <c:pt idx="13">
                  <c:v>22.83581899109792</c:v>
                </c:pt>
                <c:pt idx="14">
                  <c:v>15.94107348554973</c:v>
                </c:pt>
                <c:pt idx="15">
                  <c:v>10.36487590420421</c:v>
                </c:pt>
                <c:pt idx="16">
                  <c:v>15.478548945086001</c:v>
                </c:pt>
                <c:pt idx="17">
                  <c:v>27.313308227868689</c:v>
                </c:pt>
                <c:pt idx="18">
                  <c:v>24.831745178109159</c:v>
                </c:pt>
                <c:pt idx="19">
                  <c:v>33.876915422047851</c:v>
                </c:pt>
                <c:pt idx="20">
                  <c:v>38.935979003379593</c:v>
                </c:pt>
                <c:pt idx="21">
                  <c:v>31.927741533059191</c:v>
                </c:pt>
                <c:pt idx="22">
                  <c:v>26.005993265993261</c:v>
                </c:pt>
                <c:pt idx="23">
                  <c:v>34.795161290322582</c:v>
                </c:pt>
                <c:pt idx="24">
                  <c:v>55.422967607277918</c:v>
                </c:pt>
                <c:pt idx="25">
                  <c:v>47.542610979142587</c:v>
                </c:pt>
                <c:pt idx="26">
                  <c:v>44.550700915805493</c:v>
                </c:pt>
                <c:pt idx="27">
                  <c:v>43.594739828473003</c:v>
                </c:pt>
                <c:pt idx="28">
                  <c:v>47.655870575001217</c:v>
                </c:pt>
                <c:pt idx="29">
                  <c:v>70.543547911111062</c:v>
                </c:pt>
                <c:pt idx="30">
                  <c:v>78.568319747758608</c:v>
                </c:pt>
                <c:pt idx="31">
                  <c:v>81.983351136401794</c:v>
                </c:pt>
                <c:pt idx="32">
                  <c:v>116.20022495544841</c:v>
                </c:pt>
                <c:pt idx="33">
                  <c:v>126.53039520323949</c:v>
                </c:pt>
                <c:pt idx="34">
                  <c:v>160.77058330102949</c:v>
                </c:pt>
                <c:pt idx="35">
                  <c:v>228.8621705579358</c:v>
                </c:pt>
                <c:pt idx="36">
                  <c:v>123.20125067917191</c:v>
                </c:pt>
                <c:pt idx="37">
                  <c:v>117.67077903546</c:v>
                </c:pt>
                <c:pt idx="38">
                  <c:v>191.50807173506701</c:v>
                </c:pt>
                <c:pt idx="39">
                  <c:v>145.70138715926041</c:v>
                </c:pt>
                <c:pt idx="40">
                  <c:v>149.4185612445558</c:v>
                </c:pt>
                <c:pt idx="41">
                  <c:v>194.71103409481981</c:v>
                </c:pt>
                <c:pt idx="42">
                  <c:v>239.3981525107354</c:v>
                </c:pt>
                <c:pt idx="43">
                  <c:v>419.79263722660602</c:v>
                </c:pt>
                <c:pt idx="44">
                  <c:v>310.70739927266709</c:v>
                </c:pt>
                <c:pt idx="45">
                  <c:v>125.6295598680838</c:v>
                </c:pt>
                <c:pt idx="46">
                  <c:v>131.7111886265582</c:v>
                </c:pt>
                <c:pt idx="47">
                  <c:v>282.82379374207261</c:v>
                </c:pt>
                <c:pt idx="48">
                  <c:v>138.52998868426329</c:v>
                </c:pt>
                <c:pt idx="49">
                  <c:v>109.87697572135031</c:v>
                </c:pt>
                <c:pt idx="50">
                  <c:v>93.774190940695377</c:v>
                </c:pt>
                <c:pt idx="51">
                  <c:v>76.25042822265543</c:v>
                </c:pt>
                <c:pt idx="52">
                  <c:v>50.543487760082613</c:v>
                </c:pt>
                <c:pt idx="53">
                  <c:v>74.888982776218057</c:v>
                </c:pt>
                <c:pt idx="54">
                  <c:v>52.095599438463452</c:v>
                </c:pt>
                <c:pt idx="55">
                  <c:v>74.180426039978187</c:v>
                </c:pt>
                <c:pt idx="56">
                  <c:v>68.116869623396937</c:v>
                </c:pt>
                <c:pt idx="57">
                  <c:v>50.539090519702853</c:v>
                </c:pt>
                <c:pt idx="58">
                  <c:v>90.680805562425178</c:v>
                </c:pt>
                <c:pt idx="59">
                  <c:v>63.455327688788032</c:v>
                </c:pt>
                <c:pt idx="60">
                  <c:v>78.571316441678306</c:v>
                </c:pt>
                <c:pt idx="61">
                  <c:v>59.479486768055089</c:v>
                </c:pt>
                <c:pt idx="62">
                  <c:v>51.269783241554933</c:v>
                </c:pt>
                <c:pt idx="63">
                  <c:v>49.383940562011212</c:v>
                </c:pt>
                <c:pt idx="64">
                  <c:v>35.894148271408874</c:v>
                </c:pt>
                <c:pt idx="65">
                  <c:v>47.037633727397647</c:v>
                </c:pt>
                <c:pt idx="66">
                  <c:v>42.521773223099522</c:v>
                </c:pt>
                <c:pt idx="67">
                  <c:v>52.17121747504909</c:v>
                </c:pt>
                <c:pt idx="68">
                  <c:v>45.647504626217007</c:v>
                </c:pt>
                <c:pt idx="69">
                  <c:v>58.441583787091993</c:v>
                </c:pt>
                <c:pt idx="70">
                  <c:v>97.582352616331917</c:v>
                </c:pt>
                <c:pt idx="71">
                  <c:v>92.073217693833982</c:v>
                </c:pt>
                <c:pt idx="72">
                  <c:v>111.1945655985155</c:v>
                </c:pt>
                <c:pt idx="73">
                  <c:v>105.41315973788279</c:v>
                </c:pt>
                <c:pt idx="74">
                  <c:v>57.84566339627056</c:v>
                </c:pt>
                <c:pt idx="75">
                  <c:v>45.844395770687349</c:v>
                </c:pt>
                <c:pt idx="76">
                  <c:v>40.065667394009381</c:v>
                </c:pt>
                <c:pt idx="77">
                  <c:v>33.493381965196598</c:v>
                </c:pt>
                <c:pt idx="78">
                  <c:v>61.32224821093979</c:v>
                </c:pt>
                <c:pt idx="79">
                  <c:v>47.755824567457559</c:v>
                </c:pt>
                <c:pt idx="80">
                  <c:v>49.429094996057238</c:v>
                </c:pt>
                <c:pt idx="81">
                  <c:v>74.266634537895257</c:v>
                </c:pt>
                <c:pt idx="82">
                  <c:v>95.564531802521344</c:v>
                </c:pt>
                <c:pt idx="83">
                  <c:v>80.958034242780258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DAF-DA40-93DE-D2A7ED4BFF84}"/>
            </c:ext>
          </c:extLst>
        </c:ser>
        <c:ser>
          <c:idx val="1"/>
          <c:order val="1"/>
          <c:tx>
            <c:strRef>
              <c:f>'Capture Price Inputs'!$I$1</c:f>
              <c:strCache>
                <c:ptCount val="1"/>
                <c:pt idx="0">
                  <c:v>DK2 Capture Price (EUR/MWh)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'Capture Price Inputs'!$I$2:$I$85</c:f>
              <c:numCache>
                <c:formatCode>General</c:formatCode>
                <c:ptCount val="84"/>
                <c:pt idx="12">
                  <c:v>29.86213642213642</c:v>
                </c:pt>
                <c:pt idx="13">
                  <c:v>23.555517829721889</c:v>
                </c:pt>
                <c:pt idx="14">
                  <c:v>17.149050692261021</c:v>
                </c:pt>
                <c:pt idx="15">
                  <c:v>13.252523128367081</c:v>
                </c:pt>
                <c:pt idx="16">
                  <c:v>18.594049382716051</c:v>
                </c:pt>
                <c:pt idx="17">
                  <c:v>35.21078005032583</c:v>
                </c:pt>
                <c:pt idx="18">
                  <c:v>26.450778046867001</c:v>
                </c:pt>
                <c:pt idx="19">
                  <c:v>44.113765015404859</c:v>
                </c:pt>
                <c:pt idx="20">
                  <c:v>41.853047880870562</c:v>
                </c:pt>
                <c:pt idx="21">
                  <c:v>33.600878372903331</c:v>
                </c:pt>
                <c:pt idx="22">
                  <c:v>37.749765625000002</c:v>
                </c:pt>
                <c:pt idx="23">
                  <c:v>44.191428571428567</c:v>
                </c:pt>
                <c:pt idx="24">
                  <c:v>57.072134410081453</c:v>
                </c:pt>
                <c:pt idx="25">
                  <c:v>52.285083654524577</c:v>
                </c:pt>
                <c:pt idx="26">
                  <c:v>47.422643011897812</c:v>
                </c:pt>
                <c:pt idx="27">
                  <c:v>45.901363748248833</c:v>
                </c:pt>
                <c:pt idx="28">
                  <c:v>50.258720231460799</c:v>
                </c:pt>
                <c:pt idx="29">
                  <c:v>69.469341653776226</c:v>
                </c:pt>
                <c:pt idx="30">
                  <c:v>77.933111551394319</c:v>
                </c:pt>
                <c:pt idx="31">
                  <c:v>84.512747690257029</c:v>
                </c:pt>
                <c:pt idx="32">
                  <c:v>118.7457227855615</c:v>
                </c:pt>
                <c:pt idx="33">
                  <c:v>122.3841235967906</c:v>
                </c:pt>
                <c:pt idx="34">
                  <c:v>153.62679427815749</c:v>
                </c:pt>
                <c:pt idx="35">
                  <c:v>244.48727859764409</c:v>
                </c:pt>
                <c:pt idx="36">
                  <c:v>129.67749023150819</c:v>
                </c:pt>
                <c:pt idx="37">
                  <c:v>108.80333899256409</c:v>
                </c:pt>
                <c:pt idx="38">
                  <c:v>186.0504424586062</c:v>
                </c:pt>
                <c:pt idx="39">
                  <c:v>143.53758886421849</c:v>
                </c:pt>
                <c:pt idx="40">
                  <c:v>146.25360234460331</c:v>
                </c:pt>
                <c:pt idx="41">
                  <c:v>192.2325905808319</c:v>
                </c:pt>
                <c:pt idx="42">
                  <c:v>212.3625858003895</c:v>
                </c:pt>
                <c:pt idx="43">
                  <c:v>397.17988485976059</c:v>
                </c:pt>
                <c:pt idx="44">
                  <c:v>315.92884279677901</c:v>
                </c:pt>
                <c:pt idx="45">
                  <c:v>120.1190076327392</c:v>
                </c:pt>
                <c:pt idx="46">
                  <c:v>134.0399027878758</c:v>
                </c:pt>
                <c:pt idx="47">
                  <c:v>303.26978481668573</c:v>
                </c:pt>
                <c:pt idx="48">
                  <c:v>120.8992864784306</c:v>
                </c:pt>
                <c:pt idx="49">
                  <c:v>103.112625406295</c:v>
                </c:pt>
                <c:pt idx="50">
                  <c:v>89.098468921641697</c:v>
                </c:pt>
                <c:pt idx="51">
                  <c:v>71.125099705594195</c:v>
                </c:pt>
                <c:pt idx="52">
                  <c:v>48.358083796456327</c:v>
                </c:pt>
                <c:pt idx="53">
                  <c:v>71.862090372222397</c:v>
                </c:pt>
                <c:pt idx="54">
                  <c:v>50.345966617092351</c:v>
                </c:pt>
                <c:pt idx="55">
                  <c:v>72.957992347987414</c:v>
                </c:pt>
                <c:pt idx="56">
                  <c:v>64.394484672464898</c:v>
                </c:pt>
                <c:pt idx="57">
                  <c:v>47.660255094286853</c:v>
                </c:pt>
                <c:pt idx="58">
                  <c:v>84.639978605265995</c:v>
                </c:pt>
                <c:pt idx="59">
                  <c:v>59.061746333079718</c:v>
                </c:pt>
                <c:pt idx="60">
                  <c:v>76.427202535219209</c:v>
                </c:pt>
                <c:pt idx="61">
                  <c:v>51.434379196547752</c:v>
                </c:pt>
                <c:pt idx="62">
                  <c:v>50.751163813053438</c:v>
                </c:pt>
                <c:pt idx="63">
                  <c:v>47.053967904827999</c:v>
                </c:pt>
                <c:pt idx="64">
                  <c:v>34.295794113692892</c:v>
                </c:pt>
                <c:pt idx="65">
                  <c:v>46.379384034583367</c:v>
                </c:pt>
                <c:pt idx="66">
                  <c:v>38.812821969471173</c:v>
                </c:pt>
                <c:pt idx="67">
                  <c:v>47.151863118292532</c:v>
                </c:pt>
                <c:pt idx="68">
                  <c:v>43.355946350842189</c:v>
                </c:pt>
                <c:pt idx="69">
                  <c:v>59.534937630286556</c:v>
                </c:pt>
                <c:pt idx="70">
                  <c:v>89.611277477917284</c:v>
                </c:pt>
                <c:pt idx="71">
                  <c:v>100.7961313991171</c:v>
                </c:pt>
                <c:pt idx="72">
                  <c:v>115.0822593270056</c:v>
                </c:pt>
                <c:pt idx="73">
                  <c:v>106.92318207316821</c:v>
                </c:pt>
                <c:pt idx="74">
                  <c:v>50.018062961268747</c:v>
                </c:pt>
                <c:pt idx="75">
                  <c:v>41.82584156307518</c:v>
                </c:pt>
                <c:pt idx="76">
                  <c:v>34.320660344591218</c:v>
                </c:pt>
                <c:pt idx="77">
                  <c:v>24.31568572006325</c:v>
                </c:pt>
                <c:pt idx="78">
                  <c:v>59.766943882147693</c:v>
                </c:pt>
                <c:pt idx="79">
                  <c:v>43.064604783544858</c:v>
                </c:pt>
                <c:pt idx="80">
                  <c:v>52.949405153808357</c:v>
                </c:pt>
                <c:pt idx="81">
                  <c:v>78.645730322406678</c:v>
                </c:pt>
                <c:pt idx="82">
                  <c:v>92.690454871532665</c:v>
                </c:pt>
                <c:pt idx="83">
                  <c:v>79.631228022083661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DAF-DA40-93DE-D2A7ED4BFF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Capture Price Ratio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Inputs'!$J$1</c:f>
              <c:strCache>
                <c:ptCount val="1"/>
                <c:pt idx="0">
                  <c:v>DK1 CPR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Inputs'!$J$2:$J$85</c:f>
              <c:numCache>
                <c:formatCode>General</c:formatCode>
                <c:ptCount val="84"/>
                <c:pt idx="12">
                  <c:v>1.0091486594474419</c:v>
                </c:pt>
                <c:pt idx="13">
                  <c:v>1.2985911686950511</c:v>
                </c:pt>
                <c:pt idx="14">
                  <c:v>0.8710146939215303</c:v>
                </c:pt>
                <c:pt idx="15">
                  <c:v>0.71315772558819213</c:v>
                </c:pt>
                <c:pt idx="16">
                  <c:v>0.96415576931205649</c:v>
                </c:pt>
                <c:pt idx="17">
                  <c:v>1.0394664137310941</c:v>
                </c:pt>
                <c:pt idx="18">
                  <c:v>1.0086181556608309</c:v>
                </c:pt>
                <c:pt idx="19">
                  <c:v>0.98082264407500741</c:v>
                </c:pt>
                <c:pt idx="20">
                  <c:v>1.0104044869130051</c:v>
                </c:pt>
                <c:pt idx="21">
                  <c:v>1.236802226812374</c:v>
                </c:pt>
                <c:pt idx="22">
                  <c:v>1.094777917215692</c:v>
                </c:pt>
                <c:pt idx="23">
                  <c:v>1.0082301641826621</c:v>
                </c:pt>
                <c:pt idx="24">
                  <c:v>1.103930861568265</c:v>
                </c:pt>
                <c:pt idx="25">
                  <c:v>1.0059479277054251</c:v>
                </c:pt>
                <c:pt idx="26">
                  <c:v>0.9871758725122356</c:v>
                </c:pt>
                <c:pt idx="27">
                  <c:v>0.90884647456650169</c:v>
                </c:pt>
                <c:pt idx="28">
                  <c:v>0.87751805187154364</c:v>
                </c:pt>
                <c:pt idx="29">
                  <c:v>0.95691427953473174</c:v>
                </c:pt>
                <c:pt idx="30">
                  <c:v>0.98211323715969778</c:v>
                </c:pt>
                <c:pt idx="31">
                  <c:v>0.99027147802450566</c:v>
                </c:pt>
                <c:pt idx="32">
                  <c:v>0.92690440483613579</c:v>
                </c:pt>
                <c:pt idx="33">
                  <c:v>1.0810885074134391</c:v>
                </c:pt>
                <c:pt idx="34">
                  <c:v>1.1338034085044659</c:v>
                </c:pt>
                <c:pt idx="35">
                  <c:v>1.2086769624549281</c:v>
                </c:pt>
                <c:pt idx="36">
                  <c:v>1.0441257304277269</c:v>
                </c:pt>
                <c:pt idx="37">
                  <c:v>1.04022281700981</c:v>
                </c:pt>
                <c:pt idx="38">
                  <c:v>0.81207759044207406</c:v>
                </c:pt>
                <c:pt idx="39">
                  <c:v>0.89039133384678326</c:v>
                </c:pt>
                <c:pt idx="40">
                  <c:v>0.86943016050498578</c:v>
                </c:pt>
                <c:pt idx="41">
                  <c:v>0.90803902012341908</c:v>
                </c:pt>
                <c:pt idx="42">
                  <c:v>0.87041791592949547</c:v>
                </c:pt>
                <c:pt idx="43">
                  <c:v>0.91908553046700026</c:v>
                </c:pt>
                <c:pt idx="44">
                  <c:v>0.90632901805683119</c:v>
                </c:pt>
                <c:pt idx="45">
                  <c:v>0.91612325253961768</c:v>
                </c:pt>
                <c:pt idx="46">
                  <c:v>0.94278612074660006</c:v>
                </c:pt>
                <c:pt idx="47">
                  <c:v>1.132810339248927</c:v>
                </c:pt>
                <c:pt idx="48">
                  <c:v>1.2309198691226539</c:v>
                </c:pt>
                <c:pt idx="49">
                  <c:v>0.93008781340266</c:v>
                </c:pt>
                <c:pt idx="50">
                  <c:v>0.94612539759598957</c:v>
                </c:pt>
                <c:pt idx="51">
                  <c:v>0.79203966120386338</c:v>
                </c:pt>
                <c:pt idx="52">
                  <c:v>0.68333610561519953</c:v>
                </c:pt>
                <c:pt idx="53">
                  <c:v>0.80965062086215667</c:v>
                </c:pt>
                <c:pt idx="54">
                  <c:v>0.80380421953260928</c:v>
                </c:pt>
                <c:pt idx="55">
                  <c:v>0.86289309777204071</c:v>
                </c:pt>
                <c:pt idx="56">
                  <c:v>0.8038389922187259</c:v>
                </c:pt>
                <c:pt idx="57">
                  <c:v>0.84083605560542263</c:v>
                </c:pt>
                <c:pt idx="58">
                  <c:v>1.028656893611996</c:v>
                </c:pt>
                <c:pt idx="59">
                  <c:v>0.91325607762876626</c:v>
                </c:pt>
                <c:pt idx="60">
                  <c:v>1.051614630458469</c:v>
                </c:pt>
                <c:pt idx="61">
                  <c:v>1.0144208291794441</c:v>
                </c:pt>
                <c:pt idx="62">
                  <c:v>0.8373818542217274</c:v>
                </c:pt>
                <c:pt idx="63">
                  <c:v>0.83468460161643787</c:v>
                </c:pt>
                <c:pt idx="64">
                  <c:v>0.61339845366508694</c:v>
                </c:pt>
                <c:pt idx="65">
                  <c:v>0.73781003223868646</c:v>
                </c:pt>
                <c:pt idx="66">
                  <c:v>0.68549949487061801</c:v>
                </c:pt>
                <c:pt idx="67">
                  <c:v>0.71512676219349525</c:v>
                </c:pt>
                <c:pt idx="68">
                  <c:v>0.63652522303957304</c:v>
                </c:pt>
                <c:pt idx="69">
                  <c:v>0.76175188075929667</c:v>
                </c:pt>
                <c:pt idx="70">
                  <c:v>1.0174940038611719</c:v>
                </c:pt>
                <c:pt idx="71">
                  <c:v>1.0025674160411211</c:v>
                </c:pt>
                <c:pt idx="72">
                  <c:v>1.135032584901597</c:v>
                </c:pt>
                <c:pt idx="73">
                  <c:v>0.93411665141872979</c:v>
                </c:pt>
                <c:pt idx="74">
                  <c:v>0.68579081688022481</c:v>
                </c:pt>
                <c:pt idx="75">
                  <c:v>0.60995353561832499</c:v>
                </c:pt>
                <c:pt idx="76">
                  <c:v>0.62375117423189408</c:v>
                </c:pt>
                <c:pt idx="77">
                  <c:v>0.56976432128633303</c:v>
                </c:pt>
                <c:pt idx="78">
                  <c:v>0.74058967108380014</c:v>
                </c:pt>
                <c:pt idx="79">
                  <c:v>0.64997112344594554</c:v>
                </c:pt>
                <c:pt idx="80">
                  <c:v>0.68273474898658593</c:v>
                </c:pt>
                <c:pt idx="81">
                  <c:v>0.94701517193480578</c:v>
                </c:pt>
                <c:pt idx="82">
                  <c:v>1.0289764309560969</c:v>
                </c:pt>
                <c:pt idx="83">
                  <c:v>0.98205388617926037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AFD-B249-BFCA-27D084F57098}"/>
            </c:ext>
          </c:extLst>
        </c:ser>
        <c:ser>
          <c:idx val="1"/>
          <c:order val="1"/>
          <c:tx>
            <c:strRef>
              <c:f>'Capture Price Inputs'!$K$1</c:f>
              <c:strCache>
                <c:ptCount val="1"/>
                <c:pt idx="0">
                  <c:v>DK2 CPR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'Capture Price Inputs'!$K$2:$K$85</c:f>
              <c:numCache>
                <c:formatCode>General</c:formatCode>
                <c:ptCount val="84"/>
                <c:pt idx="12">
                  <c:v>1.090446324793763</c:v>
                </c:pt>
                <c:pt idx="13">
                  <c:v>1.251821301318464</c:v>
                </c:pt>
                <c:pt idx="14">
                  <c:v>0.85520775851277109</c:v>
                </c:pt>
                <c:pt idx="15">
                  <c:v>0.76362023547871605</c:v>
                </c:pt>
                <c:pt idx="16">
                  <c:v>0.97636938233545278</c:v>
                </c:pt>
                <c:pt idx="17">
                  <c:v>1.180647007173951</c:v>
                </c:pt>
                <c:pt idx="18">
                  <c:v>1.021791049952987</c:v>
                </c:pt>
                <c:pt idx="19">
                  <c:v>1.077948442472481</c:v>
                </c:pt>
                <c:pt idx="20">
                  <c:v>1.0591890923358069</c:v>
                </c:pt>
                <c:pt idx="21">
                  <c:v>1.247549053102559</c:v>
                </c:pt>
                <c:pt idx="22">
                  <c:v>1.057080411727209</c:v>
                </c:pt>
                <c:pt idx="23">
                  <c:v>1.125691191699302</c:v>
                </c:pt>
                <c:pt idx="24">
                  <c:v>1.122164979814525</c:v>
                </c:pt>
                <c:pt idx="25">
                  <c:v>0.9585139857498034</c:v>
                </c:pt>
                <c:pt idx="26">
                  <c:v>1.0147741726503949</c:v>
                </c:pt>
                <c:pt idx="27">
                  <c:v>0.95901643664766134</c:v>
                </c:pt>
                <c:pt idx="28">
                  <c:v>0.91033887361171206</c:v>
                </c:pt>
                <c:pt idx="29">
                  <c:v>0.94404491874816343</c:v>
                </c:pt>
                <c:pt idx="30">
                  <c:v>0.95692856904650769</c:v>
                </c:pt>
                <c:pt idx="31">
                  <c:v>1.001768528067071</c:v>
                </c:pt>
                <c:pt idx="32">
                  <c:v>0.95838336990944806</c:v>
                </c:pt>
                <c:pt idx="33">
                  <c:v>1.1445012658471321</c:v>
                </c:pt>
                <c:pt idx="34">
                  <c:v>1.1264608571418011</c:v>
                </c:pt>
                <c:pt idx="35">
                  <c:v>1.279578427053047</c:v>
                </c:pt>
                <c:pt idx="36">
                  <c:v>1.1617546523412821</c:v>
                </c:pt>
                <c:pt idx="37">
                  <c:v>1.084871924613185</c:v>
                </c:pt>
                <c:pt idx="38">
                  <c:v>0.81629582758371144</c:v>
                </c:pt>
                <c:pt idx="39">
                  <c:v>0.93918048773921026</c:v>
                </c:pt>
                <c:pt idx="40">
                  <c:v>0.89914563143311954</c:v>
                </c:pt>
                <c:pt idx="41">
                  <c:v>0.90151367457475784</c:v>
                </c:pt>
                <c:pt idx="42">
                  <c:v>0.90956244496775596</c:v>
                </c:pt>
                <c:pt idx="43">
                  <c:v>0.8830756108422062</c:v>
                </c:pt>
                <c:pt idx="44">
                  <c:v>0.96085369829588263</c:v>
                </c:pt>
                <c:pt idx="45">
                  <c:v>0.87743541957368609</c:v>
                </c:pt>
                <c:pt idx="46">
                  <c:v>0.92404474391789948</c:v>
                </c:pt>
                <c:pt idx="47">
                  <c:v>1.2185280560697289</c:v>
                </c:pt>
                <c:pt idx="48">
                  <c:v>1.2118663236304299</c:v>
                </c:pt>
                <c:pt idx="49">
                  <c:v>1.0244781228159621</c:v>
                </c:pt>
                <c:pt idx="50">
                  <c:v>0.99223631219701203</c:v>
                </c:pt>
                <c:pt idx="51">
                  <c:v>0.85025873478203906</c:v>
                </c:pt>
                <c:pt idx="52">
                  <c:v>0.73101748270540212</c:v>
                </c:pt>
                <c:pt idx="53">
                  <c:v>0.78603819917365525</c:v>
                </c:pt>
                <c:pt idx="54">
                  <c:v>0.77170348712471282</c:v>
                </c:pt>
                <c:pt idx="55">
                  <c:v>0.84546104105698361</c:v>
                </c:pt>
                <c:pt idx="56">
                  <c:v>0.75329173308453345</c:v>
                </c:pt>
                <c:pt idx="57">
                  <c:v>0.83723449033464103</c:v>
                </c:pt>
                <c:pt idx="58">
                  <c:v>1.038705241708771</c:v>
                </c:pt>
                <c:pt idx="59">
                  <c:v>0.83326707575628478</c:v>
                </c:pt>
                <c:pt idx="60">
                  <c:v>0.97714487510792902</c:v>
                </c:pt>
                <c:pt idx="61">
                  <c:v>0.93991726033346112</c:v>
                </c:pt>
                <c:pt idx="62">
                  <c:v>0.8314293202728863</c:v>
                </c:pt>
                <c:pt idx="63">
                  <c:v>0.77805107456374178</c:v>
                </c:pt>
                <c:pt idx="64">
                  <c:v>0.59005563427075769</c:v>
                </c:pt>
                <c:pt idx="65">
                  <c:v>0.69439585691141426</c:v>
                </c:pt>
                <c:pt idx="66">
                  <c:v>0.61762838453946423</c:v>
                </c:pt>
                <c:pt idx="67">
                  <c:v>0.64934714792296455</c:v>
                </c:pt>
                <c:pt idx="68">
                  <c:v>0.61574801135475132</c:v>
                </c:pt>
                <c:pt idx="69">
                  <c:v>0.78000735067931948</c:v>
                </c:pt>
                <c:pt idx="70">
                  <c:v>0.94047799551015088</c:v>
                </c:pt>
                <c:pt idx="71">
                  <c:v>1.0870067185479459</c:v>
                </c:pt>
                <c:pt idx="72">
                  <c:v>1.1494003648079021</c:v>
                </c:pt>
                <c:pt idx="73">
                  <c:v>0.90662384271333907</c:v>
                </c:pt>
                <c:pt idx="74">
                  <c:v>0.60374116471580297</c:v>
                </c:pt>
                <c:pt idx="75">
                  <c:v>0.55174367988103734</c:v>
                </c:pt>
                <c:pt idx="76">
                  <c:v>0.54405946330729504</c:v>
                </c:pt>
                <c:pt idx="77">
                  <c:v>0.4307606652121766</c:v>
                </c:pt>
                <c:pt idx="78">
                  <c:v>0.74746341861966192</c:v>
                </c:pt>
                <c:pt idx="79">
                  <c:v>0.57178942343359873</c:v>
                </c:pt>
                <c:pt idx="80">
                  <c:v>0.63573160083367797</c:v>
                </c:pt>
                <c:pt idx="81">
                  <c:v>0.95480840081563045</c:v>
                </c:pt>
                <c:pt idx="82">
                  <c:v>0.98927251294969987</c:v>
                </c:pt>
                <c:pt idx="83">
                  <c:v>0.97014796253594149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AFD-B249-BFCA-27D084F570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CPR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Solar Penetration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Inputs'!$F$1</c:f>
              <c:strCache>
                <c:ptCount val="1"/>
                <c:pt idx="0">
                  <c:v>DK1 Solar Penetration (%) — Primary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'Capture Price Inputs'!$F$2:$F$85</c:f>
              <c:numCache>
                <c:formatCode>General</c:formatCode>
                <c:ptCount val="84"/>
                <c:pt idx="12">
                  <c:v>2.2644478926294831E-3</c:v>
                </c:pt>
                <c:pt idx="13">
                  <c:v>5.2474520244822449E-3</c:v>
                </c:pt>
                <c:pt idx="14">
                  <c:v>2.020167759412729E-2</c:v>
                </c:pt>
                <c:pt idx="15">
                  <c:v>3.2427989612304697E-2</c:v>
                </c:pt>
                <c:pt idx="16">
                  <c:v>3.6080087237903569E-2</c:v>
                </c:pt>
                <c:pt idx="17">
                  <c:v>3.7413618831640891E-2</c:v>
                </c:pt>
                <c:pt idx="18">
                  <c:v>3.3998433859503921E-2</c:v>
                </c:pt>
                <c:pt idx="19">
                  <c:v>3.4224763142537661E-2</c:v>
                </c:pt>
                <c:pt idx="20">
                  <c:v>2.4330151939157239E-2</c:v>
                </c:pt>
                <c:pt idx="21">
                  <c:v>1.1490387549446779E-2</c:v>
                </c:pt>
                <c:pt idx="22">
                  <c:v>1.521101274151999E-4</c:v>
                </c:pt>
                <c:pt idx="23">
                  <c:v>1.472410662127807E-5</c:v>
                </c:pt>
                <c:pt idx="24">
                  <c:v>3.6313559990350909E-3</c:v>
                </c:pt>
                <c:pt idx="25">
                  <c:v>1.0868941718057299E-2</c:v>
                </c:pt>
                <c:pt idx="26">
                  <c:v>2.2382303907371628E-2</c:v>
                </c:pt>
                <c:pt idx="27">
                  <c:v>4.212837115783985E-2</c:v>
                </c:pt>
                <c:pt idx="28">
                  <c:v>3.3075052211960353E-2</c:v>
                </c:pt>
                <c:pt idx="29">
                  <c:v>4.9841661821819518E-2</c:v>
                </c:pt>
                <c:pt idx="30">
                  <c:v>4.85715434854639E-2</c:v>
                </c:pt>
                <c:pt idx="31">
                  <c:v>3.8876947944708702E-2</c:v>
                </c:pt>
                <c:pt idx="32">
                  <c:v>2.5932850179436289E-2</c:v>
                </c:pt>
                <c:pt idx="33">
                  <c:v>1.7460096431489061E-2</c:v>
                </c:pt>
                <c:pt idx="34">
                  <c:v>7.0293060058135041E-3</c:v>
                </c:pt>
                <c:pt idx="35">
                  <c:v>3.243365391886713E-3</c:v>
                </c:pt>
                <c:pt idx="36">
                  <c:v>6.6753155472480874E-3</c:v>
                </c:pt>
                <c:pt idx="37">
                  <c:v>1.7399571233002901E-2</c:v>
                </c:pt>
                <c:pt idx="38">
                  <c:v>6.1955070586442867E-2</c:v>
                </c:pt>
                <c:pt idx="39">
                  <c:v>8.404056603836467E-2</c:v>
                </c:pt>
                <c:pt idx="40">
                  <c:v>9.6876891420316108E-2</c:v>
                </c:pt>
                <c:pt idx="41">
                  <c:v>9.4962020744311482E-2</c:v>
                </c:pt>
                <c:pt idx="42">
                  <c:v>9.963556652585577E-2</c:v>
                </c:pt>
                <c:pt idx="43">
                  <c:v>8.9626978325266782E-2</c:v>
                </c:pt>
                <c:pt idx="44">
                  <c:v>6.6046498591704736E-2</c:v>
                </c:pt>
                <c:pt idx="45">
                  <c:v>3.7469414477654707E-2</c:v>
                </c:pt>
                <c:pt idx="46">
                  <c:v>1.046932675470221E-2</c:v>
                </c:pt>
                <c:pt idx="47">
                  <c:v>6.2291646451968653E-3</c:v>
                </c:pt>
                <c:pt idx="48">
                  <c:v>1.2460694276862919E-2</c:v>
                </c:pt>
                <c:pt idx="49">
                  <c:v>3.4376404191763639E-2</c:v>
                </c:pt>
                <c:pt idx="50">
                  <c:v>5.6477968577058592E-2</c:v>
                </c:pt>
                <c:pt idx="51">
                  <c:v>0.1509467292684683</c:v>
                </c:pt>
                <c:pt idx="52">
                  <c:v>0.18600333743842001</c:v>
                </c:pt>
                <c:pt idx="53">
                  <c:v>0.21892573712946101</c:v>
                </c:pt>
                <c:pt idx="54">
                  <c:v>0.18929524056345021</c:v>
                </c:pt>
                <c:pt idx="55">
                  <c:v>0.1493297980639493</c:v>
                </c:pt>
                <c:pt idx="56">
                  <c:v>0.13191654386548721</c:v>
                </c:pt>
                <c:pt idx="57">
                  <c:v>4.2864886456730103E-2</c:v>
                </c:pt>
                <c:pt idx="58">
                  <c:v>1.6003493537152379E-2</c:v>
                </c:pt>
                <c:pt idx="59">
                  <c:v>6.3905046726965339E-3</c:v>
                </c:pt>
                <c:pt idx="60">
                  <c:v>1.3417186050607519E-2</c:v>
                </c:pt>
                <c:pt idx="61">
                  <c:v>2.6436223837926501E-2</c:v>
                </c:pt>
                <c:pt idx="62">
                  <c:v>6.6233973400350477E-2</c:v>
                </c:pt>
                <c:pt idx="63">
                  <c:v>0.1084169878649764</c:v>
                </c:pt>
                <c:pt idx="64">
                  <c:v>0.18887031649880051</c:v>
                </c:pt>
                <c:pt idx="65">
                  <c:v>0.1715230569234828</c:v>
                </c:pt>
                <c:pt idx="66">
                  <c:v>0.1809062055635286</c:v>
                </c:pt>
                <c:pt idx="67">
                  <c:v>0.15512153111725799</c:v>
                </c:pt>
                <c:pt idx="68">
                  <c:v>0.1275567235314205</c:v>
                </c:pt>
                <c:pt idx="69">
                  <c:v>6.2873767847415107E-2</c:v>
                </c:pt>
                <c:pt idx="70">
                  <c:v>1.780902737610289E-2</c:v>
                </c:pt>
                <c:pt idx="71">
                  <c:v>6.7857975683456679E-3</c:v>
                </c:pt>
                <c:pt idx="72">
                  <c:v>1.366055484422285E-2</c:v>
                </c:pt>
                <c:pt idx="73">
                  <c:v>4.3419934817177687E-2</c:v>
                </c:pt>
                <c:pt idx="74">
                  <c:v>0.1120694547038418</c:v>
                </c:pt>
                <c:pt idx="75">
                  <c:v>0.14827548756052711</c:v>
                </c:pt>
                <c:pt idx="76">
                  <c:v>0.19244468175967161</c:v>
                </c:pt>
                <c:pt idx="77">
                  <c:v>0.18784829238523279</c:v>
                </c:pt>
                <c:pt idx="78">
                  <c:v>0.21828188848241209</c:v>
                </c:pt>
                <c:pt idx="79">
                  <c:v>0.19011684012808119</c:v>
                </c:pt>
                <c:pt idx="80">
                  <c:v>0.13816152724517919</c:v>
                </c:pt>
                <c:pt idx="81">
                  <c:v>6.9462071202051626E-2</c:v>
                </c:pt>
                <c:pt idx="82">
                  <c:v>2.6604970402147529E-2</c:v>
                </c:pt>
                <c:pt idx="83">
                  <c:v>1.40253486520015E-2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F6B-FF43-8374-6E9629F632A3}"/>
            </c:ext>
          </c:extLst>
        </c:ser>
        <c:ser>
          <c:idx val="1"/>
          <c:order val="1"/>
          <c:tx>
            <c:strRef>
              <c:f>'Capture Price Inputs'!$G$1</c:f>
              <c:strCache>
                <c:ptCount val="1"/>
                <c:pt idx="0">
                  <c:v>DK2 Solar Penetration (%) — Robustness</c:v>
                </c:pt>
              </c:strCache>
            </c:strRef>
          </c:tx>
          <c:spPr>
            <a:ln>
              <a:solidFill>
                <a:srgbClr val="FFD700"/>
              </a:solidFill>
              <a:prstDash val="solid"/>
            </a:ln>
          </c:spPr>
          <c:marker>
            <c:symbol val="none"/>
          </c:marker>
          <c:val>
            <c:numRef>
              <c:f>'Capture Price Inputs'!$G$2:$G$85</c:f>
              <c:numCache>
                <c:formatCode>General</c:formatCode>
                <c:ptCount val="84"/>
                <c:pt idx="12">
                  <c:v>1.864323044087839E-3</c:v>
                </c:pt>
                <c:pt idx="13">
                  <c:v>4.9613393448072352E-3</c:v>
                </c:pt>
                <c:pt idx="14">
                  <c:v>1.532033335337761E-2</c:v>
                </c:pt>
                <c:pt idx="15">
                  <c:v>2.6180595134545931E-2</c:v>
                </c:pt>
                <c:pt idx="16">
                  <c:v>3.2240930774166239E-2</c:v>
                </c:pt>
                <c:pt idx="17">
                  <c:v>3.0651812088155841E-2</c:v>
                </c:pt>
                <c:pt idx="18">
                  <c:v>2.998206800974695E-2</c:v>
                </c:pt>
                <c:pt idx="19">
                  <c:v>2.8034713414307081E-2</c:v>
                </c:pt>
                <c:pt idx="20">
                  <c:v>2.1736479101595249E-2</c:v>
                </c:pt>
                <c:pt idx="21">
                  <c:v>1.107911770574695E-2</c:v>
                </c:pt>
                <c:pt idx="22">
                  <c:v>1.1044611578332841E-4</c:v>
                </c:pt>
                <c:pt idx="23">
                  <c:v>5.6352433584062588E-6</c:v>
                </c:pt>
                <c:pt idx="24">
                  <c:v>3.104474131982996E-3</c:v>
                </c:pt>
                <c:pt idx="25">
                  <c:v>9.2483369487723587E-3</c:v>
                </c:pt>
                <c:pt idx="26">
                  <c:v>1.8474517045212829E-2</c:v>
                </c:pt>
                <c:pt idx="27">
                  <c:v>3.2694407483312787E-2</c:v>
                </c:pt>
                <c:pt idx="28">
                  <c:v>3.2945829294540187E-2</c:v>
                </c:pt>
                <c:pt idx="29">
                  <c:v>4.4480133140056069E-2</c:v>
                </c:pt>
                <c:pt idx="30">
                  <c:v>3.7049542537302173E-2</c:v>
                </c:pt>
                <c:pt idx="31">
                  <c:v>3.1857768834261987E-2</c:v>
                </c:pt>
                <c:pt idx="32">
                  <c:v>2.23981137027396E-2</c:v>
                </c:pt>
                <c:pt idx="33">
                  <c:v>1.267326343754744E-2</c:v>
                </c:pt>
                <c:pt idx="34">
                  <c:v>4.0132810857910267E-3</c:v>
                </c:pt>
                <c:pt idx="35">
                  <c:v>1.8226295838260991E-3</c:v>
                </c:pt>
                <c:pt idx="36">
                  <c:v>4.939556742877535E-3</c:v>
                </c:pt>
                <c:pt idx="37">
                  <c:v>1.3248485586698279E-2</c:v>
                </c:pt>
                <c:pt idx="38">
                  <c:v>3.4089330349121053E-2</c:v>
                </c:pt>
                <c:pt idx="39">
                  <c:v>5.5254436099578648E-2</c:v>
                </c:pt>
                <c:pt idx="40">
                  <c:v>6.5811459960859395E-2</c:v>
                </c:pt>
                <c:pt idx="41">
                  <c:v>6.4528229045867816E-2</c:v>
                </c:pt>
                <c:pt idx="42">
                  <c:v>6.7025803801952916E-2</c:v>
                </c:pt>
                <c:pt idx="43">
                  <c:v>6.1299924397195817E-2</c:v>
                </c:pt>
                <c:pt idx="44">
                  <c:v>4.5784276103507021E-2</c:v>
                </c:pt>
                <c:pt idx="45">
                  <c:v>2.9809058027035401E-2</c:v>
                </c:pt>
                <c:pt idx="46">
                  <c:v>7.8652952619005494E-3</c:v>
                </c:pt>
                <c:pt idx="47">
                  <c:v>4.5323555529735481E-3</c:v>
                </c:pt>
                <c:pt idx="48">
                  <c:v>5.8626527231366082E-3</c:v>
                </c:pt>
                <c:pt idx="49">
                  <c:v>1.8877648418373551E-2</c:v>
                </c:pt>
                <c:pt idx="50">
                  <c:v>3.7096229392005707E-2</c:v>
                </c:pt>
                <c:pt idx="51">
                  <c:v>8.0269966033824955E-2</c:v>
                </c:pt>
                <c:pt idx="52">
                  <c:v>0.1080032082802261</c:v>
                </c:pt>
                <c:pt idx="53">
                  <c:v>0.1144244665352921</c:v>
                </c:pt>
                <c:pt idx="54">
                  <c:v>0.10203074507159759</c:v>
                </c:pt>
                <c:pt idx="55">
                  <c:v>7.7931010532967707E-2</c:v>
                </c:pt>
                <c:pt idx="56">
                  <c:v>8.0909954639318743E-2</c:v>
                </c:pt>
                <c:pt idx="57">
                  <c:v>2.9172340215594381E-2</c:v>
                </c:pt>
                <c:pt idx="58">
                  <c:v>1.04098691216888E-2</c:v>
                </c:pt>
                <c:pt idx="59">
                  <c:v>3.809030164374855E-3</c:v>
                </c:pt>
                <c:pt idx="60">
                  <c:v>6.1781830729755079E-3</c:v>
                </c:pt>
                <c:pt idx="61">
                  <c:v>1.667231366864759E-2</c:v>
                </c:pt>
                <c:pt idx="62">
                  <c:v>4.1112806367337662E-2</c:v>
                </c:pt>
                <c:pt idx="63">
                  <c:v>6.5123378744806448E-2</c:v>
                </c:pt>
                <c:pt idx="64">
                  <c:v>0.106315341440858</c:v>
                </c:pt>
                <c:pt idx="65">
                  <c:v>0.1072729076610999</c:v>
                </c:pt>
                <c:pt idx="66">
                  <c:v>0.1057942634887733</c:v>
                </c:pt>
                <c:pt idx="67">
                  <c:v>9.3690832268705199E-2</c:v>
                </c:pt>
                <c:pt idx="68">
                  <c:v>7.2463202820400169E-2</c:v>
                </c:pt>
                <c:pt idx="69">
                  <c:v>3.6145253892379881E-2</c:v>
                </c:pt>
                <c:pt idx="70">
                  <c:v>8.6028414054236078E-3</c:v>
                </c:pt>
                <c:pt idx="71">
                  <c:v>4.1714684657767577E-3</c:v>
                </c:pt>
                <c:pt idx="72">
                  <c:v>7.223240212576967E-3</c:v>
                </c:pt>
                <c:pt idx="73">
                  <c:v>2.010831138567791E-2</c:v>
                </c:pt>
                <c:pt idx="74">
                  <c:v>4.6547866447452589E-2</c:v>
                </c:pt>
                <c:pt idx="75">
                  <c:v>7.1689783649061992E-2</c:v>
                </c:pt>
                <c:pt idx="76">
                  <c:v>9.4714127256233946E-2</c:v>
                </c:pt>
                <c:pt idx="77">
                  <c:v>9.9826250015510765E-2</c:v>
                </c:pt>
                <c:pt idx="78">
                  <c:v>9.3996419418699143E-2</c:v>
                </c:pt>
                <c:pt idx="79">
                  <c:v>0.1057378118957395</c:v>
                </c:pt>
                <c:pt idx="80">
                  <c:v>9.0628879686523764E-2</c:v>
                </c:pt>
                <c:pt idx="81">
                  <c:v>3.9573125678626628E-2</c:v>
                </c:pt>
                <c:pt idx="82">
                  <c:v>1.454364344794783E-2</c:v>
                </c:pt>
                <c:pt idx="83">
                  <c:v>9.0694911608833299E-3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F6B-FF43-8374-6E9629F632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Solar Penetration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Capture Price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Inputs'!$H$1</c:f>
              <c:strCache>
                <c:ptCount val="1"/>
                <c:pt idx="0">
                  <c:v>DK1 Capture Price (EUR/MWh)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Inputs'!$H$2:$H$85</c:f>
              <c:numCache>
                <c:formatCode>General</c:formatCode>
                <c:ptCount val="84"/>
                <c:pt idx="12">
                  <c:v>25.22320957280251</c:v>
                </c:pt>
                <c:pt idx="13">
                  <c:v>22.83581899109792</c:v>
                </c:pt>
                <c:pt idx="14">
                  <c:v>15.94107348554973</c:v>
                </c:pt>
                <c:pt idx="15">
                  <c:v>10.36487590420421</c:v>
                </c:pt>
                <c:pt idx="16">
                  <c:v>15.478548945086001</c:v>
                </c:pt>
                <c:pt idx="17">
                  <c:v>27.313308227868689</c:v>
                </c:pt>
                <c:pt idx="18">
                  <c:v>24.831745178109159</c:v>
                </c:pt>
                <c:pt idx="19">
                  <c:v>33.876915422047851</c:v>
                </c:pt>
                <c:pt idx="20">
                  <c:v>38.935979003379593</c:v>
                </c:pt>
                <c:pt idx="21">
                  <c:v>31.927741533059191</c:v>
                </c:pt>
                <c:pt idx="22">
                  <c:v>26.005993265993261</c:v>
                </c:pt>
                <c:pt idx="23">
                  <c:v>34.795161290322582</c:v>
                </c:pt>
                <c:pt idx="24">
                  <c:v>55.422967607277918</c:v>
                </c:pt>
                <c:pt idx="25">
                  <c:v>47.542610979142587</c:v>
                </c:pt>
                <c:pt idx="26">
                  <c:v>44.550700915805493</c:v>
                </c:pt>
                <c:pt idx="27">
                  <c:v>43.594739828473003</c:v>
                </c:pt>
                <c:pt idx="28">
                  <c:v>47.655870575001217</c:v>
                </c:pt>
                <c:pt idx="29">
                  <c:v>70.543547911111062</c:v>
                </c:pt>
                <c:pt idx="30">
                  <c:v>78.568319747758608</c:v>
                </c:pt>
                <c:pt idx="31">
                  <c:v>81.983351136401794</c:v>
                </c:pt>
                <c:pt idx="32">
                  <c:v>116.20022495544841</c:v>
                </c:pt>
                <c:pt idx="33">
                  <c:v>126.53039520323949</c:v>
                </c:pt>
                <c:pt idx="34">
                  <c:v>160.77058330102949</c:v>
                </c:pt>
                <c:pt idx="35">
                  <c:v>228.8621705579358</c:v>
                </c:pt>
                <c:pt idx="36">
                  <c:v>123.20125067917191</c:v>
                </c:pt>
                <c:pt idx="37">
                  <c:v>117.67077903546</c:v>
                </c:pt>
                <c:pt idx="38">
                  <c:v>191.50807173506701</c:v>
                </c:pt>
                <c:pt idx="39">
                  <c:v>145.70138715926041</c:v>
                </c:pt>
                <c:pt idx="40">
                  <c:v>149.4185612445558</c:v>
                </c:pt>
                <c:pt idx="41">
                  <c:v>194.71103409481981</c:v>
                </c:pt>
                <c:pt idx="42">
                  <c:v>239.3981525107354</c:v>
                </c:pt>
                <c:pt idx="43">
                  <c:v>419.79263722660602</c:v>
                </c:pt>
                <c:pt idx="44">
                  <c:v>310.70739927266709</c:v>
                </c:pt>
                <c:pt idx="45">
                  <c:v>125.6295598680838</c:v>
                </c:pt>
                <c:pt idx="46">
                  <c:v>131.7111886265582</c:v>
                </c:pt>
                <c:pt idx="47">
                  <c:v>282.82379374207261</c:v>
                </c:pt>
                <c:pt idx="48">
                  <c:v>138.52998868426329</c:v>
                </c:pt>
                <c:pt idx="49">
                  <c:v>109.87697572135031</c:v>
                </c:pt>
                <c:pt idx="50">
                  <c:v>93.774190940695377</c:v>
                </c:pt>
                <c:pt idx="51">
                  <c:v>76.25042822265543</c:v>
                </c:pt>
                <c:pt idx="52">
                  <c:v>50.543487760082613</c:v>
                </c:pt>
                <c:pt idx="53">
                  <c:v>74.888982776218057</c:v>
                </c:pt>
                <c:pt idx="54">
                  <c:v>52.095599438463452</c:v>
                </c:pt>
                <c:pt idx="55">
                  <c:v>74.180426039978187</c:v>
                </c:pt>
                <c:pt idx="56">
                  <c:v>68.116869623396937</c:v>
                </c:pt>
                <c:pt idx="57">
                  <c:v>50.539090519702853</c:v>
                </c:pt>
                <c:pt idx="58">
                  <c:v>90.680805562425178</c:v>
                </c:pt>
                <c:pt idx="59">
                  <c:v>63.455327688788032</c:v>
                </c:pt>
                <c:pt idx="60">
                  <c:v>78.571316441678306</c:v>
                </c:pt>
                <c:pt idx="61">
                  <c:v>59.479486768055089</c:v>
                </c:pt>
                <c:pt idx="62">
                  <c:v>51.269783241554933</c:v>
                </c:pt>
                <c:pt idx="63">
                  <c:v>49.383940562011212</c:v>
                </c:pt>
                <c:pt idx="64">
                  <c:v>35.894148271408874</c:v>
                </c:pt>
                <c:pt idx="65">
                  <c:v>47.037633727397647</c:v>
                </c:pt>
                <c:pt idx="66">
                  <c:v>42.521773223099522</c:v>
                </c:pt>
                <c:pt idx="67">
                  <c:v>52.17121747504909</c:v>
                </c:pt>
                <c:pt idx="68">
                  <c:v>45.647504626217007</c:v>
                </c:pt>
                <c:pt idx="69">
                  <c:v>58.441583787091993</c:v>
                </c:pt>
                <c:pt idx="70">
                  <c:v>97.582352616331917</c:v>
                </c:pt>
                <c:pt idx="71">
                  <c:v>92.073217693833982</c:v>
                </c:pt>
                <c:pt idx="72">
                  <c:v>111.1945655985155</c:v>
                </c:pt>
                <c:pt idx="73">
                  <c:v>105.41315973788279</c:v>
                </c:pt>
                <c:pt idx="74">
                  <c:v>57.84566339627056</c:v>
                </c:pt>
                <c:pt idx="75">
                  <c:v>45.844395770687349</c:v>
                </c:pt>
                <c:pt idx="76">
                  <c:v>40.065667394009381</c:v>
                </c:pt>
                <c:pt idx="77">
                  <c:v>33.493381965196598</c:v>
                </c:pt>
                <c:pt idx="78">
                  <c:v>61.32224821093979</c:v>
                </c:pt>
                <c:pt idx="79">
                  <c:v>47.755824567457559</c:v>
                </c:pt>
                <c:pt idx="80">
                  <c:v>49.429094996057238</c:v>
                </c:pt>
                <c:pt idx="81">
                  <c:v>74.266634537895257</c:v>
                </c:pt>
                <c:pt idx="82">
                  <c:v>95.564531802521344</c:v>
                </c:pt>
                <c:pt idx="83">
                  <c:v>80.958034242780258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AEF-004E-92ED-29B055DFA83B}"/>
            </c:ext>
          </c:extLst>
        </c:ser>
        <c:ser>
          <c:idx val="1"/>
          <c:order val="1"/>
          <c:tx>
            <c:strRef>
              <c:f>'Capture Price Inputs'!$I$1</c:f>
              <c:strCache>
                <c:ptCount val="1"/>
                <c:pt idx="0">
                  <c:v>DK2 Capture Price (EUR/MWh)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'Capture Price Inputs'!$I$2:$I$85</c:f>
              <c:numCache>
                <c:formatCode>General</c:formatCode>
                <c:ptCount val="84"/>
                <c:pt idx="12">
                  <c:v>29.86213642213642</c:v>
                </c:pt>
                <c:pt idx="13">
                  <c:v>23.555517829721889</c:v>
                </c:pt>
                <c:pt idx="14">
                  <c:v>17.149050692261021</c:v>
                </c:pt>
                <c:pt idx="15">
                  <c:v>13.252523128367081</c:v>
                </c:pt>
                <c:pt idx="16">
                  <c:v>18.594049382716051</c:v>
                </c:pt>
                <c:pt idx="17">
                  <c:v>35.21078005032583</c:v>
                </c:pt>
                <c:pt idx="18">
                  <c:v>26.450778046867001</c:v>
                </c:pt>
                <c:pt idx="19">
                  <c:v>44.113765015404859</c:v>
                </c:pt>
                <c:pt idx="20">
                  <c:v>41.853047880870562</c:v>
                </c:pt>
                <c:pt idx="21">
                  <c:v>33.600878372903331</c:v>
                </c:pt>
                <c:pt idx="22">
                  <c:v>37.749765625000002</c:v>
                </c:pt>
                <c:pt idx="23">
                  <c:v>44.191428571428567</c:v>
                </c:pt>
                <c:pt idx="24">
                  <c:v>57.072134410081453</c:v>
                </c:pt>
                <c:pt idx="25">
                  <c:v>52.285083654524577</c:v>
                </c:pt>
                <c:pt idx="26">
                  <c:v>47.422643011897812</c:v>
                </c:pt>
                <c:pt idx="27">
                  <c:v>45.901363748248833</c:v>
                </c:pt>
                <c:pt idx="28">
                  <c:v>50.258720231460799</c:v>
                </c:pt>
                <c:pt idx="29">
                  <c:v>69.469341653776226</c:v>
                </c:pt>
                <c:pt idx="30">
                  <c:v>77.933111551394319</c:v>
                </c:pt>
                <c:pt idx="31">
                  <c:v>84.512747690257029</c:v>
                </c:pt>
                <c:pt idx="32">
                  <c:v>118.7457227855615</c:v>
                </c:pt>
                <c:pt idx="33">
                  <c:v>122.3841235967906</c:v>
                </c:pt>
                <c:pt idx="34">
                  <c:v>153.62679427815749</c:v>
                </c:pt>
                <c:pt idx="35">
                  <c:v>244.48727859764409</c:v>
                </c:pt>
                <c:pt idx="36">
                  <c:v>129.67749023150819</c:v>
                </c:pt>
                <c:pt idx="37">
                  <c:v>108.80333899256409</c:v>
                </c:pt>
                <c:pt idx="38">
                  <c:v>186.0504424586062</c:v>
                </c:pt>
                <c:pt idx="39">
                  <c:v>143.53758886421849</c:v>
                </c:pt>
                <c:pt idx="40">
                  <c:v>146.25360234460331</c:v>
                </c:pt>
                <c:pt idx="41">
                  <c:v>192.2325905808319</c:v>
                </c:pt>
                <c:pt idx="42">
                  <c:v>212.3625858003895</c:v>
                </c:pt>
                <c:pt idx="43">
                  <c:v>397.17988485976059</c:v>
                </c:pt>
                <c:pt idx="44">
                  <c:v>315.92884279677901</c:v>
                </c:pt>
                <c:pt idx="45">
                  <c:v>120.1190076327392</c:v>
                </c:pt>
                <c:pt idx="46">
                  <c:v>134.0399027878758</c:v>
                </c:pt>
                <c:pt idx="47">
                  <c:v>303.26978481668573</c:v>
                </c:pt>
                <c:pt idx="48">
                  <c:v>120.8992864784306</c:v>
                </c:pt>
                <c:pt idx="49">
                  <c:v>103.112625406295</c:v>
                </c:pt>
                <c:pt idx="50">
                  <c:v>89.098468921641697</c:v>
                </c:pt>
                <c:pt idx="51">
                  <c:v>71.125099705594195</c:v>
                </c:pt>
                <c:pt idx="52">
                  <c:v>48.358083796456327</c:v>
                </c:pt>
                <c:pt idx="53">
                  <c:v>71.862090372222397</c:v>
                </c:pt>
                <c:pt idx="54">
                  <c:v>50.345966617092351</c:v>
                </c:pt>
                <c:pt idx="55">
                  <c:v>72.957992347987414</c:v>
                </c:pt>
                <c:pt idx="56">
                  <c:v>64.394484672464898</c:v>
                </c:pt>
                <c:pt idx="57">
                  <c:v>47.660255094286853</c:v>
                </c:pt>
                <c:pt idx="58">
                  <c:v>84.639978605265995</c:v>
                </c:pt>
                <c:pt idx="59">
                  <c:v>59.061746333079718</c:v>
                </c:pt>
                <c:pt idx="60">
                  <c:v>76.427202535219209</c:v>
                </c:pt>
                <c:pt idx="61">
                  <c:v>51.434379196547752</c:v>
                </c:pt>
                <c:pt idx="62">
                  <c:v>50.751163813053438</c:v>
                </c:pt>
                <c:pt idx="63">
                  <c:v>47.053967904827999</c:v>
                </c:pt>
                <c:pt idx="64">
                  <c:v>34.295794113692892</c:v>
                </c:pt>
                <c:pt idx="65">
                  <c:v>46.379384034583367</c:v>
                </c:pt>
                <c:pt idx="66">
                  <c:v>38.812821969471173</c:v>
                </c:pt>
                <c:pt idx="67">
                  <c:v>47.151863118292532</c:v>
                </c:pt>
                <c:pt idx="68">
                  <c:v>43.355946350842189</c:v>
                </c:pt>
                <c:pt idx="69">
                  <c:v>59.534937630286556</c:v>
                </c:pt>
                <c:pt idx="70">
                  <c:v>89.611277477917284</c:v>
                </c:pt>
                <c:pt idx="71">
                  <c:v>100.7961313991171</c:v>
                </c:pt>
                <c:pt idx="72">
                  <c:v>115.0822593270056</c:v>
                </c:pt>
                <c:pt idx="73">
                  <c:v>106.92318207316821</c:v>
                </c:pt>
                <c:pt idx="74">
                  <c:v>50.018062961268747</c:v>
                </c:pt>
                <c:pt idx="75">
                  <c:v>41.82584156307518</c:v>
                </c:pt>
                <c:pt idx="76">
                  <c:v>34.320660344591218</c:v>
                </c:pt>
                <c:pt idx="77">
                  <c:v>24.31568572006325</c:v>
                </c:pt>
                <c:pt idx="78">
                  <c:v>59.766943882147693</c:v>
                </c:pt>
                <c:pt idx="79">
                  <c:v>43.064604783544858</c:v>
                </c:pt>
                <c:pt idx="80">
                  <c:v>52.949405153808357</c:v>
                </c:pt>
                <c:pt idx="81">
                  <c:v>78.645730322406678</c:v>
                </c:pt>
                <c:pt idx="82">
                  <c:v>92.690454871532665</c:v>
                </c:pt>
                <c:pt idx="83">
                  <c:v>79.631228022083661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AEF-004E-92ED-29B055DFA8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Capture Price Ratio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Inputs'!$J$1</c:f>
              <c:strCache>
                <c:ptCount val="1"/>
                <c:pt idx="0">
                  <c:v>DK1 CPR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Inputs'!$J$2:$J$85</c:f>
              <c:numCache>
                <c:formatCode>General</c:formatCode>
                <c:ptCount val="84"/>
                <c:pt idx="12">
                  <c:v>1.0091486594474419</c:v>
                </c:pt>
                <c:pt idx="13">
                  <c:v>1.2985911686950511</c:v>
                </c:pt>
                <c:pt idx="14">
                  <c:v>0.8710146939215303</c:v>
                </c:pt>
                <c:pt idx="15">
                  <c:v>0.71315772558819213</c:v>
                </c:pt>
                <c:pt idx="16">
                  <c:v>0.96415576931205649</c:v>
                </c:pt>
                <c:pt idx="17">
                  <c:v>1.0394664137310941</c:v>
                </c:pt>
                <c:pt idx="18">
                  <c:v>1.0086181556608309</c:v>
                </c:pt>
                <c:pt idx="19">
                  <c:v>0.98082264407500741</c:v>
                </c:pt>
                <c:pt idx="20">
                  <c:v>1.0104044869130051</c:v>
                </c:pt>
                <c:pt idx="21">
                  <c:v>1.236802226812374</c:v>
                </c:pt>
                <c:pt idx="22">
                  <c:v>1.094777917215692</c:v>
                </c:pt>
                <c:pt idx="23">
                  <c:v>1.0082301641826621</c:v>
                </c:pt>
                <c:pt idx="24">
                  <c:v>1.103930861568265</c:v>
                </c:pt>
                <c:pt idx="25">
                  <c:v>1.0059479277054251</c:v>
                </c:pt>
                <c:pt idx="26">
                  <c:v>0.9871758725122356</c:v>
                </c:pt>
                <c:pt idx="27">
                  <c:v>0.90884647456650169</c:v>
                </c:pt>
                <c:pt idx="28">
                  <c:v>0.87751805187154364</c:v>
                </c:pt>
                <c:pt idx="29">
                  <c:v>0.95691427953473174</c:v>
                </c:pt>
                <c:pt idx="30">
                  <c:v>0.98211323715969778</c:v>
                </c:pt>
                <c:pt idx="31">
                  <c:v>0.99027147802450566</c:v>
                </c:pt>
                <c:pt idx="32">
                  <c:v>0.92690440483613579</c:v>
                </c:pt>
                <c:pt idx="33">
                  <c:v>1.0810885074134391</c:v>
                </c:pt>
                <c:pt idx="34">
                  <c:v>1.1338034085044659</c:v>
                </c:pt>
                <c:pt idx="35">
                  <c:v>1.2086769624549281</c:v>
                </c:pt>
                <c:pt idx="36">
                  <c:v>1.0441257304277269</c:v>
                </c:pt>
                <c:pt idx="37">
                  <c:v>1.04022281700981</c:v>
                </c:pt>
                <c:pt idx="38">
                  <c:v>0.81207759044207406</c:v>
                </c:pt>
                <c:pt idx="39">
                  <c:v>0.89039133384678326</c:v>
                </c:pt>
                <c:pt idx="40">
                  <c:v>0.86943016050498578</c:v>
                </c:pt>
                <c:pt idx="41">
                  <c:v>0.90803902012341908</c:v>
                </c:pt>
                <c:pt idx="42">
                  <c:v>0.87041791592949547</c:v>
                </c:pt>
                <c:pt idx="43">
                  <c:v>0.91908553046700026</c:v>
                </c:pt>
                <c:pt idx="44">
                  <c:v>0.90632901805683119</c:v>
                </c:pt>
                <c:pt idx="45">
                  <c:v>0.91612325253961768</c:v>
                </c:pt>
                <c:pt idx="46">
                  <c:v>0.94278612074660006</c:v>
                </c:pt>
                <c:pt idx="47">
                  <c:v>1.132810339248927</c:v>
                </c:pt>
                <c:pt idx="48">
                  <c:v>1.2309198691226539</c:v>
                </c:pt>
                <c:pt idx="49">
                  <c:v>0.93008781340266</c:v>
                </c:pt>
                <c:pt idx="50">
                  <c:v>0.94612539759598957</c:v>
                </c:pt>
                <c:pt idx="51">
                  <c:v>0.79203966120386338</c:v>
                </c:pt>
                <c:pt idx="52">
                  <c:v>0.68333610561519953</c:v>
                </c:pt>
                <c:pt idx="53">
                  <c:v>0.80965062086215667</c:v>
                </c:pt>
                <c:pt idx="54">
                  <c:v>0.80380421953260928</c:v>
                </c:pt>
                <c:pt idx="55">
                  <c:v>0.86289309777204071</c:v>
                </c:pt>
                <c:pt idx="56">
                  <c:v>0.8038389922187259</c:v>
                </c:pt>
                <c:pt idx="57">
                  <c:v>0.84083605560542263</c:v>
                </c:pt>
                <c:pt idx="58">
                  <c:v>1.028656893611996</c:v>
                </c:pt>
                <c:pt idx="59">
                  <c:v>0.91325607762876626</c:v>
                </c:pt>
                <c:pt idx="60">
                  <c:v>1.051614630458469</c:v>
                </c:pt>
                <c:pt idx="61">
                  <c:v>1.0144208291794441</c:v>
                </c:pt>
                <c:pt idx="62">
                  <c:v>0.8373818542217274</c:v>
                </c:pt>
                <c:pt idx="63">
                  <c:v>0.83468460161643787</c:v>
                </c:pt>
                <c:pt idx="64">
                  <c:v>0.61339845366508694</c:v>
                </c:pt>
                <c:pt idx="65">
                  <c:v>0.73781003223868646</c:v>
                </c:pt>
                <c:pt idx="66">
                  <c:v>0.68549949487061801</c:v>
                </c:pt>
                <c:pt idx="67">
                  <c:v>0.71512676219349525</c:v>
                </c:pt>
                <c:pt idx="68">
                  <c:v>0.63652522303957304</c:v>
                </c:pt>
                <c:pt idx="69">
                  <c:v>0.76175188075929667</c:v>
                </c:pt>
                <c:pt idx="70">
                  <c:v>1.0174940038611719</c:v>
                </c:pt>
                <c:pt idx="71">
                  <c:v>1.0025674160411211</c:v>
                </c:pt>
                <c:pt idx="72">
                  <c:v>1.135032584901597</c:v>
                </c:pt>
                <c:pt idx="73">
                  <c:v>0.93411665141872979</c:v>
                </c:pt>
                <c:pt idx="74">
                  <c:v>0.68579081688022481</c:v>
                </c:pt>
                <c:pt idx="75">
                  <c:v>0.60995353561832499</c:v>
                </c:pt>
                <c:pt idx="76">
                  <c:v>0.62375117423189408</c:v>
                </c:pt>
                <c:pt idx="77">
                  <c:v>0.56976432128633303</c:v>
                </c:pt>
                <c:pt idx="78">
                  <c:v>0.74058967108380014</c:v>
                </c:pt>
                <c:pt idx="79">
                  <c:v>0.64997112344594554</c:v>
                </c:pt>
                <c:pt idx="80">
                  <c:v>0.68273474898658593</c:v>
                </c:pt>
                <c:pt idx="81">
                  <c:v>0.94701517193480578</c:v>
                </c:pt>
                <c:pt idx="82">
                  <c:v>1.0289764309560969</c:v>
                </c:pt>
                <c:pt idx="83">
                  <c:v>0.98205388617926037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FB3-9744-B62A-C876D79D7F72}"/>
            </c:ext>
          </c:extLst>
        </c:ser>
        <c:ser>
          <c:idx val="1"/>
          <c:order val="1"/>
          <c:tx>
            <c:strRef>
              <c:f>'Capture Price Inputs'!$K$1</c:f>
              <c:strCache>
                <c:ptCount val="1"/>
                <c:pt idx="0">
                  <c:v>DK2 CPR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'Capture Price Inputs'!$K$2:$K$85</c:f>
              <c:numCache>
                <c:formatCode>General</c:formatCode>
                <c:ptCount val="84"/>
                <c:pt idx="12">
                  <c:v>1.090446324793763</c:v>
                </c:pt>
                <c:pt idx="13">
                  <c:v>1.251821301318464</c:v>
                </c:pt>
                <c:pt idx="14">
                  <c:v>0.85520775851277109</c:v>
                </c:pt>
                <c:pt idx="15">
                  <c:v>0.76362023547871605</c:v>
                </c:pt>
                <c:pt idx="16">
                  <c:v>0.97636938233545278</c:v>
                </c:pt>
                <c:pt idx="17">
                  <c:v>1.180647007173951</c:v>
                </c:pt>
                <c:pt idx="18">
                  <c:v>1.021791049952987</c:v>
                </c:pt>
                <c:pt idx="19">
                  <c:v>1.077948442472481</c:v>
                </c:pt>
                <c:pt idx="20">
                  <c:v>1.0591890923358069</c:v>
                </c:pt>
                <c:pt idx="21">
                  <c:v>1.247549053102559</c:v>
                </c:pt>
                <c:pt idx="22">
                  <c:v>1.057080411727209</c:v>
                </c:pt>
                <c:pt idx="23">
                  <c:v>1.125691191699302</c:v>
                </c:pt>
                <c:pt idx="24">
                  <c:v>1.122164979814525</c:v>
                </c:pt>
                <c:pt idx="25">
                  <c:v>0.9585139857498034</c:v>
                </c:pt>
                <c:pt idx="26">
                  <c:v>1.0147741726503949</c:v>
                </c:pt>
                <c:pt idx="27">
                  <c:v>0.95901643664766134</c:v>
                </c:pt>
                <c:pt idx="28">
                  <c:v>0.91033887361171206</c:v>
                </c:pt>
                <c:pt idx="29">
                  <c:v>0.94404491874816343</c:v>
                </c:pt>
                <c:pt idx="30">
                  <c:v>0.95692856904650769</c:v>
                </c:pt>
                <c:pt idx="31">
                  <c:v>1.001768528067071</c:v>
                </c:pt>
                <c:pt idx="32">
                  <c:v>0.95838336990944806</c:v>
                </c:pt>
                <c:pt idx="33">
                  <c:v>1.1445012658471321</c:v>
                </c:pt>
                <c:pt idx="34">
                  <c:v>1.1264608571418011</c:v>
                </c:pt>
                <c:pt idx="35">
                  <c:v>1.279578427053047</c:v>
                </c:pt>
                <c:pt idx="36">
                  <c:v>1.1617546523412821</c:v>
                </c:pt>
                <c:pt idx="37">
                  <c:v>1.084871924613185</c:v>
                </c:pt>
                <c:pt idx="38">
                  <c:v>0.81629582758371144</c:v>
                </c:pt>
                <c:pt idx="39">
                  <c:v>0.93918048773921026</c:v>
                </c:pt>
                <c:pt idx="40">
                  <c:v>0.89914563143311954</c:v>
                </c:pt>
                <c:pt idx="41">
                  <c:v>0.90151367457475784</c:v>
                </c:pt>
                <c:pt idx="42">
                  <c:v>0.90956244496775596</c:v>
                </c:pt>
                <c:pt idx="43">
                  <c:v>0.8830756108422062</c:v>
                </c:pt>
                <c:pt idx="44">
                  <c:v>0.96085369829588263</c:v>
                </c:pt>
                <c:pt idx="45">
                  <c:v>0.87743541957368609</c:v>
                </c:pt>
                <c:pt idx="46">
                  <c:v>0.92404474391789948</c:v>
                </c:pt>
                <c:pt idx="47">
                  <c:v>1.2185280560697289</c:v>
                </c:pt>
                <c:pt idx="48">
                  <c:v>1.2118663236304299</c:v>
                </c:pt>
                <c:pt idx="49">
                  <c:v>1.0244781228159621</c:v>
                </c:pt>
                <c:pt idx="50">
                  <c:v>0.99223631219701203</c:v>
                </c:pt>
                <c:pt idx="51">
                  <c:v>0.85025873478203906</c:v>
                </c:pt>
                <c:pt idx="52">
                  <c:v>0.73101748270540212</c:v>
                </c:pt>
                <c:pt idx="53">
                  <c:v>0.78603819917365525</c:v>
                </c:pt>
                <c:pt idx="54">
                  <c:v>0.77170348712471282</c:v>
                </c:pt>
                <c:pt idx="55">
                  <c:v>0.84546104105698361</c:v>
                </c:pt>
                <c:pt idx="56">
                  <c:v>0.75329173308453345</c:v>
                </c:pt>
                <c:pt idx="57">
                  <c:v>0.83723449033464103</c:v>
                </c:pt>
                <c:pt idx="58">
                  <c:v>1.038705241708771</c:v>
                </c:pt>
                <c:pt idx="59">
                  <c:v>0.83326707575628478</c:v>
                </c:pt>
                <c:pt idx="60">
                  <c:v>0.97714487510792902</c:v>
                </c:pt>
                <c:pt idx="61">
                  <c:v>0.93991726033346112</c:v>
                </c:pt>
                <c:pt idx="62">
                  <c:v>0.8314293202728863</c:v>
                </c:pt>
                <c:pt idx="63">
                  <c:v>0.77805107456374178</c:v>
                </c:pt>
                <c:pt idx="64">
                  <c:v>0.59005563427075769</c:v>
                </c:pt>
                <c:pt idx="65">
                  <c:v>0.69439585691141426</c:v>
                </c:pt>
                <c:pt idx="66">
                  <c:v>0.61762838453946423</c:v>
                </c:pt>
                <c:pt idx="67">
                  <c:v>0.64934714792296455</c:v>
                </c:pt>
                <c:pt idx="68">
                  <c:v>0.61574801135475132</c:v>
                </c:pt>
                <c:pt idx="69">
                  <c:v>0.78000735067931948</c:v>
                </c:pt>
                <c:pt idx="70">
                  <c:v>0.94047799551015088</c:v>
                </c:pt>
                <c:pt idx="71">
                  <c:v>1.0870067185479459</c:v>
                </c:pt>
                <c:pt idx="72">
                  <c:v>1.1494003648079021</c:v>
                </c:pt>
                <c:pt idx="73">
                  <c:v>0.90662384271333907</c:v>
                </c:pt>
                <c:pt idx="74">
                  <c:v>0.60374116471580297</c:v>
                </c:pt>
                <c:pt idx="75">
                  <c:v>0.55174367988103734</c:v>
                </c:pt>
                <c:pt idx="76">
                  <c:v>0.54405946330729504</c:v>
                </c:pt>
                <c:pt idx="77">
                  <c:v>0.4307606652121766</c:v>
                </c:pt>
                <c:pt idx="78">
                  <c:v>0.74746341861966192</c:v>
                </c:pt>
                <c:pt idx="79">
                  <c:v>0.57178942343359873</c:v>
                </c:pt>
                <c:pt idx="80">
                  <c:v>0.63573160083367797</c:v>
                </c:pt>
                <c:pt idx="81">
                  <c:v>0.95480840081563045</c:v>
                </c:pt>
                <c:pt idx="82">
                  <c:v>0.98927251294969987</c:v>
                </c:pt>
                <c:pt idx="83">
                  <c:v>0.97014796253594149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FB3-9744-B62A-C876D79D7F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CPR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Solar Penetration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Inputs'!$F$1</c:f>
              <c:strCache>
                <c:ptCount val="1"/>
                <c:pt idx="0">
                  <c:v>DK1 Solar Penetration (%) — Primary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'Capture Price Inputs'!$F$2:$F$85</c:f>
              <c:numCache>
                <c:formatCode>General</c:formatCode>
                <c:ptCount val="84"/>
                <c:pt idx="12">
                  <c:v>2.2644478926294831E-3</c:v>
                </c:pt>
                <c:pt idx="13">
                  <c:v>5.2474520244822449E-3</c:v>
                </c:pt>
                <c:pt idx="14">
                  <c:v>2.020167759412729E-2</c:v>
                </c:pt>
                <c:pt idx="15">
                  <c:v>3.2427989612304697E-2</c:v>
                </c:pt>
                <c:pt idx="16">
                  <c:v>3.6080087237903569E-2</c:v>
                </c:pt>
                <c:pt idx="17">
                  <c:v>3.7413618831640891E-2</c:v>
                </c:pt>
                <c:pt idx="18">
                  <c:v>3.3998433859503921E-2</c:v>
                </c:pt>
                <c:pt idx="19">
                  <c:v>3.4224763142537661E-2</c:v>
                </c:pt>
                <c:pt idx="20">
                  <c:v>2.4330151939157239E-2</c:v>
                </c:pt>
                <c:pt idx="21">
                  <c:v>1.1490387549446779E-2</c:v>
                </c:pt>
                <c:pt idx="22">
                  <c:v>1.521101274151999E-4</c:v>
                </c:pt>
                <c:pt idx="23">
                  <c:v>1.472410662127807E-5</c:v>
                </c:pt>
                <c:pt idx="24">
                  <c:v>3.6313559990350909E-3</c:v>
                </c:pt>
                <c:pt idx="25">
                  <c:v>1.0868941718057299E-2</c:v>
                </c:pt>
                <c:pt idx="26">
                  <c:v>2.2382303907371628E-2</c:v>
                </c:pt>
                <c:pt idx="27">
                  <c:v>4.212837115783985E-2</c:v>
                </c:pt>
                <c:pt idx="28">
                  <c:v>3.3075052211960353E-2</c:v>
                </c:pt>
                <c:pt idx="29">
                  <c:v>4.9841661821819518E-2</c:v>
                </c:pt>
                <c:pt idx="30">
                  <c:v>4.85715434854639E-2</c:v>
                </c:pt>
                <c:pt idx="31">
                  <c:v>3.8876947944708702E-2</c:v>
                </c:pt>
                <c:pt idx="32">
                  <c:v>2.5932850179436289E-2</c:v>
                </c:pt>
                <c:pt idx="33">
                  <c:v>1.7460096431489061E-2</c:v>
                </c:pt>
                <c:pt idx="34">
                  <c:v>7.0293060058135041E-3</c:v>
                </c:pt>
                <c:pt idx="35">
                  <c:v>3.243365391886713E-3</c:v>
                </c:pt>
                <c:pt idx="36">
                  <c:v>6.6753155472480874E-3</c:v>
                </c:pt>
                <c:pt idx="37">
                  <c:v>1.7399571233002901E-2</c:v>
                </c:pt>
                <c:pt idx="38">
                  <c:v>6.1955070586442867E-2</c:v>
                </c:pt>
                <c:pt idx="39">
                  <c:v>8.404056603836467E-2</c:v>
                </c:pt>
                <c:pt idx="40">
                  <c:v>9.6876891420316108E-2</c:v>
                </c:pt>
                <c:pt idx="41">
                  <c:v>9.4962020744311482E-2</c:v>
                </c:pt>
                <c:pt idx="42">
                  <c:v>9.963556652585577E-2</c:v>
                </c:pt>
                <c:pt idx="43">
                  <c:v>8.9626978325266782E-2</c:v>
                </c:pt>
                <c:pt idx="44">
                  <c:v>6.6046498591704736E-2</c:v>
                </c:pt>
                <c:pt idx="45">
                  <c:v>3.7469414477654707E-2</c:v>
                </c:pt>
                <c:pt idx="46">
                  <c:v>1.046932675470221E-2</c:v>
                </c:pt>
                <c:pt idx="47">
                  <c:v>6.2291646451968653E-3</c:v>
                </c:pt>
                <c:pt idx="48">
                  <c:v>1.2460694276862919E-2</c:v>
                </c:pt>
                <c:pt idx="49">
                  <c:v>3.4376404191763639E-2</c:v>
                </c:pt>
                <c:pt idx="50">
                  <c:v>5.6477968577058592E-2</c:v>
                </c:pt>
                <c:pt idx="51">
                  <c:v>0.1509467292684683</c:v>
                </c:pt>
                <c:pt idx="52">
                  <c:v>0.18600333743842001</c:v>
                </c:pt>
                <c:pt idx="53">
                  <c:v>0.21892573712946101</c:v>
                </c:pt>
                <c:pt idx="54">
                  <c:v>0.18929524056345021</c:v>
                </c:pt>
                <c:pt idx="55">
                  <c:v>0.1493297980639493</c:v>
                </c:pt>
                <c:pt idx="56">
                  <c:v>0.13191654386548721</c:v>
                </c:pt>
                <c:pt idx="57">
                  <c:v>4.2864886456730103E-2</c:v>
                </c:pt>
                <c:pt idx="58">
                  <c:v>1.6003493537152379E-2</c:v>
                </c:pt>
                <c:pt idx="59">
                  <c:v>6.3905046726965339E-3</c:v>
                </c:pt>
                <c:pt idx="60">
                  <c:v>1.3417186050607519E-2</c:v>
                </c:pt>
                <c:pt idx="61">
                  <c:v>2.6436223837926501E-2</c:v>
                </c:pt>
                <c:pt idx="62">
                  <c:v>6.6233973400350477E-2</c:v>
                </c:pt>
                <c:pt idx="63">
                  <c:v>0.1084169878649764</c:v>
                </c:pt>
                <c:pt idx="64">
                  <c:v>0.18887031649880051</c:v>
                </c:pt>
                <c:pt idx="65">
                  <c:v>0.1715230569234828</c:v>
                </c:pt>
                <c:pt idx="66">
                  <c:v>0.1809062055635286</c:v>
                </c:pt>
                <c:pt idx="67">
                  <c:v>0.15512153111725799</c:v>
                </c:pt>
                <c:pt idx="68">
                  <c:v>0.1275567235314205</c:v>
                </c:pt>
                <c:pt idx="69">
                  <c:v>6.2873767847415107E-2</c:v>
                </c:pt>
                <c:pt idx="70">
                  <c:v>1.780902737610289E-2</c:v>
                </c:pt>
                <c:pt idx="71">
                  <c:v>6.7857975683456679E-3</c:v>
                </c:pt>
                <c:pt idx="72">
                  <c:v>1.366055484422285E-2</c:v>
                </c:pt>
                <c:pt idx="73">
                  <c:v>4.3419934817177687E-2</c:v>
                </c:pt>
                <c:pt idx="74">
                  <c:v>0.1120694547038418</c:v>
                </c:pt>
                <c:pt idx="75">
                  <c:v>0.14827548756052711</c:v>
                </c:pt>
                <c:pt idx="76">
                  <c:v>0.19244468175967161</c:v>
                </c:pt>
                <c:pt idx="77">
                  <c:v>0.18784829238523279</c:v>
                </c:pt>
                <c:pt idx="78">
                  <c:v>0.21828188848241209</c:v>
                </c:pt>
                <c:pt idx="79">
                  <c:v>0.19011684012808119</c:v>
                </c:pt>
                <c:pt idx="80">
                  <c:v>0.13816152724517919</c:v>
                </c:pt>
                <c:pt idx="81">
                  <c:v>6.9462071202051626E-2</c:v>
                </c:pt>
                <c:pt idx="82">
                  <c:v>2.6604970402147529E-2</c:v>
                </c:pt>
                <c:pt idx="83">
                  <c:v>1.40253486520015E-2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EC7-514D-858E-F4B474989034}"/>
            </c:ext>
          </c:extLst>
        </c:ser>
        <c:ser>
          <c:idx val="1"/>
          <c:order val="1"/>
          <c:tx>
            <c:strRef>
              <c:f>'Capture Price Inputs'!$G$1</c:f>
              <c:strCache>
                <c:ptCount val="1"/>
                <c:pt idx="0">
                  <c:v>DK2 Solar Penetration (%) — Robustness</c:v>
                </c:pt>
              </c:strCache>
            </c:strRef>
          </c:tx>
          <c:spPr>
            <a:ln>
              <a:solidFill>
                <a:srgbClr val="FFD700"/>
              </a:solidFill>
              <a:prstDash val="solid"/>
            </a:ln>
          </c:spPr>
          <c:marker>
            <c:symbol val="none"/>
          </c:marker>
          <c:val>
            <c:numRef>
              <c:f>'Capture Price Inputs'!$G$2:$G$85</c:f>
              <c:numCache>
                <c:formatCode>General</c:formatCode>
                <c:ptCount val="84"/>
                <c:pt idx="12">
                  <c:v>1.864323044087839E-3</c:v>
                </c:pt>
                <c:pt idx="13">
                  <c:v>4.9613393448072352E-3</c:v>
                </c:pt>
                <c:pt idx="14">
                  <c:v>1.532033335337761E-2</c:v>
                </c:pt>
                <c:pt idx="15">
                  <c:v>2.6180595134545931E-2</c:v>
                </c:pt>
                <c:pt idx="16">
                  <c:v>3.2240930774166239E-2</c:v>
                </c:pt>
                <c:pt idx="17">
                  <c:v>3.0651812088155841E-2</c:v>
                </c:pt>
                <c:pt idx="18">
                  <c:v>2.998206800974695E-2</c:v>
                </c:pt>
                <c:pt idx="19">
                  <c:v>2.8034713414307081E-2</c:v>
                </c:pt>
                <c:pt idx="20">
                  <c:v>2.1736479101595249E-2</c:v>
                </c:pt>
                <c:pt idx="21">
                  <c:v>1.107911770574695E-2</c:v>
                </c:pt>
                <c:pt idx="22">
                  <c:v>1.1044611578332841E-4</c:v>
                </c:pt>
                <c:pt idx="23">
                  <c:v>5.6352433584062588E-6</c:v>
                </c:pt>
                <c:pt idx="24">
                  <c:v>3.104474131982996E-3</c:v>
                </c:pt>
                <c:pt idx="25">
                  <c:v>9.2483369487723587E-3</c:v>
                </c:pt>
                <c:pt idx="26">
                  <c:v>1.8474517045212829E-2</c:v>
                </c:pt>
                <c:pt idx="27">
                  <c:v>3.2694407483312787E-2</c:v>
                </c:pt>
                <c:pt idx="28">
                  <c:v>3.2945829294540187E-2</c:v>
                </c:pt>
                <c:pt idx="29">
                  <c:v>4.4480133140056069E-2</c:v>
                </c:pt>
                <c:pt idx="30">
                  <c:v>3.7049542537302173E-2</c:v>
                </c:pt>
                <c:pt idx="31">
                  <c:v>3.1857768834261987E-2</c:v>
                </c:pt>
                <c:pt idx="32">
                  <c:v>2.23981137027396E-2</c:v>
                </c:pt>
                <c:pt idx="33">
                  <c:v>1.267326343754744E-2</c:v>
                </c:pt>
                <c:pt idx="34">
                  <c:v>4.0132810857910267E-3</c:v>
                </c:pt>
                <c:pt idx="35">
                  <c:v>1.8226295838260991E-3</c:v>
                </c:pt>
                <c:pt idx="36">
                  <c:v>4.939556742877535E-3</c:v>
                </c:pt>
                <c:pt idx="37">
                  <c:v>1.3248485586698279E-2</c:v>
                </c:pt>
                <c:pt idx="38">
                  <c:v>3.4089330349121053E-2</c:v>
                </c:pt>
                <c:pt idx="39">
                  <c:v>5.5254436099578648E-2</c:v>
                </c:pt>
                <c:pt idx="40">
                  <c:v>6.5811459960859395E-2</c:v>
                </c:pt>
                <c:pt idx="41">
                  <c:v>6.4528229045867816E-2</c:v>
                </c:pt>
                <c:pt idx="42">
                  <c:v>6.7025803801952916E-2</c:v>
                </c:pt>
                <c:pt idx="43">
                  <c:v>6.1299924397195817E-2</c:v>
                </c:pt>
                <c:pt idx="44">
                  <c:v>4.5784276103507021E-2</c:v>
                </c:pt>
                <c:pt idx="45">
                  <c:v>2.9809058027035401E-2</c:v>
                </c:pt>
                <c:pt idx="46">
                  <c:v>7.8652952619005494E-3</c:v>
                </c:pt>
                <c:pt idx="47">
                  <c:v>4.5323555529735481E-3</c:v>
                </c:pt>
                <c:pt idx="48">
                  <c:v>5.8626527231366082E-3</c:v>
                </c:pt>
                <c:pt idx="49">
                  <c:v>1.8877648418373551E-2</c:v>
                </c:pt>
                <c:pt idx="50">
                  <c:v>3.7096229392005707E-2</c:v>
                </c:pt>
                <c:pt idx="51">
                  <c:v>8.0269966033824955E-2</c:v>
                </c:pt>
                <c:pt idx="52">
                  <c:v>0.1080032082802261</c:v>
                </c:pt>
                <c:pt idx="53">
                  <c:v>0.1144244665352921</c:v>
                </c:pt>
                <c:pt idx="54">
                  <c:v>0.10203074507159759</c:v>
                </c:pt>
                <c:pt idx="55">
                  <c:v>7.7931010532967707E-2</c:v>
                </c:pt>
                <c:pt idx="56">
                  <c:v>8.0909954639318743E-2</c:v>
                </c:pt>
                <c:pt idx="57">
                  <c:v>2.9172340215594381E-2</c:v>
                </c:pt>
                <c:pt idx="58">
                  <c:v>1.04098691216888E-2</c:v>
                </c:pt>
                <c:pt idx="59">
                  <c:v>3.809030164374855E-3</c:v>
                </c:pt>
                <c:pt idx="60">
                  <c:v>6.1781830729755079E-3</c:v>
                </c:pt>
                <c:pt idx="61">
                  <c:v>1.667231366864759E-2</c:v>
                </c:pt>
                <c:pt idx="62">
                  <c:v>4.1112806367337662E-2</c:v>
                </c:pt>
                <c:pt idx="63">
                  <c:v>6.5123378744806448E-2</c:v>
                </c:pt>
                <c:pt idx="64">
                  <c:v>0.106315341440858</c:v>
                </c:pt>
                <c:pt idx="65">
                  <c:v>0.1072729076610999</c:v>
                </c:pt>
                <c:pt idx="66">
                  <c:v>0.1057942634887733</c:v>
                </c:pt>
                <c:pt idx="67">
                  <c:v>9.3690832268705199E-2</c:v>
                </c:pt>
                <c:pt idx="68">
                  <c:v>7.2463202820400169E-2</c:v>
                </c:pt>
                <c:pt idx="69">
                  <c:v>3.6145253892379881E-2</c:v>
                </c:pt>
                <c:pt idx="70">
                  <c:v>8.6028414054236078E-3</c:v>
                </c:pt>
                <c:pt idx="71">
                  <c:v>4.1714684657767577E-3</c:v>
                </c:pt>
                <c:pt idx="72">
                  <c:v>7.223240212576967E-3</c:v>
                </c:pt>
                <c:pt idx="73">
                  <c:v>2.010831138567791E-2</c:v>
                </c:pt>
                <c:pt idx="74">
                  <c:v>4.6547866447452589E-2</c:v>
                </c:pt>
                <c:pt idx="75">
                  <c:v>7.1689783649061992E-2</c:v>
                </c:pt>
                <c:pt idx="76">
                  <c:v>9.4714127256233946E-2</c:v>
                </c:pt>
                <c:pt idx="77">
                  <c:v>9.9826250015510765E-2</c:v>
                </c:pt>
                <c:pt idx="78">
                  <c:v>9.3996419418699143E-2</c:v>
                </c:pt>
                <c:pt idx="79">
                  <c:v>0.1057378118957395</c:v>
                </c:pt>
                <c:pt idx="80">
                  <c:v>9.0628879686523764E-2</c:v>
                </c:pt>
                <c:pt idx="81">
                  <c:v>3.9573125678626628E-2</c:v>
                </c:pt>
                <c:pt idx="82">
                  <c:v>1.454364344794783E-2</c:v>
                </c:pt>
                <c:pt idx="83">
                  <c:v>9.0694911608833299E-3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EC7-514D-858E-F4B4749890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Solar Penetration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Capture Price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Inputs'!$H$1</c:f>
              <c:strCache>
                <c:ptCount val="1"/>
                <c:pt idx="0">
                  <c:v>DK1 Capture Price (EUR/MWh)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Inputs'!$H$2:$H$85</c:f>
              <c:numCache>
                <c:formatCode>General</c:formatCode>
                <c:ptCount val="84"/>
                <c:pt idx="12">
                  <c:v>25.22320957280251</c:v>
                </c:pt>
                <c:pt idx="13">
                  <c:v>22.83581899109792</c:v>
                </c:pt>
                <c:pt idx="14">
                  <c:v>15.94107348554973</c:v>
                </c:pt>
                <c:pt idx="15">
                  <c:v>10.36487590420421</c:v>
                </c:pt>
                <c:pt idx="16">
                  <c:v>15.478548945086001</c:v>
                </c:pt>
                <c:pt idx="17">
                  <c:v>27.313308227868689</c:v>
                </c:pt>
                <c:pt idx="18">
                  <c:v>24.831745178109159</c:v>
                </c:pt>
                <c:pt idx="19">
                  <c:v>33.876915422047851</c:v>
                </c:pt>
                <c:pt idx="20">
                  <c:v>38.935979003379593</c:v>
                </c:pt>
                <c:pt idx="21">
                  <c:v>31.927741533059191</c:v>
                </c:pt>
                <c:pt idx="22">
                  <c:v>26.005993265993261</c:v>
                </c:pt>
                <c:pt idx="23">
                  <c:v>34.795161290322582</c:v>
                </c:pt>
                <c:pt idx="24">
                  <c:v>55.422967607277918</c:v>
                </c:pt>
                <c:pt idx="25">
                  <c:v>47.542610979142587</c:v>
                </c:pt>
                <c:pt idx="26">
                  <c:v>44.550700915805493</c:v>
                </c:pt>
                <c:pt idx="27">
                  <c:v>43.594739828473003</c:v>
                </c:pt>
                <c:pt idx="28">
                  <c:v>47.655870575001217</c:v>
                </c:pt>
                <c:pt idx="29">
                  <c:v>70.543547911111062</c:v>
                </c:pt>
                <c:pt idx="30">
                  <c:v>78.568319747758608</c:v>
                </c:pt>
                <c:pt idx="31">
                  <c:v>81.983351136401794</c:v>
                </c:pt>
                <c:pt idx="32">
                  <c:v>116.20022495544841</c:v>
                </c:pt>
                <c:pt idx="33">
                  <c:v>126.53039520323949</c:v>
                </c:pt>
                <c:pt idx="34">
                  <c:v>160.77058330102949</c:v>
                </c:pt>
                <c:pt idx="35">
                  <c:v>228.8621705579358</c:v>
                </c:pt>
                <c:pt idx="36">
                  <c:v>123.20125067917191</c:v>
                </c:pt>
                <c:pt idx="37">
                  <c:v>117.67077903546</c:v>
                </c:pt>
                <c:pt idx="38">
                  <c:v>191.50807173506701</c:v>
                </c:pt>
                <c:pt idx="39">
                  <c:v>145.70138715926041</c:v>
                </c:pt>
                <c:pt idx="40">
                  <c:v>149.4185612445558</c:v>
                </c:pt>
                <c:pt idx="41">
                  <c:v>194.71103409481981</c:v>
                </c:pt>
                <c:pt idx="42">
                  <c:v>239.3981525107354</c:v>
                </c:pt>
                <c:pt idx="43">
                  <c:v>419.79263722660602</c:v>
                </c:pt>
                <c:pt idx="44">
                  <c:v>310.70739927266709</c:v>
                </c:pt>
                <c:pt idx="45">
                  <c:v>125.6295598680838</c:v>
                </c:pt>
                <c:pt idx="46">
                  <c:v>131.7111886265582</c:v>
                </c:pt>
                <c:pt idx="47">
                  <c:v>282.82379374207261</c:v>
                </c:pt>
                <c:pt idx="48">
                  <c:v>138.52998868426329</c:v>
                </c:pt>
                <c:pt idx="49">
                  <c:v>109.87697572135031</c:v>
                </c:pt>
                <c:pt idx="50">
                  <c:v>93.774190940695377</c:v>
                </c:pt>
                <c:pt idx="51">
                  <c:v>76.25042822265543</c:v>
                </c:pt>
                <c:pt idx="52">
                  <c:v>50.543487760082613</c:v>
                </c:pt>
                <c:pt idx="53">
                  <c:v>74.888982776218057</c:v>
                </c:pt>
                <c:pt idx="54">
                  <c:v>52.095599438463452</c:v>
                </c:pt>
                <c:pt idx="55">
                  <c:v>74.180426039978187</c:v>
                </c:pt>
                <c:pt idx="56">
                  <c:v>68.116869623396937</c:v>
                </c:pt>
                <c:pt idx="57">
                  <c:v>50.539090519702853</c:v>
                </c:pt>
                <c:pt idx="58">
                  <c:v>90.680805562425178</c:v>
                </c:pt>
                <c:pt idx="59">
                  <c:v>63.455327688788032</c:v>
                </c:pt>
                <c:pt idx="60">
                  <c:v>78.571316441678306</c:v>
                </c:pt>
                <c:pt idx="61">
                  <c:v>59.479486768055089</c:v>
                </c:pt>
                <c:pt idx="62">
                  <c:v>51.269783241554933</c:v>
                </c:pt>
                <c:pt idx="63">
                  <c:v>49.383940562011212</c:v>
                </c:pt>
                <c:pt idx="64">
                  <c:v>35.894148271408874</c:v>
                </c:pt>
                <c:pt idx="65">
                  <c:v>47.037633727397647</c:v>
                </c:pt>
                <c:pt idx="66">
                  <c:v>42.521773223099522</c:v>
                </c:pt>
                <c:pt idx="67">
                  <c:v>52.17121747504909</c:v>
                </c:pt>
                <c:pt idx="68">
                  <c:v>45.647504626217007</c:v>
                </c:pt>
                <c:pt idx="69">
                  <c:v>58.441583787091993</c:v>
                </c:pt>
                <c:pt idx="70">
                  <c:v>97.582352616331917</c:v>
                </c:pt>
                <c:pt idx="71">
                  <c:v>92.073217693833982</c:v>
                </c:pt>
                <c:pt idx="72">
                  <c:v>111.1945655985155</c:v>
                </c:pt>
                <c:pt idx="73">
                  <c:v>105.41315973788279</c:v>
                </c:pt>
                <c:pt idx="74">
                  <c:v>57.84566339627056</c:v>
                </c:pt>
                <c:pt idx="75">
                  <c:v>45.844395770687349</c:v>
                </c:pt>
                <c:pt idx="76">
                  <c:v>40.065667394009381</c:v>
                </c:pt>
                <c:pt idx="77">
                  <c:v>33.493381965196598</c:v>
                </c:pt>
                <c:pt idx="78">
                  <c:v>61.32224821093979</c:v>
                </c:pt>
                <c:pt idx="79">
                  <c:v>47.755824567457559</c:v>
                </c:pt>
                <c:pt idx="80">
                  <c:v>49.429094996057238</c:v>
                </c:pt>
                <c:pt idx="81">
                  <c:v>74.266634537895257</c:v>
                </c:pt>
                <c:pt idx="82">
                  <c:v>95.564531802521344</c:v>
                </c:pt>
                <c:pt idx="83">
                  <c:v>80.958034242780258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948-8D46-9BA3-D20636A83705}"/>
            </c:ext>
          </c:extLst>
        </c:ser>
        <c:ser>
          <c:idx val="1"/>
          <c:order val="1"/>
          <c:tx>
            <c:strRef>
              <c:f>'Capture Price Inputs'!$I$1</c:f>
              <c:strCache>
                <c:ptCount val="1"/>
                <c:pt idx="0">
                  <c:v>DK2 Capture Price (EUR/MWh)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'Capture Price Inputs'!$I$2:$I$85</c:f>
              <c:numCache>
                <c:formatCode>General</c:formatCode>
                <c:ptCount val="84"/>
                <c:pt idx="12">
                  <c:v>29.86213642213642</c:v>
                </c:pt>
                <c:pt idx="13">
                  <c:v>23.555517829721889</c:v>
                </c:pt>
                <c:pt idx="14">
                  <c:v>17.149050692261021</c:v>
                </c:pt>
                <c:pt idx="15">
                  <c:v>13.252523128367081</c:v>
                </c:pt>
                <c:pt idx="16">
                  <c:v>18.594049382716051</c:v>
                </c:pt>
                <c:pt idx="17">
                  <c:v>35.21078005032583</c:v>
                </c:pt>
                <c:pt idx="18">
                  <c:v>26.450778046867001</c:v>
                </c:pt>
                <c:pt idx="19">
                  <c:v>44.113765015404859</c:v>
                </c:pt>
                <c:pt idx="20">
                  <c:v>41.853047880870562</c:v>
                </c:pt>
                <c:pt idx="21">
                  <c:v>33.600878372903331</c:v>
                </c:pt>
                <c:pt idx="22">
                  <c:v>37.749765625000002</c:v>
                </c:pt>
                <c:pt idx="23">
                  <c:v>44.191428571428567</c:v>
                </c:pt>
                <c:pt idx="24">
                  <c:v>57.072134410081453</c:v>
                </c:pt>
                <c:pt idx="25">
                  <c:v>52.285083654524577</c:v>
                </c:pt>
                <c:pt idx="26">
                  <c:v>47.422643011897812</c:v>
                </c:pt>
                <c:pt idx="27">
                  <c:v>45.901363748248833</c:v>
                </c:pt>
                <c:pt idx="28">
                  <c:v>50.258720231460799</c:v>
                </c:pt>
                <c:pt idx="29">
                  <c:v>69.469341653776226</c:v>
                </c:pt>
                <c:pt idx="30">
                  <c:v>77.933111551394319</c:v>
                </c:pt>
                <c:pt idx="31">
                  <c:v>84.512747690257029</c:v>
                </c:pt>
                <c:pt idx="32">
                  <c:v>118.7457227855615</c:v>
                </c:pt>
                <c:pt idx="33">
                  <c:v>122.3841235967906</c:v>
                </c:pt>
                <c:pt idx="34">
                  <c:v>153.62679427815749</c:v>
                </c:pt>
                <c:pt idx="35">
                  <c:v>244.48727859764409</c:v>
                </c:pt>
                <c:pt idx="36">
                  <c:v>129.67749023150819</c:v>
                </c:pt>
                <c:pt idx="37">
                  <c:v>108.80333899256409</c:v>
                </c:pt>
                <c:pt idx="38">
                  <c:v>186.0504424586062</c:v>
                </c:pt>
                <c:pt idx="39">
                  <c:v>143.53758886421849</c:v>
                </c:pt>
                <c:pt idx="40">
                  <c:v>146.25360234460331</c:v>
                </c:pt>
                <c:pt idx="41">
                  <c:v>192.2325905808319</c:v>
                </c:pt>
                <c:pt idx="42">
                  <c:v>212.3625858003895</c:v>
                </c:pt>
                <c:pt idx="43">
                  <c:v>397.17988485976059</c:v>
                </c:pt>
                <c:pt idx="44">
                  <c:v>315.92884279677901</c:v>
                </c:pt>
                <c:pt idx="45">
                  <c:v>120.1190076327392</c:v>
                </c:pt>
                <c:pt idx="46">
                  <c:v>134.0399027878758</c:v>
                </c:pt>
                <c:pt idx="47">
                  <c:v>303.26978481668573</c:v>
                </c:pt>
                <c:pt idx="48">
                  <c:v>120.8992864784306</c:v>
                </c:pt>
                <c:pt idx="49">
                  <c:v>103.112625406295</c:v>
                </c:pt>
                <c:pt idx="50">
                  <c:v>89.098468921641697</c:v>
                </c:pt>
                <c:pt idx="51">
                  <c:v>71.125099705594195</c:v>
                </c:pt>
                <c:pt idx="52">
                  <c:v>48.358083796456327</c:v>
                </c:pt>
                <c:pt idx="53">
                  <c:v>71.862090372222397</c:v>
                </c:pt>
                <c:pt idx="54">
                  <c:v>50.345966617092351</c:v>
                </c:pt>
                <c:pt idx="55">
                  <c:v>72.957992347987414</c:v>
                </c:pt>
                <c:pt idx="56">
                  <c:v>64.394484672464898</c:v>
                </c:pt>
                <c:pt idx="57">
                  <c:v>47.660255094286853</c:v>
                </c:pt>
                <c:pt idx="58">
                  <c:v>84.639978605265995</c:v>
                </c:pt>
                <c:pt idx="59">
                  <c:v>59.061746333079718</c:v>
                </c:pt>
                <c:pt idx="60">
                  <c:v>76.427202535219209</c:v>
                </c:pt>
                <c:pt idx="61">
                  <c:v>51.434379196547752</c:v>
                </c:pt>
                <c:pt idx="62">
                  <c:v>50.751163813053438</c:v>
                </c:pt>
                <c:pt idx="63">
                  <c:v>47.053967904827999</c:v>
                </c:pt>
                <c:pt idx="64">
                  <c:v>34.295794113692892</c:v>
                </c:pt>
                <c:pt idx="65">
                  <c:v>46.379384034583367</c:v>
                </c:pt>
                <c:pt idx="66">
                  <c:v>38.812821969471173</c:v>
                </c:pt>
                <c:pt idx="67">
                  <c:v>47.151863118292532</c:v>
                </c:pt>
                <c:pt idx="68">
                  <c:v>43.355946350842189</c:v>
                </c:pt>
                <c:pt idx="69">
                  <c:v>59.534937630286556</c:v>
                </c:pt>
                <c:pt idx="70">
                  <c:v>89.611277477917284</c:v>
                </c:pt>
                <c:pt idx="71">
                  <c:v>100.7961313991171</c:v>
                </c:pt>
                <c:pt idx="72">
                  <c:v>115.0822593270056</c:v>
                </c:pt>
                <c:pt idx="73">
                  <c:v>106.92318207316821</c:v>
                </c:pt>
                <c:pt idx="74">
                  <c:v>50.018062961268747</c:v>
                </c:pt>
                <c:pt idx="75">
                  <c:v>41.82584156307518</c:v>
                </c:pt>
                <c:pt idx="76">
                  <c:v>34.320660344591218</c:v>
                </c:pt>
                <c:pt idx="77">
                  <c:v>24.31568572006325</c:v>
                </c:pt>
                <c:pt idx="78">
                  <c:v>59.766943882147693</c:v>
                </c:pt>
                <c:pt idx="79">
                  <c:v>43.064604783544858</c:v>
                </c:pt>
                <c:pt idx="80">
                  <c:v>52.949405153808357</c:v>
                </c:pt>
                <c:pt idx="81">
                  <c:v>78.645730322406678</c:v>
                </c:pt>
                <c:pt idx="82">
                  <c:v>92.690454871532665</c:v>
                </c:pt>
                <c:pt idx="83">
                  <c:v>79.631228022083661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948-8D46-9BA3-D20636A83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Capture Price Ratio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Inputs'!$J$1</c:f>
              <c:strCache>
                <c:ptCount val="1"/>
                <c:pt idx="0">
                  <c:v>DK1 CPR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Inputs'!$J$2:$J$85</c:f>
              <c:numCache>
                <c:formatCode>General</c:formatCode>
                <c:ptCount val="84"/>
                <c:pt idx="12">
                  <c:v>1.0091486594474419</c:v>
                </c:pt>
                <c:pt idx="13">
                  <c:v>1.2985911686950511</c:v>
                </c:pt>
                <c:pt idx="14">
                  <c:v>0.8710146939215303</c:v>
                </c:pt>
                <c:pt idx="15">
                  <c:v>0.71315772558819213</c:v>
                </c:pt>
                <c:pt idx="16">
                  <c:v>0.96415576931205649</c:v>
                </c:pt>
                <c:pt idx="17">
                  <c:v>1.0394664137310941</c:v>
                </c:pt>
                <c:pt idx="18">
                  <c:v>1.0086181556608309</c:v>
                </c:pt>
                <c:pt idx="19">
                  <c:v>0.98082264407500741</c:v>
                </c:pt>
                <c:pt idx="20">
                  <c:v>1.0104044869130051</c:v>
                </c:pt>
                <c:pt idx="21">
                  <c:v>1.236802226812374</c:v>
                </c:pt>
                <c:pt idx="22">
                  <c:v>1.094777917215692</c:v>
                </c:pt>
                <c:pt idx="23">
                  <c:v>1.0082301641826621</c:v>
                </c:pt>
                <c:pt idx="24">
                  <c:v>1.103930861568265</c:v>
                </c:pt>
                <c:pt idx="25">
                  <c:v>1.0059479277054251</c:v>
                </c:pt>
                <c:pt idx="26">
                  <c:v>0.9871758725122356</c:v>
                </c:pt>
                <c:pt idx="27">
                  <c:v>0.90884647456650169</c:v>
                </c:pt>
                <c:pt idx="28">
                  <c:v>0.87751805187154364</c:v>
                </c:pt>
                <c:pt idx="29">
                  <c:v>0.95691427953473174</c:v>
                </c:pt>
                <c:pt idx="30">
                  <c:v>0.98211323715969778</c:v>
                </c:pt>
                <c:pt idx="31">
                  <c:v>0.99027147802450566</c:v>
                </c:pt>
                <c:pt idx="32">
                  <c:v>0.92690440483613579</c:v>
                </c:pt>
                <c:pt idx="33">
                  <c:v>1.0810885074134391</c:v>
                </c:pt>
                <c:pt idx="34">
                  <c:v>1.1338034085044659</c:v>
                </c:pt>
                <c:pt idx="35">
                  <c:v>1.2086769624549281</c:v>
                </c:pt>
                <c:pt idx="36">
                  <c:v>1.0441257304277269</c:v>
                </c:pt>
                <c:pt idx="37">
                  <c:v>1.04022281700981</c:v>
                </c:pt>
                <c:pt idx="38">
                  <c:v>0.81207759044207406</c:v>
                </c:pt>
                <c:pt idx="39">
                  <c:v>0.89039133384678326</c:v>
                </c:pt>
                <c:pt idx="40">
                  <c:v>0.86943016050498578</c:v>
                </c:pt>
                <c:pt idx="41">
                  <c:v>0.90803902012341908</c:v>
                </c:pt>
                <c:pt idx="42">
                  <c:v>0.87041791592949547</c:v>
                </c:pt>
                <c:pt idx="43">
                  <c:v>0.91908553046700026</c:v>
                </c:pt>
                <c:pt idx="44">
                  <c:v>0.90632901805683119</c:v>
                </c:pt>
                <c:pt idx="45">
                  <c:v>0.91612325253961768</c:v>
                </c:pt>
                <c:pt idx="46">
                  <c:v>0.94278612074660006</c:v>
                </c:pt>
                <c:pt idx="47">
                  <c:v>1.132810339248927</c:v>
                </c:pt>
                <c:pt idx="48">
                  <c:v>1.2309198691226539</c:v>
                </c:pt>
                <c:pt idx="49">
                  <c:v>0.93008781340266</c:v>
                </c:pt>
                <c:pt idx="50">
                  <c:v>0.94612539759598957</c:v>
                </c:pt>
                <c:pt idx="51">
                  <c:v>0.79203966120386338</c:v>
                </c:pt>
                <c:pt idx="52">
                  <c:v>0.68333610561519953</c:v>
                </c:pt>
                <c:pt idx="53">
                  <c:v>0.80965062086215667</c:v>
                </c:pt>
                <c:pt idx="54">
                  <c:v>0.80380421953260928</c:v>
                </c:pt>
                <c:pt idx="55">
                  <c:v>0.86289309777204071</c:v>
                </c:pt>
                <c:pt idx="56">
                  <c:v>0.8038389922187259</c:v>
                </c:pt>
                <c:pt idx="57">
                  <c:v>0.84083605560542263</c:v>
                </c:pt>
                <c:pt idx="58">
                  <c:v>1.028656893611996</c:v>
                </c:pt>
                <c:pt idx="59">
                  <c:v>0.91325607762876626</c:v>
                </c:pt>
                <c:pt idx="60">
                  <c:v>1.051614630458469</c:v>
                </c:pt>
                <c:pt idx="61">
                  <c:v>1.0144208291794441</c:v>
                </c:pt>
                <c:pt idx="62">
                  <c:v>0.8373818542217274</c:v>
                </c:pt>
                <c:pt idx="63">
                  <c:v>0.83468460161643787</c:v>
                </c:pt>
                <c:pt idx="64">
                  <c:v>0.61339845366508694</c:v>
                </c:pt>
                <c:pt idx="65">
                  <c:v>0.73781003223868646</c:v>
                </c:pt>
                <c:pt idx="66">
                  <c:v>0.68549949487061801</c:v>
                </c:pt>
                <c:pt idx="67">
                  <c:v>0.71512676219349525</c:v>
                </c:pt>
                <c:pt idx="68">
                  <c:v>0.63652522303957304</c:v>
                </c:pt>
                <c:pt idx="69">
                  <c:v>0.76175188075929667</c:v>
                </c:pt>
                <c:pt idx="70">
                  <c:v>1.0174940038611719</c:v>
                </c:pt>
                <c:pt idx="71">
                  <c:v>1.0025674160411211</c:v>
                </c:pt>
                <c:pt idx="72">
                  <c:v>1.135032584901597</c:v>
                </c:pt>
                <c:pt idx="73">
                  <c:v>0.93411665141872979</c:v>
                </c:pt>
                <c:pt idx="74">
                  <c:v>0.68579081688022481</c:v>
                </c:pt>
                <c:pt idx="75">
                  <c:v>0.60995353561832499</c:v>
                </c:pt>
                <c:pt idx="76">
                  <c:v>0.62375117423189408</c:v>
                </c:pt>
                <c:pt idx="77">
                  <c:v>0.56976432128633303</c:v>
                </c:pt>
                <c:pt idx="78">
                  <c:v>0.74058967108380014</c:v>
                </c:pt>
                <c:pt idx="79">
                  <c:v>0.64997112344594554</c:v>
                </c:pt>
                <c:pt idx="80">
                  <c:v>0.68273474898658593</c:v>
                </c:pt>
                <c:pt idx="81">
                  <c:v>0.94701517193480578</c:v>
                </c:pt>
                <c:pt idx="82">
                  <c:v>1.0289764309560969</c:v>
                </c:pt>
                <c:pt idx="83">
                  <c:v>0.98205388617926037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4B8-D14F-93C3-E51CB82E4579}"/>
            </c:ext>
          </c:extLst>
        </c:ser>
        <c:ser>
          <c:idx val="1"/>
          <c:order val="1"/>
          <c:tx>
            <c:strRef>
              <c:f>'Capture Price Inputs'!$K$1</c:f>
              <c:strCache>
                <c:ptCount val="1"/>
                <c:pt idx="0">
                  <c:v>DK2 CPR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'Capture Price Inputs'!$K$2:$K$85</c:f>
              <c:numCache>
                <c:formatCode>General</c:formatCode>
                <c:ptCount val="84"/>
                <c:pt idx="12">
                  <c:v>1.090446324793763</c:v>
                </c:pt>
                <c:pt idx="13">
                  <c:v>1.251821301318464</c:v>
                </c:pt>
                <c:pt idx="14">
                  <c:v>0.85520775851277109</c:v>
                </c:pt>
                <c:pt idx="15">
                  <c:v>0.76362023547871605</c:v>
                </c:pt>
                <c:pt idx="16">
                  <c:v>0.97636938233545278</c:v>
                </c:pt>
                <c:pt idx="17">
                  <c:v>1.180647007173951</c:v>
                </c:pt>
                <c:pt idx="18">
                  <c:v>1.021791049952987</c:v>
                </c:pt>
                <c:pt idx="19">
                  <c:v>1.077948442472481</c:v>
                </c:pt>
                <c:pt idx="20">
                  <c:v>1.0591890923358069</c:v>
                </c:pt>
                <c:pt idx="21">
                  <c:v>1.247549053102559</c:v>
                </c:pt>
                <c:pt idx="22">
                  <c:v>1.057080411727209</c:v>
                </c:pt>
                <c:pt idx="23">
                  <c:v>1.125691191699302</c:v>
                </c:pt>
                <c:pt idx="24">
                  <c:v>1.122164979814525</c:v>
                </c:pt>
                <c:pt idx="25">
                  <c:v>0.9585139857498034</c:v>
                </c:pt>
                <c:pt idx="26">
                  <c:v>1.0147741726503949</c:v>
                </c:pt>
                <c:pt idx="27">
                  <c:v>0.95901643664766134</c:v>
                </c:pt>
                <c:pt idx="28">
                  <c:v>0.91033887361171206</c:v>
                </c:pt>
                <c:pt idx="29">
                  <c:v>0.94404491874816343</c:v>
                </c:pt>
                <c:pt idx="30">
                  <c:v>0.95692856904650769</c:v>
                </c:pt>
                <c:pt idx="31">
                  <c:v>1.001768528067071</c:v>
                </c:pt>
                <c:pt idx="32">
                  <c:v>0.95838336990944806</c:v>
                </c:pt>
                <c:pt idx="33">
                  <c:v>1.1445012658471321</c:v>
                </c:pt>
                <c:pt idx="34">
                  <c:v>1.1264608571418011</c:v>
                </c:pt>
                <c:pt idx="35">
                  <c:v>1.279578427053047</c:v>
                </c:pt>
                <c:pt idx="36">
                  <c:v>1.1617546523412821</c:v>
                </c:pt>
                <c:pt idx="37">
                  <c:v>1.084871924613185</c:v>
                </c:pt>
                <c:pt idx="38">
                  <c:v>0.81629582758371144</c:v>
                </c:pt>
                <c:pt idx="39">
                  <c:v>0.93918048773921026</c:v>
                </c:pt>
                <c:pt idx="40">
                  <c:v>0.89914563143311954</c:v>
                </c:pt>
                <c:pt idx="41">
                  <c:v>0.90151367457475784</c:v>
                </c:pt>
                <c:pt idx="42">
                  <c:v>0.90956244496775596</c:v>
                </c:pt>
                <c:pt idx="43">
                  <c:v>0.8830756108422062</c:v>
                </c:pt>
                <c:pt idx="44">
                  <c:v>0.96085369829588263</c:v>
                </c:pt>
                <c:pt idx="45">
                  <c:v>0.87743541957368609</c:v>
                </c:pt>
                <c:pt idx="46">
                  <c:v>0.92404474391789948</c:v>
                </c:pt>
                <c:pt idx="47">
                  <c:v>1.2185280560697289</c:v>
                </c:pt>
                <c:pt idx="48">
                  <c:v>1.2118663236304299</c:v>
                </c:pt>
                <c:pt idx="49">
                  <c:v>1.0244781228159621</c:v>
                </c:pt>
                <c:pt idx="50">
                  <c:v>0.99223631219701203</c:v>
                </c:pt>
                <c:pt idx="51">
                  <c:v>0.85025873478203906</c:v>
                </c:pt>
                <c:pt idx="52">
                  <c:v>0.73101748270540212</c:v>
                </c:pt>
                <c:pt idx="53">
                  <c:v>0.78603819917365525</c:v>
                </c:pt>
                <c:pt idx="54">
                  <c:v>0.77170348712471282</c:v>
                </c:pt>
                <c:pt idx="55">
                  <c:v>0.84546104105698361</c:v>
                </c:pt>
                <c:pt idx="56">
                  <c:v>0.75329173308453345</c:v>
                </c:pt>
                <c:pt idx="57">
                  <c:v>0.83723449033464103</c:v>
                </c:pt>
                <c:pt idx="58">
                  <c:v>1.038705241708771</c:v>
                </c:pt>
                <c:pt idx="59">
                  <c:v>0.83326707575628478</c:v>
                </c:pt>
                <c:pt idx="60">
                  <c:v>0.97714487510792902</c:v>
                </c:pt>
                <c:pt idx="61">
                  <c:v>0.93991726033346112</c:v>
                </c:pt>
                <c:pt idx="62">
                  <c:v>0.8314293202728863</c:v>
                </c:pt>
                <c:pt idx="63">
                  <c:v>0.77805107456374178</c:v>
                </c:pt>
                <c:pt idx="64">
                  <c:v>0.59005563427075769</c:v>
                </c:pt>
                <c:pt idx="65">
                  <c:v>0.69439585691141426</c:v>
                </c:pt>
                <c:pt idx="66">
                  <c:v>0.61762838453946423</c:v>
                </c:pt>
                <c:pt idx="67">
                  <c:v>0.64934714792296455</c:v>
                </c:pt>
                <c:pt idx="68">
                  <c:v>0.61574801135475132</c:v>
                </c:pt>
                <c:pt idx="69">
                  <c:v>0.78000735067931948</c:v>
                </c:pt>
                <c:pt idx="70">
                  <c:v>0.94047799551015088</c:v>
                </c:pt>
                <c:pt idx="71">
                  <c:v>1.0870067185479459</c:v>
                </c:pt>
                <c:pt idx="72">
                  <c:v>1.1494003648079021</c:v>
                </c:pt>
                <c:pt idx="73">
                  <c:v>0.90662384271333907</c:v>
                </c:pt>
                <c:pt idx="74">
                  <c:v>0.60374116471580297</c:v>
                </c:pt>
                <c:pt idx="75">
                  <c:v>0.55174367988103734</c:v>
                </c:pt>
                <c:pt idx="76">
                  <c:v>0.54405946330729504</c:v>
                </c:pt>
                <c:pt idx="77">
                  <c:v>0.4307606652121766</c:v>
                </c:pt>
                <c:pt idx="78">
                  <c:v>0.74746341861966192</c:v>
                </c:pt>
                <c:pt idx="79">
                  <c:v>0.57178942343359873</c:v>
                </c:pt>
                <c:pt idx="80">
                  <c:v>0.63573160083367797</c:v>
                </c:pt>
                <c:pt idx="81">
                  <c:v>0.95480840081563045</c:v>
                </c:pt>
                <c:pt idx="82">
                  <c:v>0.98927251294969987</c:v>
                </c:pt>
                <c:pt idx="83">
                  <c:v>0.97014796253594149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4B8-D14F-93C3-E51CB82E45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CPR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Solar Penetration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Inputs'!$F$1</c:f>
              <c:strCache>
                <c:ptCount val="1"/>
                <c:pt idx="0">
                  <c:v>DK1 Solar Penetration (%) — Primary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'Capture Price Inputs'!$F$2:$F$85</c:f>
              <c:numCache>
                <c:formatCode>General</c:formatCode>
                <c:ptCount val="84"/>
                <c:pt idx="12">
                  <c:v>2.2644478926294831E-3</c:v>
                </c:pt>
                <c:pt idx="13">
                  <c:v>5.2474520244822449E-3</c:v>
                </c:pt>
                <c:pt idx="14">
                  <c:v>2.020167759412729E-2</c:v>
                </c:pt>
                <c:pt idx="15">
                  <c:v>3.2427989612304697E-2</c:v>
                </c:pt>
                <c:pt idx="16">
                  <c:v>3.6080087237903569E-2</c:v>
                </c:pt>
                <c:pt idx="17">
                  <c:v>3.7413618831640891E-2</c:v>
                </c:pt>
                <c:pt idx="18">
                  <c:v>3.3998433859503921E-2</c:v>
                </c:pt>
                <c:pt idx="19">
                  <c:v>3.4224763142537661E-2</c:v>
                </c:pt>
                <c:pt idx="20">
                  <c:v>2.4330151939157239E-2</c:v>
                </c:pt>
                <c:pt idx="21">
                  <c:v>1.1490387549446779E-2</c:v>
                </c:pt>
                <c:pt idx="22">
                  <c:v>1.521101274151999E-4</c:v>
                </c:pt>
                <c:pt idx="23">
                  <c:v>1.472410662127807E-5</c:v>
                </c:pt>
                <c:pt idx="24">
                  <c:v>3.6313559990350909E-3</c:v>
                </c:pt>
                <c:pt idx="25">
                  <c:v>1.0868941718057299E-2</c:v>
                </c:pt>
                <c:pt idx="26">
                  <c:v>2.2382303907371628E-2</c:v>
                </c:pt>
                <c:pt idx="27">
                  <c:v>4.212837115783985E-2</c:v>
                </c:pt>
                <c:pt idx="28">
                  <c:v>3.3075052211960353E-2</c:v>
                </c:pt>
                <c:pt idx="29">
                  <c:v>4.9841661821819518E-2</c:v>
                </c:pt>
                <c:pt idx="30">
                  <c:v>4.85715434854639E-2</c:v>
                </c:pt>
                <c:pt idx="31">
                  <c:v>3.8876947944708702E-2</c:v>
                </c:pt>
                <c:pt idx="32">
                  <c:v>2.5932850179436289E-2</c:v>
                </c:pt>
                <c:pt idx="33">
                  <c:v>1.7460096431489061E-2</c:v>
                </c:pt>
                <c:pt idx="34">
                  <c:v>7.0293060058135041E-3</c:v>
                </c:pt>
                <c:pt idx="35">
                  <c:v>3.243365391886713E-3</c:v>
                </c:pt>
                <c:pt idx="36">
                  <c:v>6.6753155472480874E-3</c:v>
                </c:pt>
                <c:pt idx="37">
                  <c:v>1.7399571233002901E-2</c:v>
                </c:pt>
                <c:pt idx="38">
                  <c:v>6.1955070586442867E-2</c:v>
                </c:pt>
                <c:pt idx="39">
                  <c:v>8.404056603836467E-2</c:v>
                </c:pt>
                <c:pt idx="40">
                  <c:v>9.6876891420316108E-2</c:v>
                </c:pt>
                <c:pt idx="41">
                  <c:v>9.4962020744311482E-2</c:v>
                </c:pt>
                <c:pt idx="42">
                  <c:v>9.963556652585577E-2</c:v>
                </c:pt>
                <c:pt idx="43">
                  <c:v>8.9626978325266782E-2</c:v>
                </c:pt>
                <c:pt idx="44">
                  <c:v>6.6046498591704736E-2</c:v>
                </c:pt>
                <c:pt idx="45">
                  <c:v>3.7469414477654707E-2</c:v>
                </c:pt>
                <c:pt idx="46">
                  <c:v>1.046932675470221E-2</c:v>
                </c:pt>
                <c:pt idx="47">
                  <c:v>6.2291646451968653E-3</c:v>
                </c:pt>
                <c:pt idx="48">
                  <c:v>1.2460694276862919E-2</c:v>
                </c:pt>
                <c:pt idx="49">
                  <c:v>3.4376404191763639E-2</c:v>
                </c:pt>
                <c:pt idx="50">
                  <c:v>5.6477968577058592E-2</c:v>
                </c:pt>
                <c:pt idx="51">
                  <c:v>0.1509467292684683</c:v>
                </c:pt>
                <c:pt idx="52">
                  <c:v>0.18600333743842001</c:v>
                </c:pt>
                <c:pt idx="53">
                  <c:v>0.21892573712946101</c:v>
                </c:pt>
                <c:pt idx="54">
                  <c:v>0.18929524056345021</c:v>
                </c:pt>
                <c:pt idx="55">
                  <c:v>0.1493297980639493</c:v>
                </c:pt>
                <c:pt idx="56">
                  <c:v>0.13191654386548721</c:v>
                </c:pt>
                <c:pt idx="57">
                  <c:v>4.2864886456730103E-2</c:v>
                </c:pt>
                <c:pt idx="58">
                  <c:v>1.6003493537152379E-2</c:v>
                </c:pt>
                <c:pt idx="59">
                  <c:v>6.3905046726965339E-3</c:v>
                </c:pt>
                <c:pt idx="60">
                  <c:v>1.3417186050607519E-2</c:v>
                </c:pt>
                <c:pt idx="61">
                  <c:v>2.6436223837926501E-2</c:v>
                </c:pt>
                <c:pt idx="62">
                  <c:v>6.6233973400350477E-2</c:v>
                </c:pt>
                <c:pt idx="63">
                  <c:v>0.1084169878649764</c:v>
                </c:pt>
                <c:pt idx="64">
                  <c:v>0.18887031649880051</c:v>
                </c:pt>
                <c:pt idx="65">
                  <c:v>0.1715230569234828</c:v>
                </c:pt>
                <c:pt idx="66">
                  <c:v>0.1809062055635286</c:v>
                </c:pt>
                <c:pt idx="67">
                  <c:v>0.15512153111725799</c:v>
                </c:pt>
                <c:pt idx="68">
                  <c:v>0.1275567235314205</c:v>
                </c:pt>
                <c:pt idx="69">
                  <c:v>6.2873767847415107E-2</c:v>
                </c:pt>
                <c:pt idx="70">
                  <c:v>1.780902737610289E-2</c:v>
                </c:pt>
                <c:pt idx="71">
                  <c:v>6.7857975683456679E-3</c:v>
                </c:pt>
                <c:pt idx="72">
                  <c:v>1.366055484422285E-2</c:v>
                </c:pt>
                <c:pt idx="73">
                  <c:v>4.3419934817177687E-2</c:v>
                </c:pt>
                <c:pt idx="74">
                  <c:v>0.1120694547038418</c:v>
                </c:pt>
                <c:pt idx="75">
                  <c:v>0.14827548756052711</c:v>
                </c:pt>
                <c:pt idx="76">
                  <c:v>0.19244468175967161</c:v>
                </c:pt>
                <c:pt idx="77">
                  <c:v>0.18784829238523279</c:v>
                </c:pt>
                <c:pt idx="78">
                  <c:v>0.21828188848241209</c:v>
                </c:pt>
                <c:pt idx="79">
                  <c:v>0.19011684012808119</c:v>
                </c:pt>
                <c:pt idx="80">
                  <c:v>0.13816152724517919</c:v>
                </c:pt>
                <c:pt idx="81">
                  <c:v>6.9462071202051626E-2</c:v>
                </c:pt>
                <c:pt idx="82">
                  <c:v>2.6604970402147529E-2</c:v>
                </c:pt>
                <c:pt idx="83">
                  <c:v>1.40253486520015E-2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42-1345-A95B-3DA9EC3E210A}"/>
            </c:ext>
          </c:extLst>
        </c:ser>
        <c:ser>
          <c:idx val="1"/>
          <c:order val="1"/>
          <c:tx>
            <c:strRef>
              <c:f>'Capture Price Inputs'!$G$1</c:f>
              <c:strCache>
                <c:ptCount val="1"/>
                <c:pt idx="0">
                  <c:v>DK2 Solar Penetration (%) — Robustness</c:v>
                </c:pt>
              </c:strCache>
            </c:strRef>
          </c:tx>
          <c:spPr>
            <a:ln>
              <a:solidFill>
                <a:srgbClr val="FFD700"/>
              </a:solidFill>
              <a:prstDash val="solid"/>
            </a:ln>
          </c:spPr>
          <c:marker>
            <c:symbol val="none"/>
          </c:marker>
          <c:val>
            <c:numRef>
              <c:f>'Capture Price Inputs'!$G$2:$G$85</c:f>
              <c:numCache>
                <c:formatCode>General</c:formatCode>
                <c:ptCount val="84"/>
                <c:pt idx="12">
                  <c:v>1.864323044087839E-3</c:v>
                </c:pt>
                <c:pt idx="13">
                  <c:v>4.9613393448072352E-3</c:v>
                </c:pt>
                <c:pt idx="14">
                  <c:v>1.532033335337761E-2</c:v>
                </c:pt>
                <c:pt idx="15">
                  <c:v>2.6180595134545931E-2</c:v>
                </c:pt>
                <c:pt idx="16">
                  <c:v>3.2240930774166239E-2</c:v>
                </c:pt>
                <c:pt idx="17">
                  <c:v>3.0651812088155841E-2</c:v>
                </c:pt>
                <c:pt idx="18">
                  <c:v>2.998206800974695E-2</c:v>
                </c:pt>
                <c:pt idx="19">
                  <c:v>2.8034713414307081E-2</c:v>
                </c:pt>
                <c:pt idx="20">
                  <c:v>2.1736479101595249E-2</c:v>
                </c:pt>
                <c:pt idx="21">
                  <c:v>1.107911770574695E-2</c:v>
                </c:pt>
                <c:pt idx="22">
                  <c:v>1.1044611578332841E-4</c:v>
                </c:pt>
                <c:pt idx="23">
                  <c:v>5.6352433584062588E-6</c:v>
                </c:pt>
                <c:pt idx="24">
                  <c:v>3.104474131982996E-3</c:v>
                </c:pt>
                <c:pt idx="25">
                  <c:v>9.2483369487723587E-3</c:v>
                </c:pt>
                <c:pt idx="26">
                  <c:v>1.8474517045212829E-2</c:v>
                </c:pt>
                <c:pt idx="27">
                  <c:v>3.2694407483312787E-2</c:v>
                </c:pt>
                <c:pt idx="28">
                  <c:v>3.2945829294540187E-2</c:v>
                </c:pt>
                <c:pt idx="29">
                  <c:v>4.4480133140056069E-2</c:v>
                </c:pt>
                <c:pt idx="30">
                  <c:v>3.7049542537302173E-2</c:v>
                </c:pt>
                <c:pt idx="31">
                  <c:v>3.1857768834261987E-2</c:v>
                </c:pt>
                <c:pt idx="32">
                  <c:v>2.23981137027396E-2</c:v>
                </c:pt>
                <c:pt idx="33">
                  <c:v>1.267326343754744E-2</c:v>
                </c:pt>
                <c:pt idx="34">
                  <c:v>4.0132810857910267E-3</c:v>
                </c:pt>
                <c:pt idx="35">
                  <c:v>1.8226295838260991E-3</c:v>
                </c:pt>
                <c:pt idx="36">
                  <c:v>4.939556742877535E-3</c:v>
                </c:pt>
                <c:pt idx="37">
                  <c:v>1.3248485586698279E-2</c:v>
                </c:pt>
                <c:pt idx="38">
                  <c:v>3.4089330349121053E-2</c:v>
                </c:pt>
                <c:pt idx="39">
                  <c:v>5.5254436099578648E-2</c:v>
                </c:pt>
                <c:pt idx="40">
                  <c:v>6.5811459960859395E-2</c:v>
                </c:pt>
                <c:pt idx="41">
                  <c:v>6.4528229045867816E-2</c:v>
                </c:pt>
                <c:pt idx="42">
                  <c:v>6.7025803801952916E-2</c:v>
                </c:pt>
                <c:pt idx="43">
                  <c:v>6.1299924397195817E-2</c:v>
                </c:pt>
                <c:pt idx="44">
                  <c:v>4.5784276103507021E-2</c:v>
                </c:pt>
                <c:pt idx="45">
                  <c:v>2.9809058027035401E-2</c:v>
                </c:pt>
                <c:pt idx="46">
                  <c:v>7.8652952619005494E-3</c:v>
                </c:pt>
                <c:pt idx="47">
                  <c:v>4.5323555529735481E-3</c:v>
                </c:pt>
                <c:pt idx="48">
                  <c:v>5.8626527231366082E-3</c:v>
                </c:pt>
                <c:pt idx="49">
                  <c:v>1.8877648418373551E-2</c:v>
                </c:pt>
                <c:pt idx="50">
                  <c:v>3.7096229392005707E-2</c:v>
                </c:pt>
                <c:pt idx="51">
                  <c:v>8.0269966033824955E-2</c:v>
                </c:pt>
                <c:pt idx="52">
                  <c:v>0.1080032082802261</c:v>
                </c:pt>
                <c:pt idx="53">
                  <c:v>0.1144244665352921</c:v>
                </c:pt>
                <c:pt idx="54">
                  <c:v>0.10203074507159759</c:v>
                </c:pt>
                <c:pt idx="55">
                  <c:v>7.7931010532967707E-2</c:v>
                </c:pt>
                <c:pt idx="56">
                  <c:v>8.0909954639318743E-2</c:v>
                </c:pt>
                <c:pt idx="57">
                  <c:v>2.9172340215594381E-2</c:v>
                </c:pt>
                <c:pt idx="58">
                  <c:v>1.04098691216888E-2</c:v>
                </c:pt>
                <c:pt idx="59">
                  <c:v>3.809030164374855E-3</c:v>
                </c:pt>
                <c:pt idx="60">
                  <c:v>6.1781830729755079E-3</c:v>
                </c:pt>
                <c:pt idx="61">
                  <c:v>1.667231366864759E-2</c:v>
                </c:pt>
                <c:pt idx="62">
                  <c:v>4.1112806367337662E-2</c:v>
                </c:pt>
                <c:pt idx="63">
                  <c:v>6.5123378744806448E-2</c:v>
                </c:pt>
                <c:pt idx="64">
                  <c:v>0.106315341440858</c:v>
                </c:pt>
                <c:pt idx="65">
                  <c:v>0.1072729076610999</c:v>
                </c:pt>
                <c:pt idx="66">
                  <c:v>0.1057942634887733</c:v>
                </c:pt>
                <c:pt idx="67">
                  <c:v>9.3690832268705199E-2</c:v>
                </c:pt>
                <c:pt idx="68">
                  <c:v>7.2463202820400169E-2</c:v>
                </c:pt>
                <c:pt idx="69">
                  <c:v>3.6145253892379881E-2</c:v>
                </c:pt>
                <c:pt idx="70">
                  <c:v>8.6028414054236078E-3</c:v>
                </c:pt>
                <c:pt idx="71">
                  <c:v>4.1714684657767577E-3</c:v>
                </c:pt>
                <c:pt idx="72">
                  <c:v>7.223240212576967E-3</c:v>
                </c:pt>
                <c:pt idx="73">
                  <c:v>2.010831138567791E-2</c:v>
                </c:pt>
                <c:pt idx="74">
                  <c:v>4.6547866447452589E-2</c:v>
                </c:pt>
                <c:pt idx="75">
                  <c:v>7.1689783649061992E-2</c:v>
                </c:pt>
                <c:pt idx="76">
                  <c:v>9.4714127256233946E-2</c:v>
                </c:pt>
                <c:pt idx="77">
                  <c:v>9.9826250015510765E-2</c:v>
                </c:pt>
                <c:pt idx="78">
                  <c:v>9.3996419418699143E-2</c:v>
                </c:pt>
                <c:pt idx="79">
                  <c:v>0.1057378118957395</c:v>
                </c:pt>
                <c:pt idx="80">
                  <c:v>9.0628879686523764E-2</c:v>
                </c:pt>
                <c:pt idx="81">
                  <c:v>3.9573125678626628E-2</c:v>
                </c:pt>
                <c:pt idx="82">
                  <c:v>1.454364344794783E-2</c:v>
                </c:pt>
                <c:pt idx="83">
                  <c:v>9.0694911608833299E-3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42-1345-A95B-3DA9EC3E21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Solar Penetration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Capture Price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Inputs'!$H$1</c:f>
              <c:strCache>
                <c:ptCount val="1"/>
                <c:pt idx="0">
                  <c:v>DK1 Capture Price (EUR/MWh)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Inputs'!$H$2:$H$85</c:f>
              <c:numCache>
                <c:formatCode>General</c:formatCode>
                <c:ptCount val="84"/>
                <c:pt idx="12">
                  <c:v>25.22320957280251</c:v>
                </c:pt>
                <c:pt idx="13">
                  <c:v>22.83581899109792</c:v>
                </c:pt>
                <c:pt idx="14">
                  <c:v>15.94107348554973</c:v>
                </c:pt>
                <c:pt idx="15">
                  <c:v>10.36487590420421</c:v>
                </c:pt>
                <c:pt idx="16">
                  <c:v>15.478548945086001</c:v>
                </c:pt>
                <c:pt idx="17">
                  <c:v>27.313308227868689</c:v>
                </c:pt>
                <c:pt idx="18">
                  <c:v>24.831745178109159</c:v>
                </c:pt>
                <c:pt idx="19">
                  <c:v>33.876915422047851</c:v>
                </c:pt>
                <c:pt idx="20">
                  <c:v>38.935979003379593</c:v>
                </c:pt>
                <c:pt idx="21">
                  <c:v>31.927741533059191</c:v>
                </c:pt>
                <c:pt idx="22">
                  <c:v>26.005993265993261</c:v>
                </c:pt>
                <c:pt idx="23">
                  <c:v>34.795161290322582</c:v>
                </c:pt>
                <c:pt idx="24">
                  <c:v>55.422967607277918</c:v>
                </c:pt>
                <c:pt idx="25">
                  <c:v>47.542610979142587</c:v>
                </c:pt>
                <c:pt idx="26">
                  <c:v>44.550700915805493</c:v>
                </c:pt>
                <c:pt idx="27">
                  <c:v>43.594739828473003</c:v>
                </c:pt>
                <c:pt idx="28">
                  <c:v>47.655870575001217</c:v>
                </c:pt>
                <c:pt idx="29">
                  <c:v>70.543547911111062</c:v>
                </c:pt>
                <c:pt idx="30">
                  <c:v>78.568319747758608</c:v>
                </c:pt>
                <c:pt idx="31">
                  <c:v>81.983351136401794</c:v>
                </c:pt>
                <c:pt idx="32">
                  <c:v>116.20022495544841</c:v>
                </c:pt>
                <c:pt idx="33">
                  <c:v>126.53039520323949</c:v>
                </c:pt>
                <c:pt idx="34">
                  <c:v>160.77058330102949</c:v>
                </c:pt>
                <c:pt idx="35">
                  <c:v>228.8621705579358</c:v>
                </c:pt>
                <c:pt idx="36">
                  <c:v>123.20125067917191</c:v>
                </c:pt>
                <c:pt idx="37">
                  <c:v>117.67077903546</c:v>
                </c:pt>
                <c:pt idx="38">
                  <c:v>191.50807173506701</c:v>
                </c:pt>
                <c:pt idx="39">
                  <c:v>145.70138715926041</c:v>
                </c:pt>
                <c:pt idx="40">
                  <c:v>149.4185612445558</c:v>
                </c:pt>
                <c:pt idx="41">
                  <c:v>194.71103409481981</c:v>
                </c:pt>
                <c:pt idx="42">
                  <c:v>239.3981525107354</c:v>
                </c:pt>
                <c:pt idx="43">
                  <c:v>419.79263722660602</c:v>
                </c:pt>
                <c:pt idx="44">
                  <c:v>310.70739927266709</c:v>
                </c:pt>
                <c:pt idx="45">
                  <c:v>125.6295598680838</c:v>
                </c:pt>
                <c:pt idx="46">
                  <c:v>131.7111886265582</c:v>
                </c:pt>
                <c:pt idx="47">
                  <c:v>282.82379374207261</c:v>
                </c:pt>
                <c:pt idx="48">
                  <c:v>138.52998868426329</c:v>
                </c:pt>
                <c:pt idx="49">
                  <c:v>109.87697572135031</c:v>
                </c:pt>
                <c:pt idx="50">
                  <c:v>93.774190940695377</c:v>
                </c:pt>
                <c:pt idx="51">
                  <c:v>76.25042822265543</c:v>
                </c:pt>
                <c:pt idx="52">
                  <c:v>50.543487760082613</c:v>
                </c:pt>
                <c:pt idx="53">
                  <c:v>74.888982776218057</c:v>
                </c:pt>
                <c:pt idx="54">
                  <c:v>52.095599438463452</c:v>
                </c:pt>
                <c:pt idx="55">
                  <c:v>74.180426039978187</c:v>
                </c:pt>
                <c:pt idx="56">
                  <c:v>68.116869623396937</c:v>
                </c:pt>
                <c:pt idx="57">
                  <c:v>50.539090519702853</c:v>
                </c:pt>
                <c:pt idx="58">
                  <c:v>90.680805562425178</c:v>
                </c:pt>
                <c:pt idx="59">
                  <c:v>63.455327688788032</c:v>
                </c:pt>
                <c:pt idx="60">
                  <c:v>78.571316441678306</c:v>
                </c:pt>
                <c:pt idx="61">
                  <c:v>59.479486768055089</c:v>
                </c:pt>
                <c:pt idx="62">
                  <c:v>51.269783241554933</c:v>
                </c:pt>
                <c:pt idx="63">
                  <c:v>49.383940562011212</c:v>
                </c:pt>
                <c:pt idx="64">
                  <c:v>35.894148271408874</c:v>
                </c:pt>
                <c:pt idx="65">
                  <c:v>47.037633727397647</c:v>
                </c:pt>
                <c:pt idx="66">
                  <c:v>42.521773223099522</c:v>
                </c:pt>
                <c:pt idx="67">
                  <c:v>52.17121747504909</c:v>
                </c:pt>
                <c:pt idx="68">
                  <c:v>45.647504626217007</c:v>
                </c:pt>
                <c:pt idx="69">
                  <c:v>58.441583787091993</c:v>
                </c:pt>
                <c:pt idx="70">
                  <c:v>97.582352616331917</c:v>
                </c:pt>
                <c:pt idx="71">
                  <c:v>92.073217693833982</c:v>
                </c:pt>
                <c:pt idx="72">
                  <c:v>111.1945655985155</c:v>
                </c:pt>
                <c:pt idx="73">
                  <c:v>105.41315973788279</c:v>
                </c:pt>
                <c:pt idx="74">
                  <c:v>57.84566339627056</c:v>
                </c:pt>
                <c:pt idx="75">
                  <c:v>45.844395770687349</c:v>
                </c:pt>
                <c:pt idx="76">
                  <c:v>40.065667394009381</c:v>
                </c:pt>
                <c:pt idx="77">
                  <c:v>33.493381965196598</c:v>
                </c:pt>
                <c:pt idx="78">
                  <c:v>61.32224821093979</c:v>
                </c:pt>
                <c:pt idx="79">
                  <c:v>47.755824567457559</c:v>
                </c:pt>
                <c:pt idx="80">
                  <c:v>49.429094996057238</c:v>
                </c:pt>
                <c:pt idx="81">
                  <c:v>74.266634537895257</c:v>
                </c:pt>
                <c:pt idx="82">
                  <c:v>95.564531802521344</c:v>
                </c:pt>
                <c:pt idx="83">
                  <c:v>80.958034242780258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DC-9C4D-B79C-22D61C173AFE}"/>
            </c:ext>
          </c:extLst>
        </c:ser>
        <c:ser>
          <c:idx val="1"/>
          <c:order val="1"/>
          <c:tx>
            <c:strRef>
              <c:f>'Capture Price Inputs'!$I$1</c:f>
              <c:strCache>
                <c:ptCount val="1"/>
                <c:pt idx="0">
                  <c:v>DK2 Capture Price (EUR/MWh)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'Capture Price Inputs'!$I$2:$I$85</c:f>
              <c:numCache>
                <c:formatCode>General</c:formatCode>
                <c:ptCount val="84"/>
                <c:pt idx="12">
                  <c:v>29.86213642213642</c:v>
                </c:pt>
                <c:pt idx="13">
                  <c:v>23.555517829721889</c:v>
                </c:pt>
                <c:pt idx="14">
                  <c:v>17.149050692261021</c:v>
                </c:pt>
                <c:pt idx="15">
                  <c:v>13.252523128367081</c:v>
                </c:pt>
                <c:pt idx="16">
                  <c:v>18.594049382716051</c:v>
                </c:pt>
                <c:pt idx="17">
                  <c:v>35.21078005032583</c:v>
                </c:pt>
                <c:pt idx="18">
                  <c:v>26.450778046867001</c:v>
                </c:pt>
                <c:pt idx="19">
                  <c:v>44.113765015404859</c:v>
                </c:pt>
                <c:pt idx="20">
                  <c:v>41.853047880870562</c:v>
                </c:pt>
                <c:pt idx="21">
                  <c:v>33.600878372903331</c:v>
                </c:pt>
                <c:pt idx="22">
                  <c:v>37.749765625000002</c:v>
                </c:pt>
                <c:pt idx="23">
                  <c:v>44.191428571428567</c:v>
                </c:pt>
                <c:pt idx="24">
                  <c:v>57.072134410081453</c:v>
                </c:pt>
                <c:pt idx="25">
                  <c:v>52.285083654524577</c:v>
                </c:pt>
                <c:pt idx="26">
                  <c:v>47.422643011897812</c:v>
                </c:pt>
                <c:pt idx="27">
                  <c:v>45.901363748248833</c:v>
                </c:pt>
                <c:pt idx="28">
                  <c:v>50.258720231460799</c:v>
                </c:pt>
                <c:pt idx="29">
                  <c:v>69.469341653776226</c:v>
                </c:pt>
                <c:pt idx="30">
                  <c:v>77.933111551394319</c:v>
                </c:pt>
                <c:pt idx="31">
                  <c:v>84.512747690257029</c:v>
                </c:pt>
                <c:pt idx="32">
                  <c:v>118.7457227855615</c:v>
                </c:pt>
                <c:pt idx="33">
                  <c:v>122.3841235967906</c:v>
                </c:pt>
                <c:pt idx="34">
                  <c:v>153.62679427815749</c:v>
                </c:pt>
                <c:pt idx="35">
                  <c:v>244.48727859764409</c:v>
                </c:pt>
                <c:pt idx="36">
                  <c:v>129.67749023150819</c:v>
                </c:pt>
                <c:pt idx="37">
                  <c:v>108.80333899256409</c:v>
                </c:pt>
                <c:pt idx="38">
                  <c:v>186.0504424586062</c:v>
                </c:pt>
                <c:pt idx="39">
                  <c:v>143.53758886421849</c:v>
                </c:pt>
                <c:pt idx="40">
                  <c:v>146.25360234460331</c:v>
                </c:pt>
                <c:pt idx="41">
                  <c:v>192.2325905808319</c:v>
                </c:pt>
                <c:pt idx="42">
                  <c:v>212.3625858003895</c:v>
                </c:pt>
                <c:pt idx="43">
                  <c:v>397.17988485976059</c:v>
                </c:pt>
                <c:pt idx="44">
                  <c:v>315.92884279677901</c:v>
                </c:pt>
                <c:pt idx="45">
                  <c:v>120.1190076327392</c:v>
                </c:pt>
                <c:pt idx="46">
                  <c:v>134.0399027878758</c:v>
                </c:pt>
                <c:pt idx="47">
                  <c:v>303.26978481668573</c:v>
                </c:pt>
                <c:pt idx="48">
                  <c:v>120.8992864784306</c:v>
                </c:pt>
                <c:pt idx="49">
                  <c:v>103.112625406295</c:v>
                </c:pt>
                <c:pt idx="50">
                  <c:v>89.098468921641697</c:v>
                </c:pt>
                <c:pt idx="51">
                  <c:v>71.125099705594195</c:v>
                </c:pt>
                <c:pt idx="52">
                  <c:v>48.358083796456327</c:v>
                </c:pt>
                <c:pt idx="53">
                  <c:v>71.862090372222397</c:v>
                </c:pt>
                <c:pt idx="54">
                  <c:v>50.345966617092351</c:v>
                </c:pt>
                <c:pt idx="55">
                  <c:v>72.957992347987414</c:v>
                </c:pt>
                <c:pt idx="56">
                  <c:v>64.394484672464898</c:v>
                </c:pt>
                <c:pt idx="57">
                  <c:v>47.660255094286853</c:v>
                </c:pt>
                <c:pt idx="58">
                  <c:v>84.639978605265995</c:v>
                </c:pt>
                <c:pt idx="59">
                  <c:v>59.061746333079718</c:v>
                </c:pt>
                <c:pt idx="60">
                  <c:v>76.427202535219209</c:v>
                </c:pt>
                <c:pt idx="61">
                  <c:v>51.434379196547752</c:v>
                </c:pt>
                <c:pt idx="62">
                  <c:v>50.751163813053438</c:v>
                </c:pt>
                <c:pt idx="63">
                  <c:v>47.053967904827999</c:v>
                </c:pt>
                <c:pt idx="64">
                  <c:v>34.295794113692892</c:v>
                </c:pt>
                <c:pt idx="65">
                  <c:v>46.379384034583367</c:v>
                </c:pt>
                <c:pt idx="66">
                  <c:v>38.812821969471173</c:v>
                </c:pt>
                <c:pt idx="67">
                  <c:v>47.151863118292532</c:v>
                </c:pt>
                <c:pt idx="68">
                  <c:v>43.355946350842189</c:v>
                </c:pt>
                <c:pt idx="69">
                  <c:v>59.534937630286556</c:v>
                </c:pt>
                <c:pt idx="70">
                  <c:v>89.611277477917284</c:v>
                </c:pt>
                <c:pt idx="71">
                  <c:v>100.7961313991171</c:v>
                </c:pt>
                <c:pt idx="72">
                  <c:v>115.0822593270056</c:v>
                </c:pt>
                <c:pt idx="73">
                  <c:v>106.92318207316821</c:v>
                </c:pt>
                <c:pt idx="74">
                  <c:v>50.018062961268747</c:v>
                </c:pt>
                <c:pt idx="75">
                  <c:v>41.82584156307518</c:v>
                </c:pt>
                <c:pt idx="76">
                  <c:v>34.320660344591218</c:v>
                </c:pt>
                <c:pt idx="77">
                  <c:v>24.31568572006325</c:v>
                </c:pt>
                <c:pt idx="78">
                  <c:v>59.766943882147693</c:v>
                </c:pt>
                <c:pt idx="79">
                  <c:v>43.064604783544858</c:v>
                </c:pt>
                <c:pt idx="80">
                  <c:v>52.949405153808357</c:v>
                </c:pt>
                <c:pt idx="81">
                  <c:v>78.645730322406678</c:v>
                </c:pt>
                <c:pt idx="82">
                  <c:v>92.690454871532665</c:v>
                </c:pt>
                <c:pt idx="83">
                  <c:v>79.631228022083661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DC-9C4D-B79C-22D61C173A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EUR/MWh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Capture Price Ratio - DK1 Primary | DK2 Robustness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'Capture Price Inputs'!$J$1</c:f>
              <c:strCache>
                <c:ptCount val="1"/>
                <c:pt idx="0">
                  <c:v>DK1 CPR — Primary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'Capture Price Inputs'!$J$2:$J$85</c:f>
              <c:numCache>
                <c:formatCode>General</c:formatCode>
                <c:ptCount val="84"/>
                <c:pt idx="12">
                  <c:v>1.0091486594474419</c:v>
                </c:pt>
                <c:pt idx="13">
                  <c:v>1.2985911686950511</c:v>
                </c:pt>
                <c:pt idx="14">
                  <c:v>0.8710146939215303</c:v>
                </c:pt>
                <c:pt idx="15">
                  <c:v>0.71315772558819213</c:v>
                </c:pt>
                <c:pt idx="16">
                  <c:v>0.96415576931205649</c:v>
                </c:pt>
                <c:pt idx="17">
                  <c:v>1.0394664137310941</c:v>
                </c:pt>
                <c:pt idx="18">
                  <c:v>1.0086181556608309</c:v>
                </c:pt>
                <c:pt idx="19">
                  <c:v>0.98082264407500741</c:v>
                </c:pt>
                <c:pt idx="20">
                  <c:v>1.0104044869130051</c:v>
                </c:pt>
                <c:pt idx="21">
                  <c:v>1.236802226812374</c:v>
                </c:pt>
                <c:pt idx="22">
                  <c:v>1.094777917215692</c:v>
                </c:pt>
                <c:pt idx="23">
                  <c:v>1.0082301641826621</c:v>
                </c:pt>
                <c:pt idx="24">
                  <c:v>1.103930861568265</c:v>
                </c:pt>
                <c:pt idx="25">
                  <c:v>1.0059479277054251</c:v>
                </c:pt>
                <c:pt idx="26">
                  <c:v>0.9871758725122356</c:v>
                </c:pt>
                <c:pt idx="27">
                  <c:v>0.90884647456650169</c:v>
                </c:pt>
                <c:pt idx="28">
                  <c:v>0.87751805187154364</c:v>
                </c:pt>
                <c:pt idx="29">
                  <c:v>0.95691427953473174</c:v>
                </c:pt>
                <c:pt idx="30">
                  <c:v>0.98211323715969778</c:v>
                </c:pt>
                <c:pt idx="31">
                  <c:v>0.99027147802450566</c:v>
                </c:pt>
                <c:pt idx="32">
                  <c:v>0.92690440483613579</c:v>
                </c:pt>
                <c:pt idx="33">
                  <c:v>1.0810885074134391</c:v>
                </c:pt>
                <c:pt idx="34">
                  <c:v>1.1338034085044659</c:v>
                </c:pt>
                <c:pt idx="35">
                  <c:v>1.2086769624549281</c:v>
                </c:pt>
                <c:pt idx="36">
                  <c:v>1.0441257304277269</c:v>
                </c:pt>
                <c:pt idx="37">
                  <c:v>1.04022281700981</c:v>
                </c:pt>
                <c:pt idx="38">
                  <c:v>0.81207759044207406</c:v>
                </c:pt>
                <c:pt idx="39">
                  <c:v>0.89039133384678326</c:v>
                </c:pt>
                <c:pt idx="40">
                  <c:v>0.86943016050498578</c:v>
                </c:pt>
                <c:pt idx="41">
                  <c:v>0.90803902012341908</c:v>
                </c:pt>
                <c:pt idx="42">
                  <c:v>0.87041791592949547</c:v>
                </c:pt>
                <c:pt idx="43">
                  <c:v>0.91908553046700026</c:v>
                </c:pt>
                <c:pt idx="44">
                  <c:v>0.90632901805683119</c:v>
                </c:pt>
                <c:pt idx="45">
                  <c:v>0.91612325253961768</c:v>
                </c:pt>
                <c:pt idx="46">
                  <c:v>0.94278612074660006</c:v>
                </c:pt>
                <c:pt idx="47">
                  <c:v>1.132810339248927</c:v>
                </c:pt>
                <c:pt idx="48">
                  <c:v>1.2309198691226539</c:v>
                </c:pt>
                <c:pt idx="49">
                  <c:v>0.93008781340266</c:v>
                </c:pt>
                <c:pt idx="50">
                  <c:v>0.94612539759598957</c:v>
                </c:pt>
                <c:pt idx="51">
                  <c:v>0.79203966120386338</c:v>
                </c:pt>
                <c:pt idx="52">
                  <c:v>0.68333610561519953</c:v>
                </c:pt>
                <c:pt idx="53">
                  <c:v>0.80965062086215667</c:v>
                </c:pt>
                <c:pt idx="54">
                  <c:v>0.80380421953260928</c:v>
                </c:pt>
                <c:pt idx="55">
                  <c:v>0.86289309777204071</c:v>
                </c:pt>
                <c:pt idx="56">
                  <c:v>0.8038389922187259</c:v>
                </c:pt>
                <c:pt idx="57">
                  <c:v>0.84083605560542263</c:v>
                </c:pt>
                <c:pt idx="58">
                  <c:v>1.028656893611996</c:v>
                </c:pt>
                <c:pt idx="59">
                  <c:v>0.91325607762876626</c:v>
                </c:pt>
                <c:pt idx="60">
                  <c:v>1.051614630458469</c:v>
                </c:pt>
                <c:pt idx="61">
                  <c:v>1.0144208291794441</c:v>
                </c:pt>
                <c:pt idx="62">
                  <c:v>0.8373818542217274</c:v>
                </c:pt>
                <c:pt idx="63">
                  <c:v>0.83468460161643787</c:v>
                </c:pt>
                <c:pt idx="64">
                  <c:v>0.61339845366508694</c:v>
                </c:pt>
                <c:pt idx="65">
                  <c:v>0.73781003223868646</c:v>
                </c:pt>
                <c:pt idx="66">
                  <c:v>0.68549949487061801</c:v>
                </c:pt>
                <c:pt idx="67">
                  <c:v>0.71512676219349525</c:v>
                </c:pt>
                <c:pt idx="68">
                  <c:v>0.63652522303957304</c:v>
                </c:pt>
                <c:pt idx="69">
                  <c:v>0.76175188075929667</c:v>
                </c:pt>
                <c:pt idx="70">
                  <c:v>1.0174940038611719</c:v>
                </c:pt>
                <c:pt idx="71">
                  <c:v>1.0025674160411211</c:v>
                </c:pt>
                <c:pt idx="72">
                  <c:v>1.135032584901597</c:v>
                </c:pt>
                <c:pt idx="73">
                  <c:v>0.93411665141872979</c:v>
                </c:pt>
                <c:pt idx="74">
                  <c:v>0.68579081688022481</c:v>
                </c:pt>
                <c:pt idx="75">
                  <c:v>0.60995353561832499</c:v>
                </c:pt>
                <c:pt idx="76">
                  <c:v>0.62375117423189408</c:v>
                </c:pt>
                <c:pt idx="77">
                  <c:v>0.56976432128633303</c:v>
                </c:pt>
                <c:pt idx="78">
                  <c:v>0.74058967108380014</c:v>
                </c:pt>
                <c:pt idx="79">
                  <c:v>0.64997112344594554</c:v>
                </c:pt>
                <c:pt idx="80">
                  <c:v>0.68273474898658593</c:v>
                </c:pt>
                <c:pt idx="81">
                  <c:v>0.94701517193480578</c:v>
                </c:pt>
                <c:pt idx="82">
                  <c:v>1.0289764309560969</c:v>
                </c:pt>
                <c:pt idx="83">
                  <c:v>0.98205388617926037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4B1-1147-AF06-E3FE123E27E1}"/>
            </c:ext>
          </c:extLst>
        </c:ser>
        <c:ser>
          <c:idx val="1"/>
          <c:order val="1"/>
          <c:tx>
            <c:strRef>
              <c:f>'Capture Price Inputs'!$K$1</c:f>
              <c:strCache>
                <c:ptCount val="1"/>
                <c:pt idx="0">
                  <c:v>DK2 CPR — Robustness</c:v>
                </c:pt>
              </c:strCache>
            </c:strRef>
          </c:tx>
          <c:spPr>
            <a:ln>
              <a:solidFill>
                <a:srgbClr val="9DC3E6"/>
              </a:solidFill>
              <a:prstDash val="solid"/>
            </a:ln>
          </c:spPr>
          <c:marker>
            <c:symbol val="none"/>
          </c:marker>
          <c:val>
            <c:numRef>
              <c:f>'Capture Price Inputs'!$K$2:$K$85</c:f>
              <c:numCache>
                <c:formatCode>General</c:formatCode>
                <c:ptCount val="84"/>
                <c:pt idx="12">
                  <c:v>1.090446324793763</c:v>
                </c:pt>
                <c:pt idx="13">
                  <c:v>1.251821301318464</c:v>
                </c:pt>
                <c:pt idx="14">
                  <c:v>0.85520775851277109</c:v>
                </c:pt>
                <c:pt idx="15">
                  <c:v>0.76362023547871605</c:v>
                </c:pt>
                <c:pt idx="16">
                  <c:v>0.97636938233545278</c:v>
                </c:pt>
                <c:pt idx="17">
                  <c:v>1.180647007173951</c:v>
                </c:pt>
                <c:pt idx="18">
                  <c:v>1.021791049952987</c:v>
                </c:pt>
                <c:pt idx="19">
                  <c:v>1.077948442472481</c:v>
                </c:pt>
                <c:pt idx="20">
                  <c:v>1.0591890923358069</c:v>
                </c:pt>
                <c:pt idx="21">
                  <c:v>1.247549053102559</c:v>
                </c:pt>
                <c:pt idx="22">
                  <c:v>1.057080411727209</c:v>
                </c:pt>
                <c:pt idx="23">
                  <c:v>1.125691191699302</c:v>
                </c:pt>
                <c:pt idx="24">
                  <c:v>1.122164979814525</c:v>
                </c:pt>
                <c:pt idx="25">
                  <c:v>0.9585139857498034</c:v>
                </c:pt>
                <c:pt idx="26">
                  <c:v>1.0147741726503949</c:v>
                </c:pt>
                <c:pt idx="27">
                  <c:v>0.95901643664766134</c:v>
                </c:pt>
                <c:pt idx="28">
                  <c:v>0.91033887361171206</c:v>
                </c:pt>
                <c:pt idx="29">
                  <c:v>0.94404491874816343</c:v>
                </c:pt>
                <c:pt idx="30">
                  <c:v>0.95692856904650769</c:v>
                </c:pt>
                <c:pt idx="31">
                  <c:v>1.001768528067071</c:v>
                </c:pt>
                <c:pt idx="32">
                  <c:v>0.95838336990944806</c:v>
                </c:pt>
                <c:pt idx="33">
                  <c:v>1.1445012658471321</c:v>
                </c:pt>
                <c:pt idx="34">
                  <c:v>1.1264608571418011</c:v>
                </c:pt>
                <c:pt idx="35">
                  <c:v>1.279578427053047</c:v>
                </c:pt>
                <c:pt idx="36">
                  <c:v>1.1617546523412821</c:v>
                </c:pt>
                <c:pt idx="37">
                  <c:v>1.084871924613185</c:v>
                </c:pt>
                <c:pt idx="38">
                  <c:v>0.81629582758371144</c:v>
                </c:pt>
                <c:pt idx="39">
                  <c:v>0.93918048773921026</c:v>
                </c:pt>
                <c:pt idx="40">
                  <c:v>0.89914563143311954</c:v>
                </c:pt>
                <c:pt idx="41">
                  <c:v>0.90151367457475784</c:v>
                </c:pt>
                <c:pt idx="42">
                  <c:v>0.90956244496775596</c:v>
                </c:pt>
                <c:pt idx="43">
                  <c:v>0.8830756108422062</c:v>
                </c:pt>
                <c:pt idx="44">
                  <c:v>0.96085369829588263</c:v>
                </c:pt>
                <c:pt idx="45">
                  <c:v>0.87743541957368609</c:v>
                </c:pt>
                <c:pt idx="46">
                  <c:v>0.92404474391789948</c:v>
                </c:pt>
                <c:pt idx="47">
                  <c:v>1.2185280560697289</c:v>
                </c:pt>
                <c:pt idx="48">
                  <c:v>1.2118663236304299</c:v>
                </c:pt>
                <c:pt idx="49">
                  <c:v>1.0244781228159621</c:v>
                </c:pt>
                <c:pt idx="50">
                  <c:v>0.99223631219701203</c:v>
                </c:pt>
                <c:pt idx="51">
                  <c:v>0.85025873478203906</c:v>
                </c:pt>
                <c:pt idx="52">
                  <c:v>0.73101748270540212</c:v>
                </c:pt>
                <c:pt idx="53">
                  <c:v>0.78603819917365525</c:v>
                </c:pt>
                <c:pt idx="54">
                  <c:v>0.77170348712471282</c:v>
                </c:pt>
                <c:pt idx="55">
                  <c:v>0.84546104105698361</c:v>
                </c:pt>
                <c:pt idx="56">
                  <c:v>0.75329173308453345</c:v>
                </c:pt>
                <c:pt idx="57">
                  <c:v>0.83723449033464103</c:v>
                </c:pt>
                <c:pt idx="58">
                  <c:v>1.038705241708771</c:v>
                </c:pt>
                <c:pt idx="59">
                  <c:v>0.83326707575628478</c:v>
                </c:pt>
                <c:pt idx="60">
                  <c:v>0.97714487510792902</c:v>
                </c:pt>
                <c:pt idx="61">
                  <c:v>0.93991726033346112</c:v>
                </c:pt>
                <c:pt idx="62">
                  <c:v>0.8314293202728863</c:v>
                </c:pt>
                <c:pt idx="63">
                  <c:v>0.77805107456374178</c:v>
                </c:pt>
                <c:pt idx="64">
                  <c:v>0.59005563427075769</c:v>
                </c:pt>
                <c:pt idx="65">
                  <c:v>0.69439585691141426</c:v>
                </c:pt>
                <c:pt idx="66">
                  <c:v>0.61762838453946423</c:v>
                </c:pt>
                <c:pt idx="67">
                  <c:v>0.64934714792296455</c:v>
                </c:pt>
                <c:pt idx="68">
                  <c:v>0.61574801135475132</c:v>
                </c:pt>
                <c:pt idx="69">
                  <c:v>0.78000735067931948</c:v>
                </c:pt>
                <c:pt idx="70">
                  <c:v>0.94047799551015088</c:v>
                </c:pt>
                <c:pt idx="71">
                  <c:v>1.0870067185479459</c:v>
                </c:pt>
                <c:pt idx="72">
                  <c:v>1.1494003648079021</c:v>
                </c:pt>
                <c:pt idx="73">
                  <c:v>0.90662384271333907</c:v>
                </c:pt>
                <c:pt idx="74">
                  <c:v>0.60374116471580297</c:v>
                </c:pt>
                <c:pt idx="75">
                  <c:v>0.55174367988103734</c:v>
                </c:pt>
                <c:pt idx="76">
                  <c:v>0.54405946330729504</c:v>
                </c:pt>
                <c:pt idx="77">
                  <c:v>0.4307606652121766</c:v>
                </c:pt>
                <c:pt idx="78">
                  <c:v>0.74746341861966192</c:v>
                </c:pt>
                <c:pt idx="79">
                  <c:v>0.57178942343359873</c:v>
                </c:pt>
                <c:pt idx="80">
                  <c:v>0.63573160083367797</c:v>
                </c:pt>
                <c:pt idx="81">
                  <c:v>0.95480840081563045</c:v>
                </c:pt>
                <c:pt idx="82">
                  <c:v>0.98927251294969987</c:v>
                </c:pt>
                <c:pt idx="83">
                  <c:v>0.97014796253594149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4B1-1147-AF06-E3FE123E27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CPR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DK1 ADF t-statistics by Number of Lags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Calibration!$H$1</c:f>
              <c:strCache>
                <c:ptCount val="1"/>
                <c:pt idx="0">
                  <c:v>DK1 Full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Calibration!$H$2:$H$6</c:f>
              <c:numCache>
                <c:formatCode>General</c:formatCode>
                <c:ptCount val="5"/>
                <c:pt idx="0">
                  <c:v>-2.7048999999999999</c:v>
                </c:pt>
                <c:pt idx="1">
                  <c:v>-2.5651000000000002</c:v>
                </c:pt>
                <c:pt idx="2">
                  <c:v>-1.782</c:v>
                </c:pt>
                <c:pt idx="3">
                  <c:v>-1.6911</c:v>
                </c:pt>
                <c:pt idx="4">
                  <c:v>-1.6500999999999999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EC4-0544-98B2-CDD797692AF7}"/>
            </c:ext>
          </c:extLst>
        </c:ser>
        <c:ser>
          <c:idx val="1"/>
          <c:order val="1"/>
          <c:tx>
            <c:strRef>
              <c:f>Calibration!$I$1</c:f>
              <c:strCache>
                <c:ptCount val="1"/>
                <c:pt idx="0">
                  <c:v>DK1 ex-2022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Calibration!$I$2:$I$6</c:f>
              <c:numCache>
                <c:formatCode>General</c:formatCode>
                <c:ptCount val="5"/>
                <c:pt idx="0">
                  <c:v>-2.7732000000000001</c:v>
                </c:pt>
                <c:pt idx="1">
                  <c:v>-2.3519000000000001</c:v>
                </c:pt>
                <c:pt idx="2">
                  <c:v>-1.8494999999999999</c:v>
                </c:pt>
                <c:pt idx="3">
                  <c:v>-1.8987000000000001</c:v>
                </c:pt>
                <c:pt idx="4">
                  <c:v>-1.8872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EC4-0544-98B2-CDD797692AF7}"/>
            </c:ext>
          </c:extLst>
        </c:ser>
        <c:ser>
          <c:idx val="2"/>
          <c:order val="2"/>
          <c:tx>
            <c:strRef>
              <c:f>Calibration!$J$1</c:f>
              <c:strCache>
                <c:ptCount val="1"/>
                <c:pt idx="0">
                  <c:v>DK1 post-crisis</c:v>
                </c:pt>
              </c:strCache>
            </c:strRef>
          </c:tx>
          <c:spPr>
            <a:ln>
              <a:solidFill>
                <a:srgbClr val="70AD47"/>
              </a:solidFill>
              <a:prstDash val="solid"/>
            </a:ln>
          </c:spPr>
          <c:marker>
            <c:symbol val="none"/>
          </c:marker>
          <c:val>
            <c:numRef>
              <c:f>Calibration!$J$2:$J$6</c:f>
              <c:numCache>
                <c:formatCode>General</c:formatCode>
                <c:ptCount val="5"/>
                <c:pt idx="0">
                  <c:v>-3.4350000000000001</c:v>
                </c:pt>
                <c:pt idx="1">
                  <c:v>-3.4777</c:v>
                </c:pt>
                <c:pt idx="2">
                  <c:v>-2.6638999999999999</c:v>
                </c:pt>
                <c:pt idx="3">
                  <c:v>-3.0968</c:v>
                </c:pt>
                <c:pt idx="4">
                  <c:v>-2.9904000000000002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5EC4-0544-98B2-CDD797692AF7}"/>
            </c:ext>
          </c:extLst>
        </c:ser>
        <c:ser>
          <c:idx val="3"/>
          <c:order val="3"/>
          <c:tx>
            <c:strRef>
              <c:f>Calibration!$K$1</c:f>
              <c:strCache>
                <c:ptCount val="1"/>
                <c:pt idx="0">
                  <c:v>CV 5%</c:v>
                </c:pt>
              </c:strCache>
            </c:strRef>
          </c:tx>
          <c:spPr>
            <a:ln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Calibration!$K$2:$K$6</c:f>
              <c:numCache>
                <c:formatCode>General</c:formatCode>
                <c:ptCount val="5"/>
                <c:pt idx="0">
                  <c:v>-2.89</c:v>
                </c:pt>
                <c:pt idx="1">
                  <c:v>-2.89</c:v>
                </c:pt>
                <c:pt idx="2">
                  <c:v>-2.89</c:v>
                </c:pt>
                <c:pt idx="3">
                  <c:v>-2.89</c:v>
                </c:pt>
                <c:pt idx="4">
                  <c:v>-2.89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5EC4-0544-98B2-CDD797692A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Lags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ADF t-statistic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DK1 ADF t-statistics by Number of Lags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Calibration!$H$1</c:f>
              <c:strCache>
                <c:ptCount val="1"/>
                <c:pt idx="0">
                  <c:v>DK1 Full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Calibration!$H$2:$H$6</c:f>
              <c:numCache>
                <c:formatCode>General</c:formatCode>
                <c:ptCount val="5"/>
                <c:pt idx="0">
                  <c:v>-2.7048999999999999</c:v>
                </c:pt>
                <c:pt idx="1">
                  <c:v>-2.5651000000000002</c:v>
                </c:pt>
                <c:pt idx="2">
                  <c:v>-1.782</c:v>
                </c:pt>
                <c:pt idx="3">
                  <c:v>-1.6911</c:v>
                </c:pt>
                <c:pt idx="4">
                  <c:v>-1.6500999999999999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130-A942-899A-5B68C6555A42}"/>
            </c:ext>
          </c:extLst>
        </c:ser>
        <c:ser>
          <c:idx val="1"/>
          <c:order val="1"/>
          <c:tx>
            <c:strRef>
              <c:f>Calibration!$I$1</c:f>
              <c:strCache>
                <c:ptCount val="1"/>
                <c:pt idx="0">
                  <c:v>DK1 ex-2022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Calibration!$I$2:$I$6</c:f>
              <c:numCache>
                <c:formatCode>General</c:formatCode>
                <c:ptCount val="5"/>
                <c:pt idx="0">
                  <c:v>-2.7732000000000001</c:v>
                </c:pt>
                <c:pt idx="1">
                  <c:v>-2.3519000000000001</c:v>
                </c:pt>
                <c:pt idx="2">
                  <c:v>-1.8494999999999999</c:v>
                </c:pt>
                <c:pt idx="3">
                  <c:v>-1.8987000000000001</c:v>
                </c:pt>
                <c:pt idx="4">
                  <c:v>-1.8872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130-A942-899A-5B68C6555A42}"/>
            </c:ext>
          </c:extLst>
        </c:ser>
        <c:ser>
          <c:idx val="2"/>
          <c:order val="2"/>
          <c:tx>
            <c:strRef>
              <c:f>Calibration!$J$1</c:f>
              <c:strCache>
                <c:ptCount val="1"/>
                <c:pt idx="0">
                  <c:v>DK1 post-crisis</c:v>
                </c:pt>
              </c:strCache>
            </c:strRef>
          </c:tx>
          <c:spPr>
            <a:ln>
              <a:solidFill>
                <a:srgbClr val="70AD47"/>
              </a:solidFill>
              <a:prstDash val="solid"/>
            </a:ln>
          </c:spPr>
          <c:marker>
            <c:symbol val="none"/>
          </c:marker>
          <c:val>
            <c:numRef>
              <c:f>Calibration!$J$2:$J$6</c:f>
              <c:numCache>
                <c:formatCode>General</c:formatCode>
                <c:ptCount val="5"/>
                <c:pt idx="0">
                  <c:v>-3.4350000000000001</c:v>
                </c:pt>
                <c:pt idx="1">
                  <c:v>-3.4777</c:v>
                </c:pt>
                <c:pt idx="2">
                  <c:v>-2.6638999999999999</c:v>
                </c:pt>
                <c:pt idx="3">
                  <c:v>-3.0968</c:v>
                </c:pt>
                <c:pt idx="4">
                  <c:v>-2.9904000000000002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8130-A942-899A-5B68C6555A42}"/>
            </c:ext>
          </c:extLst>
        </c:ser>
        <c:ser>
          <c:idx val="3"/>
          <c:order val="3"/>
          <c:tx>
            <c:strRef>
              <c:f>Calibration!$K$1</c:f>
              <c:strCache>
                <c:ptCount val="1"/>
                <c:pt idx="0">
                  <c:v>CV 5%</c:v>
                </c:pt>
              </c:strCache>
            </c:strRef>
          </c:tx>
          <c:spPr>
            <a:ln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Calibration!$K$2:$K$6</c:f>
              <c:numCache>
                <c:formatCode>General</c:formatCode>
                <c:ptCount val="5"/>
                <c:pt idx="0">
                  <c:v>-2.89</c:v>
                </c:pt>
                <c:pt idx="1">
                  <c:v>-2.89</c:v>
                </c:pt>
                <c:pt idx="2">
                  <c:v>-2.89</c:v>
                </c:pt>
                <c:pt idx="3">
                  <c:v>-2.89</c:v>
                </c:pt>
                <c:pt idx="4">
                  <c:v>-2.89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8130-A942-899A-5B68C6555A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Lags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ADF t-statistic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DK1 ADF t-statistics by Number of Lags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Calibration!$H$1</c:f>
              <c:strCache>
                <c:ptCount val="1"/>
                <c:pt idx="0">
                  <c:v>DK1 Full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Calibration!$H$2:$H$6</c:f>
              <c:numCache>
                <c:formatCode>General</c:formatCode>
                <c:ptCount val="5"/>
                <c:pt idx="0">
                  <c:v>-2.7048999999999999</c:v>
                </c:pt>
                <c:pt idx="1">
                  <c:v>-2.5651000000000002</c:v>
                </c:pt>
                <c:pt idx="2">
                  <c:v>-1.782</c:v>
                </c:pt>
                <c:pt idx="3">
                  <c:v>-1.6911</c:v>
                </c:pt>
                <c:pt idx="4">
                  <c:v>-1.6500999999999999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96E-8B4E-B06A-312067173092}"/>
            </c:ext>
          </c:extLst>
        </c:ser>
        <c:ser>
          <c:idx val="1"/>
          <c:order val="1"/>
          <c:tx>
            <c:strRef>
              <c:f>Calibration!$I$1</c:f>
              <c:strCache>
                <c:ptCount val="1"/>
                <c:pt idx="0">
                  <c:v>DK1 ex-2022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Calibration!$I$2:$I$6</c:f>
              <c:numCache>
                <c:formatCode>General</c:formatCode>
                <c:ptCount val="5"/>
                <c:pt idx="0">
                  <c:v>-2.7732000000000001</c:v>
                </c:pt>
                <c:pt idx="1">
                  <c:v>-2.3519000000000001</c:v>
                </c:pt>
                <c:pt idx="2">
                  <c:v>-1.8494999999999999</c:v>
                </c:pt>
                <c:pt idx="3">
                  <c:v>-1.8987000000000001</c:v>
                </c:pt>
                <c:pt idx="4">
                  <c:v>-1.8872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96E-8B4E-B06A-312067173092}"/>
            </c:ext>
          </c:extLst>
        </c:ser>
        <c:ser>
          <c:idx val="2"/>
          <c:order val="2"/>
          <c:tx>
            <c:strRef>
              <c:f>Calibration!$J$1</c:f>
              <c:strCache>
                <c:ptCount val="1"/>
                <c:pt idx="0">
                  <c:v>DK1 post-crisis</c:v>
                </c:pt>
              </c:strCache>
            </c:strRef>
          </c:tx>
          <c:spPr>
            <a:ln>
              <a:solidFill>
                <a:srgbClr val="70AD47"/>
              </a:solidFill>
              <a:prstDash val="solid"/>
            </a:ln>
          </c:spPr>
          <c:marker>
            <c:symbol val="none"/>
          </c:marker>
          <c:val>
            <c:numRef>
              <c:f>Calibration!$J$2:$J$6</c:f>
              <c:numCache>
                <c:formatCode>General</c:formatCode>
                <c:ptCount val="5"/>
                <c:pt idx="0">
                  <c:v>-3.4350000000000001</c:v>
                </c:pt>
                <c:pt idx="1">
                  <c:v>-3.4777</c:v>
                </c:pt>
                <c:pt idx="2">
                  <c:v>-2.6638999999999999</c:v>
                </c:pt>
                <c:pt idx="3">
                  <c:v>-3.0968</c:v>
                </c:pt>
                <c:pt idx="4">
                  <c:v>-2.9904000000000002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96E-8B4E-B06A-312067173092}"/>
            </c:ext>
          </c:extLst>
        </c:ser>
        <c:ser>
          <c:idx val="3"/>
          <c:order val="3"/>
          <c:tx>
            <c:strRef>
              <c:f>Calibration!$K$1</c:f>
              <c:strCache>
                <c:ptCount val="1"/>
                <c:pt idx="0">
                  <c:v>CV 5%</c:v>
                </c:pt>
              </c:strCache>
            </c:strRef>
          </c:tx>
          <c:spPr>
            <a:ln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Calibration!$K$2:$K$6</c:f>
              <c:numCache>
                <c:formatCode>General</c:formatCode>
                <c:ptCount val="5"/>
                <c:pt idx="0">
                  <c:v>-2.89</c:v>
                </c:pt>
                <c:pt idx="1">
                  <c:v>-2.89</c:v>
                </c:pt>
                <c:pt idx="2">
                  <c:v>-2.89</c:v>
                </c:pt>
                <c:pt idx="3">
                  <c:v>-2.89</c:v>
                </c:pt>
                <c:pt idx="4">
                  <c:v>-2.89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096E-8B4E-B06A-3120671730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Lags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ADF t-statistic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DK1 ADF t-statistics by Number of Lags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Calibration!$H$1</c:f>
              <c:strCache>
                <c:ptCount val="1"/>
                <c:pt idx="0">
                  <c:v>DK1 Full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Calibration!$H$2:$H$6</c:f>
              <c:numCache>
                <c:formatCode>General</c:formatCode>
                <c:ptCount val="5"/>
                <c:pt idx="0">
                  <c:v>-2.7048999999999999</c:v>
                </c:pt>
                <c:pt idx="1">
                  <c:v>-2.5651000000000002</c:v>
                </c:pt>
                <c:pt idx="2">
                  <c:v>-1.782</c:v>
                </c:pt>
                <c:pt idx="3">
                  <c:v>-1.6911</c:v>
                </c:pt>
                <c:pt idx="4">
                  <c:v>-1.6500999999999999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02C-E348-B207-E15419C03E5D}"/>
            </c:ext>
          </c:extLst>
        </c:ser>
        <c:ser>
          <c:idx val="1"/>
          <c:order val="1"/>
          <c:tx>
            <c:strRef>
              <c:f>Calibration!$I$1</c:f>
              <c:strCache>
                <c:ptCount val="1"/>
                <c:pt idx="0">
                  <c:v>DK1 ex-2022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Calibration!$I$2:$I$6</c:f>
              <c:numCache>
                <c:formatCode>General</c:formatCode>
                <c:ptCount val="5"/>
                <c:pt idx="0">
                  <c:v>-2.7732000000000001</c:v>
                </c:pt>
                <c:pt idx="1">
                  <c:v>-2.3519000000000001</c:v>
                </c:pt>
                <c:pt idx="2">
                  <c:v>-1.8494999999999999</c:v>
                </c:pt>
                <c:pt idx="3">
                  <c:v>-1.8987000000000001</c:v>
                </c:pt>
                <c:pt idx="4">
                  <c:v>-1.8872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02C-E348-B207-E15419C03E5D}"/>
            </c:ext>
          </c:extLst>
        </c:ser>
        <c:ser>
          <c:idx val="2"/>
          <c:order val="2"/>
          <c:tx>
            <c:strRef>
              <c:f>Calibration!$J$1</c:f>
              <c:strCache>
                <c:ptCount val="1"/>
                <c:pt idx="0">
                  <c:v>DK1 post-crisis</c:v>
                </c:pt>
              </c:strCache>
            </c:strRef>
          </c:tx>
          <c:spPr>
            <a:ln>
              <a:solidFill>
                <a:srgbClr val="70AD47"/>
              </a:solidFill>
              <a:prstDash val="solid"/>
            </a:ln>
          </c:spPr>
          <c:marker>
            <c:symbol val="none"/>
          </c:marker>
          <c:val>
            <c:numRef>
              <c:f>Calibration!$J$2:$J$6</c:f>
              <c:numCache>
                <c:formatCode>General</c:formatCode>
                <c:ptCount val="5"/>
                <c:pt idx="0">
                  <c:v>-3.4350000000000001</c:v>
                </c:pt>
                <c:pt idx="1">
                  <c:v>-3.4777</c:v>
                </c:pt>
                <c:pt idx="2">
                  <c:v>-2.6638999999999999</c:v>
                </c:pt>
                <c:pt idx="3">
                  <c:v>-3.0968</c:v>
                </c:pt>
                <c:pt idx="4">
                  <c:v>-2.9904000000000002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B02C-E348-B207-E15419C03E5D}"/>
            </c:ext>
          </c:extLst>
        </c:ser>
        <c:ser>
          <c:idx val="3"/>
          <c:order val="3"/>
          <c:tx>
            <c:strRef>
              <c:f>Calibration!$K$1</c:f>
              <c:strCache>
                <c:ptCount val="1"/>
                <c:pt idx="0">
                  <c:v>CV 5%</c:v>
                </c:pt>
              </c:strCache>
            </c:strRef>
          </c:tx>
          <c:spPr>
            <a:ln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Calibration!$K$2:$K$6</c:f>
              <c:numCache>
                <c:formatCode>General</c:formatCode>
                <c:ptCount val="5"/>
                <c:pt idx="0">
                  <c:v>-2.89</c:v>
                </c:pt>
                <c:pt idx="1">
                  <c:v>-2.89</c:v>
                </c:pt>
                <c:pt idx="2">
                  <c:v>-2.89</c:v>
                </c:pt>
                <c:pt idx="3">
                  <c:v>-2.89</c:v>
                </c:pt>
                <c:pt idx="4">
                  <c:v>-2.89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B02C-E348-B207-E15419C03E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Lags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ADF t-statistic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DK1 ADF t-statistics by Number of Lags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Calibration!$H$1</c:f>
              <c:strCache>
                <c:ptCount val="1"/>
                <c:pt idx="0">
                  <c:v>DK1 Full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Calibration!$H$2:$H$6</c:f>
              <c:numCache>
                <c:formatCode>General</c:formatCode>
                <c:ptCount val="5"/>
                <c:pt idx="0">
                  <c:v>-2.7048999999999999</c:v>
                </c:pt>
                <c:pt idx="1">
                  <c:v>-2.5651000000000002</c:v>
                </c:pt>
                <c:pt idx="2">
                  <c:v>-1.782</c:v>
                </c:pt>
                <c:pt idx="3">
                  <c:v>-1.6911</c:v>
                </c:pt>
                <c:pt idx="4">
                  <c:v>-1.6500999999999999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075-F749-A8FA-68DFE1A70A82}"/>
            </c:ext>
          </c:extLst>
        </c:ser>
        <c:ser>
          <c:idx val="1"/>
          <c:order val="1"/>
          <c:tx>
            <c:strRef>
              <c:f>Calibration!$I$1</c:f>
              <c:strCache>
                <c:ptCount val="1"/>
                <c:pt idx="0">
                  <c:v>DK1 ex-2022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Calibration!$I$2:$I$6</c:f>
              <c:numCache>
                <c:formatCode>General</c:formatCode>
                <c:ptCount val="5"/>
                <c:pt idx="0">
                  <c:v>-2.7732000000000001</c:v>
                </c:pt>
                <c:pt idx="1">
                  <c:v>-2.3519000000000001</c:v>
                </c:pt>
                <c:pt idx="2">
                  <c:v>-1.8494999999999999</c:v>
                </c:pt>
                <c:pt idx="3">
                  <c:v>-1.8987000000000001</c:v>
                </c:pt>
                <c:pt idx="4">
                  <c:v>-1.8872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075-F749-A8FA-68DFE1A70A82}"/>
            </c:ext>
          </c:extLst>
        </c:ser>
        <c:ser>
          <c:idx val="2"/>
          <c:order val="2"/>
          <c:tx>
            <c:strRef>
              <c:f>Calibration!$J$1</c:f>
              <c:strCache>
                <c:ptCount val="1"/>
                <c:pt idx="0">
                  <c:v>DK1 post-crisis</c:v>
                </c:pt>
              </c:strCache>
            </c:strRef>
          </c:tx>
          <c:spPr>
            <a:ln>
              <a:solidFill>
                <a:srgbClr val="70AD47"/>
              </a:solidFill>
              <a:prstDash val="solid"/>
            </a:ln>
          </c:spPr>
          <c:marker>
            <c:symbol val="none"/>
          </c:marker>
          <c:val>
            <c:numRef>
              <c:f>Calibration!$J$2:$J$6</c:f>
              <c:numCache>
                <c:formatCode>General</c:formatCode>
                <c:ptCount val="5"/>
                <c:pt idx="0">
                  <c:v>-3.4350000000000001</c:v>
                </c:pt>
                <c:pt idx="1">
                  <c:v>-3.4777</c:v>
                </c:pt>
                <c:pt idx="2">
                  <c:v>-2.6638999999999999</c:v>
                </c:pt>
                <c:pt idx="3">
                  <c:v>-3.0968</c:v>
                </c:pt>
                <c:pt idx="4">
                  <c:v>-2.9904000000000002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3075-F749-A8FA-68DFE1A70A82}"/>
            </c:ext>
          </c:extLst>
        </c:ser>
        <c:ser>
          <c:idx val="3"/>
          <c:order val="3"/>
          <c:tx>
            <c:strRef>
              <c:f>Calibration!$K$1</c:f>
              <c:strCache>
                <c:ptCount val="1"/>
                <c:pt idx="0">
                  <c:v>CV 5%</c:v>
                </c:pt>
              </c:strCache>
            </c:strRef>
          </c:tx>
          <c:spPr>
            <a:ln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Calibration!$K$2:$K$6</c:f>
              <c:numCache>
                <c:formatCode>General</c:formatCode>
                <c:ptCount val="5"/>
                <c:pt idx="0">
                  <c:v>-2.89</c:v>
                </c:pt>
                <c:pt idx="1">
                  <c:v>-2.89</c:v>
                </c:pt>
                <c:pt idx="2">
                  <c:v>-2.89</c:v>
                </c:pt>
                <c:pt idx="3">
                  <c:v>-2.89</c:v>
                </c:pt>
                <c:pt idx="4">
                  <c:v>-2.89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3075-F749-A8FA-68DFE1A70A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Lags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ADF t-statistic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DK1 ADF t-statistics by Number of Lags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Calibration!$H$1</c:f>
              <c:strCache>
                <c:ptCount val="1"/>
                <c:pt idx="0">
                  <c:v>DK1 Full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Calibration!$H$2:$H$6</c:f>
              <c:numCache>
                <c:formatCode>General</c:formatCode>
                <c:ptCount val="5"/>
                <c:pt idx="0">
                  <c:v>-2.7048999999999999</c:v>
                </c:pt>
                <c:pt idx="1">
                  <c:v>-2.5651000000000002</c:v>
                </c:pt>
                <c:pt idx="2">
                  <c:v>-1.782</c:v>
                </c:pt>
                <c:pt idx="3">
                  <c:v>-1.6911</c:v>
                </c:pt>
                <c:pt idx="4">
                  <c:v>-1.6500999999999999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93B-E64F-AEAD-BE31206CDFB1}"/>
            </c:ext>
          </c:extLst>
        </c:ser>
        <c:ser>
          <c:idx val="1"/>
          <c:order val="1"/>
          <c:tx>
            <c:strRef>
              <c:f>Calibration!$I$1</c:f>
              <c:strCache>
                <c:ptCount val="1"/>
                <c:pt idx="0">
                  <c:v>DK1 ex-2022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Calibration!$I$2:$I$6</c:f>
              <c:numCache>
                <c:formatCode>General</c:formatCode>
                <c:ptCount val="5"/>
                <c:pt idx="0">
                  <c:v>-2.7732000000000001</c:v>
                </c:pt>
                <c:pt idx="1">
                  <c:v>-2.3519000000000001</c:v>
                </c:pt>
                <c:pt idx="2">
                  <c:v>-1.8494999999999999</c:v>
                </c:pt>
                <c:pt idx="3">
                  <c:v>-1.8987000000000001</c:v>
                </c:pt>
                <c:pt idx="4">
                  <c:v>-1.8872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93B-E64F-AEAD-BE31206CDFB1}"/>
            </c:ext>
          </c:extLst>
        </c:ser>
        <c:ser>
          <c:idx val="2"/>
          <c:order val="2"/>
          <c:tx>
            <c:strRef>
              <c:f>Calibration!$J$1</c:f>
              <c:strCache>
                <c:ptCount val="1"/>
                <c:pt idx="0">
                  <c:v>DK1 post-crisis</c:v>
                </c:pt>
              </c:strCache>
            </c:strRef>
          </c:tx>
          <c:spPr>
            <a:ln>
              <a:solidFill>
                <a:srgbClr val="70AD47"/>
              </a:solidFill>
              <a:prstDash val="solid"/>
            </a:ln>
          </c:spPr>
          <c:marker>
            <c:symbol val="none"/>
          </c:marker>
          <c:val>
            <c:numRef>
              <c:f>Calibration!$J$2:$J$6</c:f>
              <c:numCache>
                <c:formatCode>General</c:formatCode>
                <c:ptCount val="5"/>
                <c:pt idx="0">
                  <c:v>-3.4350000000000001</c:v>
                </c:pt>
                <c:pt idx="1">
                  <c:v>-3.4777</c:v>
                </c:pt>
                <c:pt idx="2">
                  <c:v>-2.6638999999999999</c:v>
                </c:pt>
                <c:pt idx="3">
                  <c:v>-3.0968</c:v>
                </c:pt>
                <c:pt idx="4">
                  <c:v>-2.9904000000000002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B93B-E64F-AEAD-BE31206CDFB1}"/>
            </c:ext>
          </c:extLst>
        </c:ser>
        <c:ser>
          <c:idx val="3"/>
          <c:order val="3"/>
          <c:tx>
            <c:strRef>
              <c:f>Calibration!$K$1</c:f>
              <c:strCache>
                <c:ptCount val="1"/>
                <c:pt idx="0">
                  <c:v>CV 5%</c:v>
                </c:pt>
              </c:strCache>
            </c:strRef>
          </c:tx>
          <c:spPr>
            <a:ln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Calibration!$K$2:$K$6</c:f>
              <c:numCache>
                <c:formatCode>General</c:formatCode>
                <c:ptCount val="5"/>
                <c:pt idx="0">
                  <c:v>-2.89</c:v>
                </c:pt>
                <c:pt idx="1">
                  <c:v>-2.89</c:v>
                </c:pt>
                <c:pt idx="2">
                  <c:v>-2.89</c:v>
                </c:pt>
                <c:pt idx="3">
                  <c:v>-2.89</c:v>
                </c:pt>
                <c:pt idx="4">
                  <c:v>-2.89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B93B-E64F-AEAD-BE31206CDF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Lags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ADF t-statistic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DK1 ADF t-statistics by Number of Lags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Calibration!$H$1</c:f>
              <c:strCache>
                <c:ptCount val="1"/>
                <c:pt idx="0">
                  <c:v>DK1 Full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Calibration!$H$2:$H$6</c:f>
              <c:numCache>
                <c:formatCode>General</c:formatCode>
                <c:ptCount val="5"/>
                <c:pt idx="0">
                  <c:v>-2.7048999999999999</c:v>
                </c:pt>
                <c:pt idx="1">
                  <c:v>-2.5651000000000002</c:v>
                </c:pt>
                <c:pt idx="2">
                  <c:v>-1.782</c:v>
                </c:pt>
                <c:pt idx="3">
                  <c:v>-1.6911</c:v>
                </c:pt>
                <c:pt idx="4">
                  <c:v>-1.6500999999999999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4E0-DE46-A637-4E45794259CF}"/>
            </c:ext>
          </c:extLst>
        </c:ser>
        <c:ser>
          <c:idx val="1"/>
          <c:order val="1"/>
          <c:tx>
            <c:strRef>
              <c:f>Calibration!$I$1</c:f>
              <c:strCache>
                <c:ptCount val="1"/>
                <c:pt idx="0">
                  <c:v>DK1 ex-2022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Calibration!$I$2:$I$6</c:f>
              <c:numCache>
                <c:formatCode>General</c:formatCode>
                <c:ptCount val="5"/>
                <c:pt idx="0">
                  <c:v>-2.7732000000000001</c:v>
                </c:pt>
                <c:pt idx="1">
                  <c:v>-2.3519000000000001</c:v>
                </c:pt>
                <c:pt idx="2">
                  <c:v>-1.8494999999999999</c:v>
                </c:pt>
                <c:pt idx="3">
                  <c:v>-1.8987000000000001</c:v>
                </c:pt>
                <c:pt idx="4">
                  <c:v>-1.8872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4E0-DE46-A637-4E45794259CF}"/>
            </c:ext>
          </c:extLst>
        </c:ser>
        <c:ser>
          <c:idx val="2"/>
          <c:order val="2"/>
          <c:tx>
            <c:strRef>
              <c:f>Calibration!$J$1</c:f>
              <c:strCache>
                <c:ptCount val="1"/>
                <c:pt idx="0">
                  <c:v>DK1 post-crisis</c:v>
                </c:pt>
              </c:strCache>
            </c:strRef>
          </c:tx>
          <c:spPr>
            <a:ln>
              <a:solidFill>
                <a:srgbClr val="70AD47"/>
              </a:solidFill>
              <a:prstDash val="solid"/>
            </a:ln>
          </c:spPr>
          <c:marker>
            <c:symbol val="none"/>
          </c:marker>
          <c:val>
            <c:numRef>
              <c:f>Calibration!$J$2:$J$6</c:f>
              <c:numCache>
                <c:formatCode>General</c:formatCode>
                <c:ptCount val="5"/>
                <c:pt idx="0">
                  <c:v>-3.4350000000000001</c:v>
                </c:pt>
                <c:pt idx="1">
                  <c:v>-3.4777</c:v>
                </c:pt>
                <c:pt idx="2">
                  <c:v>-2.6638999999999999</c:v>
                </c:pt>
                <c:pt idx="3">
                  <c:v>-3.0968</c:v>
                </c:pt>
                <c:pt idx="4">
                  <c:v>-2.9904000000000002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94E0-DE46-A637-4E45794259CF}"/>
            </c:ext>
          </c:extLst>
        </c:ser>
        <c:ser>
          <c:idx val="3"/>
          <c:order val="3"/>
          <c:tx>
            <c:strRef>
              <c:f>Calibration!$K$1</c:f>
              <c:strCache>
                <c:ptCount val="1"/>
                <c:pt idx="0">
                  <c:v>CV 5%</c:v>
                </c:pt>
              </c:strCache>
            </c:strRef>
          </c:tx>
          <c:spPr>
            <a:ln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Calibration!$K$2:$K$6</c:f>
              <c:numCache>
                <c:formatCode>General</c:formatCode>
                <c:ptCount val="5"/>
                <c:pt idx="0">
                  <c:v>-2.89</c:v>
                </c:pt>
                <c:pt idx="1">
                  <c:v>-2.89</c:v>
                </c:pt>
                <c:pt idx="2">
                  <c:v>-2.89</c:v>
                </c:pt>
                <c:pt idx="3">
                  <c:v>-2.89</c:v>
                </c:pt>
                <c:pt idx="4">
                  <c:v>-2.89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94E0-DE46-A637-4E45794259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Lags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ADF t-statistic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DK1 ADF t-statistics by Number of Lags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Calibration!$H$1</c:f>
              <c:strCache>
                <c:ptCount val="1"/>
                <c:pt idx="0">
                  <c:v>DK1 Full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Calibration!$H$2:$H$6</c:f>
              <c:numCache>
                <c:formatCode>General</c:formatCode>
                <c:ptCount val="5"/>
                <c:pt idx="0">
                  <c:v>-2.7048999999999999</c:v>
                </c:pt>
                <c:pt idx="1">
                  <c:v>-2.5651000000000002</c:v>
                </c:pt>
                <c:pt idx="2">
                  <c:v>-1.782</c:v>
                </c:pt>
                <c:pt idx="3">
                  <c:v>-1.6911</c:v>
                </c:pt>
                <c:pt idx="4">
                  <c:v>-1.6500999999999999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DC-C64E-A83F-704487371B6B}"/>
            </c:ext>
          </c:extLst>
        </c:ser>
        <c:ser>
          <c:idx val="1"/>
          <c:order val="1"/>
          <c:tx>
            <c:strRef>
              <c:f>Calibration!$I$1</c:f>
              <c:strCache>
                <c:ptCount val="1"/>
                <c:pt idx="0">
                  <c:v>DK1 ex-2022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Calibration!$I$2:$I$6</c:f>
              <c:numCache>
                <c:formatCode>General</c:formatCode>
                <c:ptCount val="5"/>
                <c:pt idx="0">
                  <c:v>-2.7732000000000001</c:v>
                </c:pt>
                <c:pt idx="1">
                  <c:v>-2.3519000000000001</c:v>
                </c:pt>
                <c:pt idx="2">
                  <c:v>-1.8494999999999999</c:v>
                </c:pt>
                <c:pt idx="3">
                  <c:v>-1.8987000000000001</c:v>
                </c:pt>
                <c:pt idx="4">
                  <c:v>-1.8872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DC-C64E-A83F-704487371B6B}"/>
            </c:ext>
          </c:extLst>
        </c:ser>
        <c:ser>
          <c:idx val="2"/>
          <c:order val="2"/>
          <c:tx>
            <c:strRef>
              <c:f>Calibration!$J$1</c:f>
              <c:strCache>
                <c:ptCount val="1"/>
                <c:pt idx="0">
                  <c:v>DK1 post-crisis</c:v>
                </c:pt>
              </c:strCache>
            </c:strRef>
          </c:tx>
          <c:spPr>
            <a:ln>
              <a:solidFill>
                <a:srgbClr val="70AD47"/>
              </a:solidFill>
              <a:prstDash val="solid"/>
            </a:ln>
          </c:spPr>
          <c:marker>
            <c:symbol val="none"/>
          </c:marker>
          <c:val>
            <c:numRef>
              <c:f>Calibration!$J$2:$J$6</c:f>
              <c:numCache>
                <c:formatCode>General</c:formatCode>
                <c:ptCount val="5"/>
                <c:pt idx="0">
                  <c:v>-3.4350000000000001</c:v>
                </c:pt>
                <c:pt idx="1">
                  <c:v>-3.4777</c:v>
                </c:pt>
                <c:pt idx="2">
                  <c:v>-2.6638999999999999</c:v>
                </c:pt>
                <c:pt idx="3">
                  <c:v>-3.0968</c:v>
                </c:pt>
                <c:pt idx="4">
                  <c:v>-2.9904000000000002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2DC-C64E-A83F-704487371B6B}"/>
            </c:ext>
          </c:extLst>
        </c:ser>
        <c:ser>
          <c:idx val="3"/>
          <c:order val="3"/>
          <c:tx>
            <c:strRef>
              <c:f>Calibration!$K$1</c:f>
              <c:strCache>
                <c:ptCount val="1"/>
                <c:pt idx="0">
                  <c:v>CV 5%</c:v>
                </c:pt>
              </c:strCache>
            </c:strRef>
          </c:tx>
          <c:spPr>
            <a:ln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Calibration!$K$2:$K$6</c:f>
              <c:numCache>
                <c:formatCode>General</c:formatCode>
                <c:ptCount val="5"/>
                <c:pt idx="0">
                  <c:v>-2.89</c:v>
                </c:pt>
                <c:pt idx="1">
                  <c:v>-2.89</c:v>
                </c:pt>
                <c:pt idx="2">
                  <c:v>-2.89</c:v>
                </c:pt>
                <c:pt idx="3">
                  <c:v>-2.89</c:v>
                </c:pt>
                <c:pt idx="4">
                  <c:v>-2.89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2DC-C64E-A83F-704487371B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Lags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ADF t-statistic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DK1 ADF t-statistics by Number of Lags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Calibration!$H$1</c:f>
              <c:strCache>
                <c:ptCount val="1"/>
                <c:pt idx="0">
                  <c:v>DK1 Full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Calibration!$H$2:$H$6</c:f>
              <c:numCache>
                <c:formatCode>General</c:formatCode>
                <c:ptCount val="5"/>
                <c:pt idx="0">
                  <c:v>-2.7048999999999999</c:v>
                </c:pt>
                <c:pt idx="1">
                  <c:v>-2.5651000000000002</c:v>
                </c:pt>
                <c:pt idx="2">
                  <c:v>-1.782</c:v>
                </c:pt>
                <c:pt idx="3">
                  <c:v>-1.6911</c:v>
                </c:pt>
                <c:pt idx="4">
                  <c:v>-1.6500999999999999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42A-234D-8632-5858F271D50D}"/>
            </c:ext>
          </c:extLst>
        </c:ser>
        <c:ser>
          <c:idx val="1"/>
          <c:order val="1"/>
          <c:tx>
            <c:strRef>
              <c:f>Calibration!$I$1</c:f>
              <c:strCache>
                <c:ptCount val="1"/>
                <c:pt idx="0">
                  <c:v>DK1 ex-2022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Calibration!$I$2:$I$6</c:f>
              <c:numCache>
                <c:formatCode>General</c:formatCode>
                <c:ptCount val="5"/>
                <c:pt idx="0">
                  <c:v>-2.7732000000000001</c:v>
                </c:pt>
                <c:pt idx="1">
                  <c:v>-2.3519000000000001</c:v>
                </c:pt>
                <c:pt idx="2">
                  <c:v>-1.8494999999999999</c:v>
                </c:pt>
                <c:pt idx="3">
                  <c:v>-1.8987000000000001</c:v>
                </c:pt>
                <c:pt idx="4">
                  <c:v>-1.8872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42A-234D-8632-5858F271D50D}"/>
            </c:ext>
          </c:extLst>
        </c:ser>
        <c:ser>
          <c:idx val="2"/>
          <c:order val="2"/>
          <c:tx>
            <c:strRef>
              <c:f>Calibration!$J$1</c:f>
              <c:strCache>
                <c:ptCount val="1"/>
                <c:pt idx="0">
                  <c:v>DK1 post-crisis</c:v>
                </c:pt>
              </c:strCache>
            </c:strRef>
          </c:tx>
          <c:spPr>
            <a:ln>
              <a:solidFill>
                <a:srgbClr val="70AD47"/>
              </a:solidFill>
              <a:prstDash val="solid"/>
            </a:ln>
          </c:spPr>
          <c:marker>
            <c:symbol val="none"/>
          </c:marker>
          <c:val>
            <c:numRef>
              <c:f>Calibration!$J$2:$J$6</c:f>
              <c:numCache>
                <c:formatCode>General</c:formatCode>
                <c:ptCount val="5"/>
                <c:pt idx="0">
                  <c:v>-3.4350000000000001</c:v>
                </c:pt>
                <c:pt idx="1">
                  <c:v>-3.4777</c:v>
                </c:pt>
                <c:pt idx="2">
                  <c:v>-2.6638999999999999</c:v>
                </c:pt>
                <c:pt idx="3">
                  <c:v>-3.0968</c:v>
                </c:pt>
                <c:pt idx="4">
                  <c:v>-2.9904000000000002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942A-234D-8632-5858F271D50D}"/>
            </c:ext>
          </c:extLst>
        </c:ser>
        <c:ser>
          <c:idx val="3"/>
          <c:order val="3"/>
          <c:tx>
            <c:strRef>
              <c:f>Calibration!$K$1</c:f>
              <c:strCache>
                <c:ptCount val="1"/>
                <c:pt idx="0">
                  <c:v>CV 5%</c:v>
                </c:pt>
              </c:strCache>
            </c:strRef>
          </c:tx>
          <c:spPr>
            <a:ln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Calibration!$K$2:$K$6</c:f>
              <c:numCache>
                <c:formatCode>General</c:formatCode>
                <c:ptCount val="5"/>
                <c:pt idx="0">
                  <c:v>-2.89</c:v>
                </c:pt>
                <c:pt idx="1">
                  <c:v>-2.89</c:v>
                </c:pt>
                <c:pt idx="2">
                  <c:v>-2.89</c:v>
                </c:pt>
                <c:pt idx="3">
                  <c:v>-2.89</c:v>
                </c:pt>
                <c:pt idx="4">
                  <c:v>-2.89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942A-234D-8632-5858F271D5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Lags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ADF t-statistic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8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DK1 ADF t-statistics by Number of Lags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Calibration!$H$1</c:f>
              <c:strCache>
                <c:ptCount val="1"/>
                <c:pt idx="0">
                  <c:v>DK1 Full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Calibration!$H$2:$H$6</c:f>
              <c:numCache>
                <c:formatCode>General</c:formatCode>
                <c:ptCount val="5"/>
                <c:pt idx="0">
                  <c:v>-2.7048999999999999</c:v>
                </c:pt>
                <c:pt idx="1">
                  <c:v>-2.5651000000000002</c:v>
                </c:pt>
                <c:pt idx="2">
                  <c:v>-1.782</c:v>
                </c:pt>
                <c:pt idx="3">
                  <c:v>-1.6911</c:v>
                </c:pt>
                <c:pt idx="4">
                  <c:v>-1.6500999999999999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8A-6241-8C01-C9FE9BB92AB1}"/>
            </c:ext>
          </c:extLst>
        </c:ser>
        <c:ser>
          <c:idx val="1"/>
          <c:order val="1"/>
          <c:tx>
            <c:strRef>
              <c:f>Calibration!$I$1</c:f>
              <c:strCache>
                <c:ptCount val="1"/>
                <c:pt idx="0">
                  <c:v>DK1 ex-2022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Calibration!$I$2:$I$6</c:f>
              <c:numCache>
                <c:formatCode>General</c:formatCode>
                <c:ptCount val="5"/>
                <c:pt idx="0">
                  <c:v>-2.7732000000000001</c:v>
                </c:pt>
                <c:pt idx="1">
                  <c:v>-2.3519000000000001</c:v>
                </c:pt>
                <c:pt idx="2">
                  <c:v>-1.8494999999999999</c:v>
                </c:pt>
                <c:pt idx="3">
                  <c:v>-1.8987000000000001</c:v>
                </c:pt>
                <c:pt idx="4">
                  <c:v>-1.8872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8A-6241-8C01-C9FE9BB92AB1}"/>
            </c:ext>
          </c:extLst>
        </c:ser>
        <c:ser>
          <c:idx val="2"/>
          <c:order val="2"/>
          <c:tx>
            <c:strRef>
              <c:f>Calibration!$J$1</c:f>
              <c:strCache>
                <c:ptCount val="1"/>
                <c:pt idx="0">
                  <c:v>DK1 post-crisis</c:v>
                </c:pt>
              </c:strCache>
            </c:strRef>
          </c:tx>
          <c:spPr>
            <a:ln>
              <a:solidFill>
                <a:srgbClr val="70AD47"/>
              </a:solidFill>
              <a:prstDash val="solid"/>
            </a:ln>
          </c:spPr>
          <c:marker>
            <c:symbol val="none"/>
          </c:marker>
          <c:val>
            <c:numRef>
              <c:f>Calibration!$J$2:$J$6</c:f>
              <c:numCache>
                <c:formatCode>General</c:formatCode>
                <c:ptCount val="5"/>
                <c:pt idx="0">
                  <c:v>-3.4350000000000001</c:v>
                </c:pt>
                <c:pt idx="1">
                  <c:v>-3.4777</c:v>
                </c:pt>
                <c:pt idx="2">
                  <c:v>-2.6638999999999999</c:v>
                </c:pt>
                <c:pt idx="3">
                  <c:v>-3.0968</c:v>
                </c:pt>
                <c:pt idx="4">
                  <c:v>-2.9904000000000002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28A-6241-8C01-C9FE9BB92AB1}"/>
            </c:ext>
          </c:extLst>
        </c:ser>
        <c:ser>
          <c:idx val="3"/>
          <c:order val="3"/>
          <c:tx>
            <c:strRef>
              <c:f>Calibration!$K$1</c:f>
              <c:strCache>
                <c:ptCount val="1"/>
                <c:pt idx="0">
                  <c:v>CV 5%</c:v>
                </c:pt>
              </c:strCache>
            </c:strRef>
          </c:tx>
          <c:spPr>
            <a:ln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Calibration!$K$2:$K$6</c:f>
              <c:numCache>
                <c:formatCode>General</c:formatCode>
                <c:ptCount val="5"/>
                <c:pt idx="0">
                  <c:v>-2.89</c:v>
                </c:pt>
                <c:pt idx="1">
                  <c:v>-2.89</c:v>
                </c:pt>
                <c:pt idx="2">
                  <c:v>-2.89</c:v>
                </c:pt>
                <c:pt idx="3">
                  <c:v>-2.89</c:v>
                </c:pt>
                <c:pt idx="4">
                  <c:v>-2.89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28A-6241-8C01-C9FE9BB92A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Lags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ADF t-statistic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9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DK1 ADF t-statistics by Number of Lags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Calibration!$H$1</c:f>
              <c:strCache>
                <c:ptCount val="1"/>
                <c:pt idx="0">
                  <c:v>DK1 Full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Calibration!$H$2:$H$6</c:f>
              <c:numCache>
                <c:formatCode>General</c:formatCode>
                <c:ptCount val="5"/>
                <c:pt idx="0">
                  <c:v>-2.7048999999999999</c:v>
                </c:pt>
                <c:pt idx="1">
                  <c:v>-2.5651000000000002</c:v>
                </c:pt>
                <c:pt idx="2">
                  <c:v>-1.782</c:v>
                </c:pt>
                <c:pt idx="3">
                  <c:v>-1.6911</c:v>
                </c:pt>
                <c:pt idx="4">
                  <c:v>-1.6500999999999999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96D-0A41-BB01-0045950877DB}"/>
            </c:ext>
          </c:extLst>
        </c:ser>
        <c:ser>
          <c:idx val="1"/>
          <c:order val="1"/>
          <c:tx>
            <c:strRef>
              <c:f>Calibration!$I$1</c:f>
              <c:strCache>
                <c:ptCount val="1"/>
                <c:pt idx="0">
                  <c:v>DK1 ex-2022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Calibration!$I$2:$I$6</c:f>
              <c:numCache>
                <c:formatCode>General</c:formatCode>
                <c:ptCount val="5"/>
                <c:pt idx="0">
                  <c:v>-2.7732000000000001</c:v>
                </c:pt>
                <c:pt idx="1">
                  <c:v>-2.3519000000000001</c:v>
                </c:pt>
                <c:pt idx="2">
                  <c:v>-1.8494999999999999</c:v>
                </c:pt>
                <c:pt idx="3">
                  <c:v>-1.8987000000000001</c:v>
                </c:pt>
                <c:pt idx="4">
                  <c:v>-1.8872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96D-0A41-BB01-0045950877DB}"/>
            </c:ext>
          </c:extLst>
        </c:ser>
        <c:ser>
          <c:idx val="2"/>
          <c:order val="2"/>
          <c:tx>
            <c:strRef>
              <c:f>Calibration!$J$1</c:f>
              <c:strCache>
                <c:ptCount val="1"/>
                <c:pt idx="0">
                  <c:v>DK1 post-crisis</c:v>
                </c:pt>
              </c:strCache>
            </c:strRef>
          </c:tx>
          <c:spPr>
            <a:ln>
              <a:solidFill>
                <a:srgbClr val="70AD47"/>
              </a:solidFill>
              <a:prstDash val="solid"/>
            </a:ln>
          </c:spPr>
          <c:marker>
            <c:symbol val="none"/>
          </c:marker>
          <c:val>
            <c:numRef>
              <c:f>Calibration!$J$2:$J$6</c:f>
              <c:numCache>
                <c:formatCode>General</c:formatCode>
                <c:ptCount val="5"/>
                <c:pt idx="0">
                  <c:v>-3.4350000000000001</c:v>
                </c:pt>
                <c:pt idx="1">
                  <c:v>-3.4777</c:v>
                </c:pt>
                <c:pt idx="2">
                  <c:v>-2.6638999999999999</c:v>
                </c:pt>
                <c:pt idx="3">
                  <c:v>-3.0968</c:v>
                </c:pt>
                <c:pt idx="4">
                  <c:v>-2.9904000000000002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96D-0A41-BB01-0045950877DB}"/>
            </c:ext>
          </c:extLst>
        </c:ser>
        <c:ser>
          <c:idx val="3"/>
          <c:order val="3"/>
          <c:tx>
            <c:strRef>
              <c:f>Calibration!$K$1</c:f>
              <c:strCache>
                <c:ptCount val="1"/>
                <c:pt idx="0">
                  <c:v>CV 5%</c:v>
                </c:pt>
              </c:strCache>
            </c:strRef>
          </c:tx>
          <c:spPr>
            <a:ln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Calibration!$K$2:$K$6</c:f>
              <c:numCache>
                <c:formatCode>General</c:formatCode>
                <c:ptCount val="5"/>
                <c:pt idx="0">
                  <c:v>-2.89</c:v>
                </c:pt>
                <c:pt idx="1">
                  <c:v>-2.89</c:v>
                </c:pt>
                <c:pt idx="2">
                  <c:v>-2.89</c:v>
                </c:pt>
                <c:pt idx="3">
                  <c:v>-2.89</c:v>
                </c:pt>
                <c:pt idx="4">
                  <c:v>-2.89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96D-0A41-BB01-0045950877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Lags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ADF t-statistic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9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DK1 ADF t-statistics by Number of Lags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Calibration!$H$1</c:f>
              <c:strCache>
                <c:ptCount val="1"/>
                <c:pt idx="0">
                  <c:v>DK1 Full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Calibration!$H$2:$H$6</c:f>
              <c:numCache>
                <c:formatCode>General</c:formatCode>
                <c:ptCount val="5"/>
                <c:pt idx="0">
                  <c:v>-2.7048999999999999</c:v>
                </c:pt>
                <c:pt idx="1">
                  <c:v>-2.5651000000000002</c:v>
                </c:pt>
                <c:pt idx="2">
                  <c:v>-1.782</c:v>
                </c:pt>
                <c:pt idx="3">
                  <c:v>-1.6911</c:v>
                </c:pt>
                <c:pt idx="4">
                  <c:v>-1.6500999999999999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E79-B441-80E7-040E370D6EFA}"/>
            </c:ext>
          </c:extLst>
        </c:ser>
        <c:ser>
          <c:idx val="1"/>
          <c:order val="1"/>
          <c:tx>
            <c:strRef>
              <c:f>Calibration!$I$1</c:f>
              <c:strCache>
                <c:ptCount val="1"/>
                <c:pt idx="0">
                  <c:v>DK1 ex-2022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Calibration!$I$2:$I$6</c:f>
              <c:numCache>
                <c:formatCode>General</c:formatCode>
                <c:ptCount val="5"/>
                <c:pt idx="0">
                  <c:v>-2.7732000000000001</c:v>
                </c:pt>
                <c:pt idx="1">
                  <c:v>-2.3519000000000001</c:v>
                </c:pt>
                <c:pt idx="2">
                  <c:v>-1.8494999999999999</c:v>
                </c:pt>
                <c:pt idx="3">
                  <c:v>-1.8987000000000001</c:v>
                </c:pt>
                <c:pt idx="4">
                  <c:v>-1.8872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E79-B441-80E7-040E370D6EFA}"/>
            </c:ext>
          </c:extLst>
        </c:ser>
        <c:ser>
          <c:idx val="2"/>
          <c:order val="2"/>
          <c:tx>
            <c:strRef>
              <c:f>Calibration!$J$1</c:f>
              <c:strCache>
                <c:ptCount val="1"/>
                <c:pt idx="0">
                  <c:v>DK1 post-crisis</c:v>
                </c:pt>
              </c:strCache>
            </c:strRef>
          </c:tx>
          <c:spPr>
            <a:ln>
              <a:solidFill>
                <a:srgbClr val="70AD47"/>
              </a:solidFill>
              <a:prstDash val="solid"/>
            </a:ln>
          </c:spPr>
          <c:marker>
            <c:symbol val="none"/>
          </c:marker>
          <c:val>
            <c:numRef>
              <c:f>Calibration!$J$2:$J$6</c:f>
              <c:numCache>
                <c:formatCode>General</c:formatCode>
                <c:ptCount val="5"/>
                <c:pt idx="0">
                  <c:v>-3.4350000000000001</c:v>
                </c:pt>
                <c:pt idx="1">
                  <c:v>-3.4777</c:v>
                </c:pt>
                <c:pt idx="2">
                  <c:v>-2.6638999999999999</c:v>
                </c:pt>
                <c:pt idx="3">
                  <c:v>-3.0968</c:v>
                </c:pt>
                <c:pt idx="4">
                  <c:v>-2.9904000000000002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E79-B441-80E7-040E370D6EFA}"/>
            </c:ext>
          </c:extLst>
        </c:ser>
        <c:ser>
          <c:idx val="3"/>
          <c:order val="3"/>
          <c:tx>
            <c:strRef>
              <c:f>Calibration!$K$1</c:f>
              <c:strCache>
                <c:ptCount val="1"/>
                <c:pt idx="0">
                  <c:v>CV 5%</c:v>
                </c:pt>
              </c:strCache>
            </c:strRef>
          </c:tx>
          <c:spPr>
            <a:ln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Calibration!$K$2:$K$6</c:f>
              <c:numCache>
                <c:formatCode>General</c:formatCode>
                <c:ptCount val="5"/>
                <c:pt idx="0">
                  <c:v>-2.89</c:v>
                </c:pt>
                <c:pt idx="1">
                  <c:v>-2.89</c:v>
                </c:pt>
                <c:pt idx="2">
                  <c:v>-2.89</c:v>
                </c:pt>
                <c:pt idx="3">
                  <c:v>-2.89</c:v>
                </c:pt>
                <c:pt idx="4">
                  <c:v>-2.89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E79-B441-80E7-040E370D6E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Lags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ADF t-statistic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9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DK1 ADF t-statistics by Number of Lags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Calibration!$H$1</c:f>
              <c:strCache>
                <c:ptCount val="1"/>
                <c:pt idx="0">
                  <c:v>DK1 Full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Calibration!$H$2:$H$6</c:f>
              <c:numCache>
                <c:formatCode>General</c:formatCode>
                <c:ptCount val="5"/>
                <c:pt idx="0">
                  <c:v>-2.7048999999999999</c:v>
                </c:pt>
                <c:pt idx="1">
                  <c:v>-2.5651000000000002</c:v>
                </c:pt>
                <c:pt idx="2">
                  <c:v>-1.782</c:v>
                </c:pt>
                <c:pt idx="3">
                  <c:v>-1.6911</c:v>
                </c:pt>
                <c:pt idx="4">
                  <c:v>-1.6500999999999999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12-CC4F-8765-C111E83E79E9}"/>
            </c:ext>
          </c:extLst>
        </c:ser>
        <c:ser>
          <c:idx val="1"/>
          <c:order val="1"/>
          <c:tx>
            <c:strRef>
              <c:f>Calibration!$I$1</c:f>
              <c:strCache>
                <c:ptCount val="1"/>
                <c:pt idx="0">
                  <c:v>DK1 ex-2022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Calibration!$I$2:$I$6</c:f>
              <c:numCache>
                <c:formatCode>General</c:formatCode>
                <c:ptCount val="5"/>
                <c:pt idx="0">
                  <c:v>-2.7732000000000001</c:v>
                </c:pt>
                <c:pt idx="1">
                  <c:v>-2.3519000000000001</c:v>
                </c:pt>
                <c:pt idx="2">
                  <c:v>-1.8494999999999999</c:v>
                </c:pt>
                <c:pt idx="3">
                  <c:v>-1.8987000000000001</c:v>
                </c:pt>
                <c:pt idx="4">
                  <c:v>-1.8872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12-CC4F-8765-C111E83E79E9}"/>
            </c:ext>
          </c:extLst>
        </c:ser>
        <c:ser>
          <c:idx val="2"/>
          <c:order val="2"/>
          <c:tx>
            <c:strRef>
              <c:f>Calibration!$J$1</c:f>
              <c:strCache>
                <c:ptCount val="1"/>
                <c:pt idx="0">
                  <c:v>DK1 post-crisis</c:v>
                </c:pt>
              </c:strCache>
            </c:strRef>
          </c:tx>
          <c:spPr>
            <a:ln>
              <a:solidFill>
                <a:srgbClr val="70AD47"/>
              </a:solidFill>
              <a:prstDash val="solid"/>
            </a:ln>
          </c:spPr>
          <c:marker>
            <c:symbol val="none"/>
          </c:marker>
          <c:val>
            <c:numRef>
              <c:f>Calibration!$J$2:$J$6</c:f>
              <c:numCache>
                <c:formatCode>General</c:formatCode>
                <c:ptCount val="5"/>
                <c:pt idx="0">
                  <c:v>-3.4350000000000001</c:v>
                </c:pt>
                <c:pt idx="1">
                  <c:v>-3.4777</c:v>
                </c:pt>
                <c:pt idx="2">
                  <c:v>-2.6638999999999999</c:v>
                </c:pt>
                <c:pt idx="3">
                  <c:v>-3.0968</c:v>
                </c:pt>
                <c:pt idx="4">
                  <c:v>-2.9904000000000002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5612-CC4F-8765-C111E83E79E9}"/>
            </c:ext>
          </c:extLst>
        </c:ser>
        <c:ser>
          <c:idx val="3"/>
          <c:order val="3"/>
          <c:tx>
            <c:strRef>
              <c:f>Calibration!$K$1</c:f>
              <c:strCache>
                <c:ptCount val="1"/>
                <c:pt idx="0">
                  <c:v>CV 5%</c:v>
                </c:pt>
              </c:strCache>
            </c:strRef>
          </c:tx>
          <c:spPr>
            <a:ln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Calibration!$K$2:$K$6</c:f>
              <c:numCache>
                <c:formatCode>General</c:formatCode>
                <c:ptCount val="5"/>
                <c:pt idx="0">
                  <c:v>-2.89</c:v>
                </c:pt>
                <c:pt idx="1">
                  <c:v>-2.89</c:v>
                </c:pt>
                <c:pt idx="2">
                  <c:v>-2.89</c:v>
                </c:pt>
                <c:pt idx="3">
                  <c:v>-2.89</c:v>
                </c:pt>
                <c:pt idx="4">
                  <c:v>-2.89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5612-CC4F-8765-C111E83E79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Lags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ADF t-statistic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9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DK1 ADF t-statistics by Number of Lags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Calibration!$H$1</c:f>
              <c:strCache>
                <c:ptCount val="1"/>
                <c:pt idx="0">
                  <c:v>DK1 Full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Calibration!$H$2:$H$6</c:f>
              <c:numCache>
                <c:formatCode>General</c:formatCode>
                <c:ptCount val="5"/>
                <c:pt idx="0">
                  <c:v>-2.7048999999999999</c:v>
                </c:pt>
                <c:pt idx="1">
                  <c:v>-2.5651000000000002</c:v>
                </c:pt>
                <c:pt idx="2">
                  <c:v>-1.782</c:v>
                </c:pt>
                <c:pt idx="3">
                  <c:v>-1.6911</c:v>
                </c:pt>
                <c:pt idx="4">
                  <c:v>-1.6500999999999999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E41-3740-9737-784F38F942DB}"/>
            </c:ext>
          </c:extLst>
        </c:ser>
        <c:ser>
          <c:idx val="1"/>
          <c:order val="1"/>
          <c:tx>
            <c:strRef>
              <c:f>Calibration!$I$1</c:f>
              <c:strCache>
                <c:ptCount val="1"/>
                <c:pt idx="0">
                  <c:v>DK1 ex-2022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Calibration!$I$2:$I$6</c:f>
              <c:numCache>
                <c:formatCode>General</c:formatCode>
                <c:ptCount val="5"/>
                <c:pt idx="0">
                  <c:v>-2.7732000000000001</c:v>
                </c:pt>
                <c:pt idx="1">
                  <c:v>-2.3519000000000001</c:v>
                </c:pt>
                <c:pt idx="2">
                  <c:v>-1.8494999999999999</c:v>
                </c:pt>
                <c:pt idx="3">
                  <c:v>-1.8987000000000001</c:v>
                </c:pt>
                <c:pt idx="4">
                  <c:v>-1.8872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E41-3740-9737-784F38F942DB}"/>
            </c:ext>
          </c:extLst>
        </c:ser>
        <c:ser>
          <c:idx val="2"/>
          <c:order val="2"/>
          <c:tx>
            <c:strRef>
              <c:f>Calibration!$J$1</c:f>
              <c:strCache>
                <c:ptCount val="1"/>
                <c:pt idx="0">
                  <c:v>DK1 post-crisis</c:v>
                </c:pt>
              </c:strCache>
            </c:strRef>
          </c:tx>
          <c:spPr>
            <a:ln>
              <a:solidFill>
                <a:srgbClr val="70AD47"/>
              </a:solidFill>
              <a:prstDash val="solid"/>
            </a:ln>
          </c:spPr>
          <c:marker>
            <c:symbol val="none"/>
          </c:marker>
          <c:val>
            <c:numRef>
              <c:f>Calibration!$J$2:$J$6</c:f>
              <c:numCache>
                <c:formatCode>General</c:formatCode>
                <c:ptCount val="5"/>
                <c:pt idx="0">
                  <c:v>-3.4350000000000001</c:v>
                </c:pt>
                <c:pt idx="1">
                  <c:v>-3.4777</c:v>
                </c:pt>
                <c:pt idx="2">
                  <c:v>-2.6638999999999999</c:v>
                </c:pt>
                <c:pt idx="3">
                  <c:v>-3.0968</c:v>
                </c:pt>
                <c:pt idx="4">
                  <c:v>-2.9904000000000002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E41-3740-9737-784F38F942DB}"/>
            </c:ext>
          </c:extLst>
        </c:ser>
        <c:ser>
          <c:idx val="3"/>
          <c:order val="3"/>
          <c:tx>
            <c:strRef>
              <c:f>Calibration!$K$1</c:f>
              <c:strCache>
                <c:ptCount val="1"/>
                <c:pt idx="0">
                  <c:v>CV 5%</c:v>
                </c:pt>
              </c:strCache>
            </c:strRef>
          </c:tx>
          <c:spPr>
            <a:ln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Calibration!$K$2:$K$6</c:f>
              <c:numCache>
                <c:formatCode>General</c:formatCode>
                <c:ptCount val="5"/>
                <c:pt idx="0">
                  <c:v>-2.89</c:v>
                </c:pt>
                <c:pt idx="1">
                  <c:v>-2.89</c:v>
                </c:pt>
                <c:pt idx="2">
                  <c:v>-2.89</c:v>
                </c:pt>
                <c:pt idx="3">
                  <c:v>-2.89</c:v>
                </c:pt>
                <c:pt idx="4">
                  <c:v>-2.89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0E41-3740-9737-784F38F942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Lags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ADF t-statistic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9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DK1 ADF t-statistics by Number of Lags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Calibration!$H$1</c:f>
              <c:strCache>
                <c:ptCount val="1"/>
                <c:pt idx="0">
                  <c:v>DK1 Full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Calibration!$H$2:$H$6</c:f>
              <c:numCache>
                <c:formatCode>General</c:formatCode>
                <c:ptCount val="5"/>
                <c:pt idx="0">
                  <c:v>-2.7048999999999999</c:v>
                </c:pt>
                <c:pt idx="1">
                  <c:v>-2.5651000000000002</c:v>
                </c:pt>
                <c:pt idx="2">
                  <c:v>-1.782</c:v>
                </c:pt>
                <c:pt idx="3">
                  <c:v>-1.6911</c:v>
                </c:pt>
                <c:pt idx="4">
                  <c:v>-1.6500999999999999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CC7-454C-A1A9-E99D01B0F0C8}"/>
            </c:ext>
          </c:extLst>
        </c:ser>
        <c:ser>
          <c:idx val="1"/>
          <c:order val="1"/>
          <c:tx>
            <c:strRef>
              <c:f>Calibration!$I$1</c:f>
              <c:strCache>
                <c:ptCount val="1"/>
                <c:pt idx="0">
                  <c:v>DK1 ex-2022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Calibration!$I$2:$I$6</c:f>
              <c:numCache>
                <c:formatCode>General</c:formatCode>
                <c:ptCount val="5"/>
                <c:pt idx="0">
                  <c:v>-2.7732000000000001</c:v>
                </c:pt>
                <c:pt idx="1">
                  <c:v>-2.3519000000000001</c:v>
                </c:pt>
                <c:pt idx="2">
                  <c:v>-1.8494999999999999</c:v>
                </c:pt>
                <c:pt idx="3">
                  <c:v>-1.8987000000000001</c:v>
                </c:pt>
                <c:pt idx="4">
                  <c:v>-1.8872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CC7-454C-A1A9-E99D01B0F0C8}"/>
            </c:ext>
          </c:extLst>
        </c:ser>
        <c:ser>
          <c:idx val="2"/>
          <c:order val="2"/>
          <c:tx>
            <c:strRef>
              <c:f>Calibration!$J$1</c:f>
              <c:strCache>
                <c:ptCount val="1"/>
                <c:pt idx="0">
                  <c:v>DK1 post-crisis</c:v>
                </c:pt>
              </c:strCache>
            </c:strRef>
          </c:tx>
          <c:spPr>
            <a:ln>
              <a:solidFill>
                <a:srgbClr val="70AD47"/>
              </a:solidFill>
              <a:prstDash val="solid"/>
            </a:ln>
          </c:spPr>
          <c:marker>
            <c:symbol val="none"/>
          </c:marker>
          <c:val>
            <c:numRef>
              <c:f>Calibration!$J$2:$J$6</c:f>
              <c:numCache>
                <c:formatCode>General</c:formatCode>
                <c:ptCount val="5"/>
                <c:pt idx="0">
                  <c:v>-3.4350000000000001</c:v>
                </c:pt>
                <c:pt idx="1">
                  <c:v>-3.4777</c:v>
                </c:pt>
                <c:pt idx="2">
                  <c:v>-2.6638999999999999</c:v>
                </c:pt>
                <c:pt idx="3">
                  <c:v>-3.0968</c:v>
                </c:pt>
                <c:pt idx="4">
                  <c:v>-2.9904000000000002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CC7-454C-A1A9-E99D01B0F0C8}"/>
            </c:ext>
          </c:extLst>
        </c:ser>
        <c:ser>
          <c:idx val="3"/>
          <c:order val="3"/>
          <c:tx>
            <c:strRef>
              <c:f>Calibration!$K$1</c:f>
              <c:strCache>
                <c:ptCount val="1"/>
                <c:pt idx="0">
                  <c:v>CV 5%</c:v>
                </c:pt>
              </c:strCache>
            </c:strRef>
          </c:tx>
          <c:spPr>
            <a:ln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Calibration!$K$2:$K$6</c:f>
              <c:numCache>
                <c:formatCode>General</c:formatCode>
                <c:ptCount val="5"/>
                <c:pt idx="0">
                  <c:v>-2.89</c:v>
                </c:pt>
                <c:pt idx="1">
                  <c:v>-2.89</c:v>
                </c:pt>
                <c:pt idx="2">
                  <c:v>-2.89</c:v>
                </c:pt>
                <c:pt idx="3">
                  <c:v>-2.89</c:v>
                </c:pt>
                <c:pt idx="4">
                  <c:v>-2.89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7CC7-454C-A1A9-E99D01B0F0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Lags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ADF t-statistic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9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DK1 ADF t-statistics by Number of Lags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Calibration!$H$1</c:f>
              <c:strCache>
                <c:ptCount val="1"/>
                <c:pt idx="0">
                  <c:v>DK1 Full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Calibration!$H$2:$H$6</c:f>
              <c:numCache>
                <c:formatCode>General</c:formatCode>
                <c:ptCount val="5"/>
                <c:pt idx="0">
                  <c:v>-2.7048999999999999</c:v>
                </c:pt>
                <c:pt idx="1">
                  <c:v>-2.5651000000000002</c:v>
                </c:pt>
                <c:pt idx="2">
                  <c:v>-1.782</c:v>
                </c:pt>
                <c:pt idx="3">
                  <c:v>-1.6911</c:v>
                </c:pt>
                <c:pt idx="4">
                  <c:v>-1.6500999999999999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DE-DD45-9E00-90C5EDC190F3}"/>
            </c:ext>
          </c:extLst>
        </c:ser>
        <c:ser>
          <c:idx val="1"/>
          <c:order val="1"/>
          <c:tx>
            <c:strRef>
              <c:f>Calibration!$I$1</c:f>
              <c:strCache>
                <c:ptCount val="1"/>
                <c:pt idx="0">
                  <c:v>DK1 ex-2022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Calibration!$I$2:$I$6</c:f>
              <c:numCache>
                <c:formatCode>General</c:formatCode>
                <c:ptCount val="5"/>
                <c:pt idx="0">
                  <c:v>-2.7732000000000001</c:v>
                </c:pt>
                <c:pt idx="1">
                  <c:v>-2.3519000000000001</c:v>
                </c:pt>
                <c:pt idx="2">
                  <c:v>-1.8494999999999999</c:v>
                </c:pt>
                <c:pt idx="3">
                  <c:v>-1.8987000000000001</c:v>
                </c:pt>
                <c:pt idx="4">
                  <c:v>-1.8872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DE-DD45-9E00-90C5EDC190F3}"/>
            </c:ext>
          </c:extLst>
        </c:ser>
        <c:ser>
          <c:idx val="2"/>
          <c:order val="2"/>
          <c:tx>
            <c:strRef>
              <c:f>Calibration!$J$1</c:f>
              <c:strCache>
                <c:ptCount val="1"/>
                <c:pt idx="0">
                  <c:v>DK1 post-crisis</c:v>
                </c:pt>
              </c:strCache>
            </c:strRef>
          </c:tx>
          <c:spPr>
            <a:ln>
              <a:solidFill>
                <a:srgbClr val="70AD47"/>
              </a:solidFill>
              <a:prstDash val="solid"/>
            </a:ln>
          </c:spPr>
          <c:marker>
            <c:symbol val="none"/>
          </c:marker>
          <c:val>
            <c:numRef>
              <c:f>Calibration!$J$2:$J$6</c:f>
              <c:numCache>
                <c:formatCode>General</c:formatCode>
                <c:ptCount val="5"/>
                <c:pt idx="0">
                  <c:v>-3.4350000000000001</c:v>
                </c:pt>
                <c:pt idx="1">
                  <c:v>-3.4777</c:v>
                </c:pt>
                <c:pt idx="2">
                  <c:v>-2.6638999999999999</c:v>
                </c:pt>
                <c:pt idx="3">
                  <c:v>-3.0968</c:v>
                </c:pt>
                <c:pt idx="4">
                  <c:v>-2.9904000000000002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4EDE-DD45-9E00-90C5EDC190F3}"/>
            </c:ext>
          </c:extLst>
        </c:ser>
        <c:ser>
          <c:idx val="3"/>
          <c:order val="3"/>
          <c:tx>
            <c:strRef>
              <c:f>Calibration!$K$1</c:f>
              <c:strCache>
                <c:ptCount val="1"/>
                <c:pt idx="0">
                  <c:v>CV 5%</c:v>
                </c:pt>
              </c:strCache>
            </c:strRef>
          </c:tx>
          <c:spPr>
            <a:ln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Calibration!$K$2:$K$6</c:f>
              <c:numCache>
                <c:formatCode>General</c:formatCode>
                <c:ptCount val="5"/>
                <c:pt idx="0">
                  <c:v>-2.89</c:v>
                </c:pt>
                <c:pt idx="1">
                  <c:v>-2.89</c:v>
                </c:pt>
                <c:pt idx="2">
                  <c:v>-2.89</c:v>
                </c:pt>
                <c:pt idx="3">
                  <c:v>-2.89</c:v>
                </c:pt>
                <c:pt idx="4">
                  <c:v>-2.89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4EDE-DD45-9E00-90C5EDC190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Lags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ADF t-statistic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9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DK1 ADF t-statistics by Number of Lags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Calibration!$H$1</c:f>
              <c:strCache>
                <c:ptCount val="1"/>
                <c:pt idx="0">
                  <c:v>DK1 Full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Calibration!$H$2:$H$6</c:f>
              <c:numCache>
                <c:formatCode>General</c:formatCode>
                <c:ptCount val="5"/>
                <c:pt idx="0">
                  <c:v>-2.7048999999999999</c:v>
                </c:pt>
                <c:pt idx="1">
                  <c:v>-2.5651000000000002</c:v>
                </c:pt>
                <c:pt idx="2">
                  <c:v>-1.782</c:v>
                </c:pt>
                <c:pt idx="3">
                  <c:v>-1.6911</c:v>
                </c:pt>
                <c:pt idx="4">
                  <c:v>-1.6500999999999999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FC1-3645-8148-A300938CCD05}"/>
            </c:ext>
          </c:extLst>
        </c:ser>
        <c:ser>
          <c:idx val="1"/>
          <c:order val="1"/>
          <c:tx>
            <c:strRef>
              <c:f>Calibration!$I$1</c:f>
              <c:strCache>
                <c:ptCount val="1"/>
                <c:pt idx="0">
                  <c:v>DK1 ex-2022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Calibration!$I$2:$I$6</c:f>
              <c:numCache>
                <c:formatCode>General</c:formatCode>
                <c:ptCount val="5"/>
                <c:pt idx="0">
                  <c:v>-2.7732000000000001</c:v>
                </c:pt>
                <c:pt idx="1">
                  <c:v>-2.3519000000000001</c:v>
                </c:pt>
                <c:pt idx="2">
                  <c:v>-1.8494999999999999</c:v>
                </c:pt>
                <c:pt idx="3">
                  <c:v>-1.8987000000000001</c:v>
                </c:pt>
                <c:pt idx="4">
                  <c:v>-1.8872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FC1-3645-8148-A300938CCD05}"/>
            </c:ext>
          </c:extLst>
        </c:ser>
        <c:ser>
          <c:idx val="2"/>
          <c:order val="2"/>
          <c:tx>
            <c:strRef>
              <c:f>Calibration!$J$1</c:f>
              <c:strCache>
                <c:ptCount val="1"/>
                <c:pt idx="0">
                  <c:v>DK1 post-crisis</c:v>
                </c:pt>
              </c:strCache>
            </c:strRef>
          </c:tx>
          <c:spPr>
            <a:ln>
              <a:solidFill>
                <a:srgbClr val="70AD47"/>
              </a:solidFill>
              <a:prstDash val="solid"/>
            </a:ln>
          </c:spPr>
          <c:marker>
            <c:symbol val="none"/>
          </c:marker>
          <c:val>
            <c:numRef>
              <c:f>Calibration!$J$2:$J$6</c:f>
              <c:numCache>
                <c:formatCode>General</c:formatCode>
                <c:ptCount val="5"/>
                <c:pt idx="0">
                  <c:v>-3.4350000000000001</c:v>
                </c:pt>
                <c:pt idx="1">
                  <c:v>-3.4777</c:v>
                </c:pt>
                <c:pt idx="2">
                  <c:v>-2.6638999999999999</c:v>
                </c:pt>
                <c:pt idx="3">
                  <c:v>-3.0968</c:v>
                </c:pt>
                <c:pt idx="4">
                  <c:v>-2.9904000000000002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1FC1-3645-8148-A300938CCD05}"/>
            </c:ext>
          </c:extLst>
        </c:ser>
        <c:ser>
          <c:idx val="3"/>
          <c:order val="3"/>
          <c:tx>
            <c:strRef>
              <c:f>Calibration!$K$1</c:f>
              <c:strCache>
                <c:ptCount val="1"/>
                <c:pt idx="0">
                  <c:v>CV 5%</c:v>
                </c:pt>
              </c:strCache>
            </c:strRef>
          </c:tx>
          <c:spPr>
            <a:ln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Calibration!$K$2:$K$6</c:f>
              <c:numCache>
                <c:formatCode>General</c:formatCode>
                <c:ptCount val="5"/>
                <c:pt idx="0">
                  <c:v>-2.89</c:v>
                </c:pt>
                <c:pt idx="1">
                  <c:v>-2.89</c:v>
                </c:pt>
                <c:pt idx="2">
                  <c:v>-2.89</c:v>
                </c:pt>
                <c:pt idx="3">
                  <c:v>-2.89</c:v>
                </c:pt>
                <c:pt idx="4">
                  <c:v>-2.89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1FC1-3645-8148-A300938CCD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Lags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ADF t-statistic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9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DK1 ADF t-statistics by Number of Lags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Calibration!$H$1</c:f>
              <c:strCache>
                <c:ptCount val="1"/>
                <c:pt idx="0">
                  <c:v>DK1 Full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Calibration!$H$2:$H$6</c:f>
              <c:numCache>
                <c:formatCode>General</c:formatCode>
                <c:ptCount val="5"/>
                <c:pt idx="0">
                  <c:v>-2.7048999999999999</c:v>
                </c:pt>
                <c:pt idx="1">
                  <c:v>-2.5651000000000002</c:v>
                </c:pt>
                <c:pt idx="2">
                  <c:v>-1.782</c:v>
                </c:pt>
                <c:pt idx="3">
                  <c:v>-1.6911</c:v>
                </c:pt>
                <c:pt idx="4">
                  <c:v>-1.6500999999999999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95C-2147-8D69-DCABB6C065BA}"/>
            </c:ext>
          </c:extLst>
        </c:ser>
        <c:ser>
          <c:idx val="1"/>
          <c:order val="1"/>
          <c:tx>
            <c:strRef>
              <c:f>Calibration!$I$1</c:f>
              <c:strCache>
                <c:ptCount val="1"/>
                <c:pt idx="0">
                  <c:v>DK1 ex-2022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Calibration!$I$2:$I$6</c:f>
              <c:numCache>
                <c:formatCode>General</c:formatCode>
                <c:ptCount val="5"/>
                <c:pt idx="0">
                  <c:v>-2.7732000000000001</c:v>
                </c:pt>
                <c:pt idx="1">
                  <c:v>-2.3519000000000001</c:v>
                </c:pt>
                <c:pt idx="2">
                  <c:v>-1.8494999999999999</c:v>
                </c:pt>
                <c:pt idx="3">
                  <c:v>-1.8987000000000001</c:v>
                </c:pt>
                <c:pt idx="4">
                  <c:v>-1.8872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95C-2147-8D69-DCABB6C065BA}"/>
            </c:ext>
          </c:extLst>
        </c:ser>
        <c:ser>
          <c:idx val="2"/>
          <c:order val="2"/>
          <c:tx>
            <c:strRef>
              <c:f>Calibration!$J$1</c:f>
              <c:strCache>
                <c:ptCount val="1"/>
                <c:pt idx="0">
                  <c:v>DK1 post-crisis</c:v>
                </c:pt>
              </c:strCache>
            </c:strRef>
          </c:tx>
          <c:spPr>
            <a:ln>
              <a:solidFill>
                <a:srgbClr val="70AD47"/>
              </a:solidFill>
              <a:prstDash val="solid"/>
            </a:ln>
          </c:spPr>
          <c:marker>
            <c:symbol val="none"/>
          </c:marker>
          <c:val>
            <c:numRef>
              <c:f>Calibration!$J$2:$J$6</c:f>
              <c:numCache>
                <c:formatCode>General</c:formatCode>
                <c:ptCount val="5"/>
                <c:pt idx="0">
                  <c:v>-3.4350000000000001</c:v>
                </c:pt>
                <c:pt idx="1">
                  <c:v>-3.4777</c:v>
                </c:pt>
                <c:pt idx="2">
                  <c:v>-2.6638999999999999</c:v>
                </c:pt>
                <c:pt idx="3">
                  <c:v>-3.0968</c:v>
                </c:pt>
                <c:pt idx="4">
                  <c:v>-2.9904000000000002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D95C-2147-8D69-DCABB6C065BA}"/>
            </c:ext>
          </c:extLst>
        </c:ser>
        <c:ser>
          <c:idx val="3"/>
          <c:order val="3"/>
          <c:tx>
            <c:strRef>
              <c:f>Calibration!$K$1</c:f>
              <c:strCache>
                <c:ptCount val="1"/>
                <c:pt idx="0">
                  <c:v>CV 5%</c:v>
                </c:pt>
              </c:strCache>
            </c:strRef>
          </c:tx>
          <c:spPr>
            <a:ln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Calibration!$K$2:$K$6</c:f>
              <c:numCache>
                <c:formatCode>General</c:formatCode>
                <c:ptCount val="5"/>
                <c:pt idx="0">
                  <c:v>-2.89</c:v>
                </c:pt>
                <c:pt idx="1">
                  <c:v>-2.89</c:v>
                </c:pt>
                <c:pt idx="2">
                  <c:v>-2.89</c:v>
                </c:pt>
                <c:pt idx="3">
                  <c:v>-2.89</c:v>
                </c:pt>
                <c:pt idx="4">
                  <c:v>-2.89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D95C-2147-8D69-DCABB6C065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Lags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ADF t-statistic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9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DK1 ADF t-statistics by Number of Lags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Calibration!$H$1</c:f>
              <c:strCache>
                <c:ptCount val="1"/>
                <c:pt idx="0">
                  <c:v>DK1 Full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Calibration!$H$2:$H$6</c:f>
              <c:numCache>
                <c:formatCode>General</c:formatCode>
                <c:ptCount val="5"/>
                <c:pt idx="0">
                  <c:v>-2.7048999999999999</c:v>
                </c:pt>
                <c:pt idx="1">
                  <c:v>-2.5651000000000002</c:v>
                </c:pt>
                <c:pt idx="2">
                  <c:v>-1.782</c:v>
                </c:pt>
                <c:pt idx="3">
                  <c:v>-1.6911</c:v>
                </c:pt>
                <c:pt idx="4">
                  <c:v>-1.6500999999999999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E7C-4842-BDB1-65BD86107A23}"/>
            </c:ext>
          </c:extLst>
        </c:ser>
        <c:ser>
          <c:idx val="1"/>
          <c:order val="1"/>
          <c:tx>
            <c:strRef>
              <c:f>Calibration!$I$1</c:f>
              <c:strCache>
                <c:ptCount val="1"/>
                <c:pt idx="0">
                  <c:v>DK1 ex-2022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Calibration!$I$2:$I$6</c:f>
              <c:numCache>
                <c:formatCode>General</c:formatCode>
                <c:ptCount val="5"/>
                <c:pt idx="0">
                  <c:v>-2.7732000000000001</c:v>
                </c:pt>
                <c:pt idx="1">
                  <c:v>-2.3519000000000001</c:v>
                </c:pt>
                <c:pt idx="2">
                  <c:v>-1.8494999999999999</c:v>
                </c:pt>
                <c:pt idx="3">
                  <c:v>-1.8987000000000001</c:v>
                </c:pt>
                <c:pt idx="4">
                  <c:v>-1.8872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E7C-4842-BDB1-65BD86107A23}"/>
            </c:ext>
          </c:extLst>
        </c:ser>
        <c:ser>
          <c:idx val="2"/>
          <c:order val="2"/>
          <c:tx>
            <c:strRef>
              <c:f>Calibration!$J$1</c:f>
              <c:strCache>
                <c:ptCount val="1"/>
                <c:pt idx="0">
                  <c:v>DK1 post-crisis</c:v>
                </c:pt>
              </c:strCache>
            </c:strRef>
          </c:tx>
          <c:spPr>
            <a:ln>
              <a:solidFill>
                <a:srgbClr val="70AD47"/>
              </a:solidFill>
              <a:prstDash val="solid"/>
            </a:ln>
          </c:spPr>
          <c:marker>
            <c:symbol val="none"/>
          </c:marker>
          <c:val>
            <c:numRef>
              <c:f>Calibration!$J$2:$J$6</c:f>
              <c:numCache>
                <c:formatCode>General</c:formatCode>
                <c:ptCount val="5"/>
                <c:pt idx="0">
                  <c:v>-3.4350000000000001</c:v>
                </c:pt>
                <c:pt idx="1">
                  <c:v>-3.4777</c:v>
                </c:pt>
                <c:pt idx="2">
                  <c:v>-2.6638999999999999</c:v>
                </c:pt>
                <c:pt idx="3">
                  <c:v>-3.0968</c:v>
                </c:pt>
                <c:pt idx="4">
                  <c:v>-2.9904000000000002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3E7C-4842-BDB1-65BD86107A23}"/>
            </c:ext>
          </c:extLst>
        </c:ser>
        <c:ser>
          <c:idx val="3"/>
          <c:order val="3"/>
          <c:tx>
            <c:strRef>
              <c:f>Calibration!$K$1</c:f>
              <c:strCache>
                <c:ptCount val="1"/>
                <c:pt idx="0">
                  <c:v>CV 5%</c:v>
                </c:pt>
              </c:strCache>
            </c:strRef>
          </c:tx>
          <c:spPr>
            <a:ln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Calibration!$K$2:$K$6</c:f>
              <c:numCache>
                <c:formatCode>General</c:formatCode>
                <c:ptCount val="5"/>
                <c:pt idx="0">
                  <c:v>-2.89</c:v>
                </c:pt>
                <c:pt idx="1">
                  <c:v>-2.89</c:v>
                </c:pt>
                <c:pt idx="2">
                  <c:v>-2.89</c:v>
                </c:pt>
                <c:pt idx="3">
                  <c:v>-2.89</c:v>
                </c:pt>
                <c:pt idx="4">
                  <c:v>-2.89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3E7C-4842-BDB1-65BD86107A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Lags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ADF t-statistic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9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DK1 ADF t-statistics by Number of Lags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Calibration!$H$1</c:f>
              <c:strCache>
                <c:ptCount val="1"/>
                <c:pt idx="0">
                  <c:v>DK1 Full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Calibration!$H$2:$H$6</c:f>
              <c:numCache>
                <c:formatCode>General</c:formatCode>
                <c:ptCount val="5"/>
                <c:pt idx="0">
                  <c:v>-2.7048999999999999</c:v>
                </c:pt>
                <c:pt idx="1">
                  <c:v>-2.5651000000000002</c:v>
                </c:pt>
                <c:pt idx="2">
                  <c:v>-1.782</c:v>
                </c:pt>
                <c:pt idx="3">
                  <c:v>-1.6911</c:v>
                </c:pt>
                <c:pt idx="4">
                  <c:v>-1.6500999999999999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89-9348-BB30-07389A7870B4}"/>
            </c:ext>
          </c:extLst>
        </c:ser>
        <c:ser>
          <c:idx val="1"/>
          <c:order val="1"/>
          <c:tx>
            <c:strRef>
              <c:f>Calibration!$I$1</c:f>
              <c:strCache>
                <c:ptCount val="1"/>
                <c:pt idx="0">
                  <c:v>DK1 ex-2022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Calibration!$I$2:$I$6</c:f>
              <c:numCache>
                <c:formatCode>General</c:formatCode>
                <c:ptCount val="5"/>
                <c:pt idx="0">
                  <c:v>-2.7732000000000001</c:v>
                </c:pt>
                <c:pt idx="1">
                  <c:v>-2.3519000000000001</c:v>
                </c:pt>
                <c:pt idx="2">
                  <c:v>-1.8494999999999999</c:v>
                </c:pt>
                <c:pt idx="3">
                  <c:v>-1.8987000000000001</c:v>
                </c:pt>
                <c:pt idx="4">
                  <c:v>-1.8872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89-9348-BB30-07389A7870B4}"/>
            </c:ext>
          </c:extLst>
        </c:ser>
        <c:ser>
          <c:idx val="2"/>
          <c:order val="2"/>
          <c:tx>
            <c:strRef>
              <c:f>Calibration!$J$1</c:f>
              <c:strCache>
                <c:ptCount val="1"/>
                <c:pt idx="0">
                  <c:v>DK1 post-crisis</c:v>
                </c:pt>
              </c:strCache>
            </c:strRef>
          </c:tx>
          <c:spPr>
            <a:ln>
              <a:solidFill>
                <a:srgbClr val="70AD47"/>
              </a:solidFill>
              <a:prstDash val="solid"/>
            </a:ln>
          </c:spPr>
          <c:marker>
            <c:symbol val="none"/>
          </c:marker>
          <c:val>
            <c:numRef>
              <c:f>Calibration!$J$2:$J$6</c:f>
              <c:numCache>
                <c:formatCode>General</c:formatCode>
                <c:ptCount val="5"/>
                <c:pt idx="0">
                  <c:v>-3.4350000000000001</c:v>
                </c:pt>
                <c:pt idx="1">
                  <c:v>-3.4777</c:v>
                </c:pt>
                <c:pt idx="2">
                  <c:v>-2.6638999999999999</c:v>
                </c:pt>
                <c:pt idx="3">
                  <c:v>-3.0968</c:v>
                </c:pt>
                <c:pt idx="4">
                  <c:v>-2.9904000000000002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4689-9348-BB30-07389A7870B4}"/>
            </c:ext>
          </c:extLst>
        </c:ser>
        <c:ser>
          <c:idx val="3"/>
          <c:order val="3"/>
          <c:tx>
            <c:strRef>
              <c:f>Calibration!$K$1</c:f>
              <c:strCache>
                <c:ptCount val="1"/>
                <c:pt idx="0">
                  <c:v>CV 5%</c:v>
                </c:pt>
              </c:strCache>
            </c:strRef>
          </c:tx>
          <c:spPr>
            <a:ln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Calibration!$K$2:$K$6</c:f>
              <c:numCache>
                <c:formatCode>General</c:formatCode>
                <c:ptCount val="5"/>
                <c:pt idx="0">
                  <c:v>-2.89</c:v>
                </c:pt>
                <c:pt idx="1">
                  <c:v>-2.89</c:v>
                </c:pt>
                <c:pt idx="2">
                  <c:v>-2.89</c:v>
                </c:pt>
                <c:pt idx="3">
                  <c:v>-2.89</c:v>
                </c:pt>
                <c:pt idx="4">
                  <c:v>-2.89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4689-9348-BB30-07389A7870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Lags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ADF t-statistic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0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DK1 ADF t-statistics by Number of Lags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Calibration!$H$1</c:f>
              <c:strCache>
                <c:ptCount val="1"/>
                <c:pt idx="0">
                  <c:v>DK1 Full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Calibration!$H$2:$H$6</c:f>
              <c:numCache>
                <c:formatCode>General</c:formatCode>
                <c:ptCount val="5"/>
                <c:pt idx="0">
                  <c:v>-2.7048999999999999</c:v>
                </c:pt>
                <c:pt idx="1">
                  <c:v>-2.5651000000000002</c:v>
                </c:pt>
                <c:pt idx="2">
                  <c:v>-1.782</c:v>
                </c:pt>
                <c:pt idx="3">
                  <c:v>-1.6911</c:v>
                </c:pt>
                <c:pt idx="4">
                  <c:v>-1.6500999999999999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361-0F44-AA16-FA5677F8F3AE}"/>
            </c:ext>
          </c:extLst>
        </c:ser>
        <c:ser>
          <c:idx val="1"/>
          <c:order val="1"/>
          <c:tx>
            <c:strRef>
              <c:f>Calibration!$I$1</c:f>
              <c:strCache>
                <c:ptCount val="1"/>
                <c:pt idx="0">
                  <c:v>DK1 ex-2022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Calibration!$I$2:$I$6</c:f>
              <c:numCache>
                <c:formatCode>General</c:formatCode>
                <c:ptCount val="5"/>
                <c:pt idx="0">
                  <c:v>-2.7732000000000001</c:v>
                </c:pt>
                <c:pt idx="1">
                  <c:v>-2.3519000000000001</c:v>
                </c:pt>
                <c:pt idx="2">
                  <c:v>-1.8494999999999999</c:v>
                </c:pt>
                <c:pt idx="3">
                  <c:v>-1.8987000000000001</c:v>
                </c:pt>
                <c:pt idx="4">
                  <c:v>-1.8872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361-0F44-AA16-FA5677F8F3AE}"/>
            </c:ext>
          </c:extLst>
        </c:ser>
        <c:ser>
          <c:idx val="2"/>
          <c:order val="2"/>
          <c:tx>
            <c:strRef>
              <c:f>Calibration!$J$1</c:f>
              <c:strCache>
                <c:ptCount val="1"/>
                <c:pt idx="0">
                  <c:v>DK1 post-crisis</c:v>
                </c:pt>
              </c:strCache>
            </c:strRef>
          </c:tx>
          <c:spPr>
            <a:ln>
              <a:solidFill>
                <a:srgbClr val="70AD47"/>
              </a:solidFill>
              <a:prstDash val="solid"/>
            </a:ln>
          </c:spPr>
          <c:marker>
            <c:symbol val="none"/>
          </c:marker>
          <c:val>
            <c:numRef>
              <c:f>Calibration!$J$2:$J$6</c:f>
              <c:numCache>
                <c:formatCode>General</c:formatCode>
                <c:ptCount val="5"/>
                <c:pt idx="0">
                  <c:v>-3.4350000000000001</c:v>
                </c:pt>
                <c:pt idx="1">
                  <c:v>-3.4777</c:v>
                </c:pt>
                <c:pt idx="2">
                  <c:v>-2.6638999999999999</c:v>
                </c:pt>
                <c:pt idx="3">
                  <c:v>-3.0968</c:v>
                </c:pt>
                <c:pt idx="4">
                  <c:v>-2.9904000000000002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361-0F44-AA16-FA5677F8F3AE}"/>
            </c:ext>
          </c:extLst>
        </c:ser>
        <c:ser>
          <c:idx val="3"/>
          <c:order val="3"/>
          <c:tx>
            <c:strRef>
              <c:f>Calibration!$K$1</c:f>
              <c:strCache>
                <c:ptCount val="1"/>
                <c:pt idx="0">
                  <c:v>CV 5%</c:v>
                </c:pt>
              </c:strCache>
            </c:strRef>
          </c:tx>
          <c:spPr>
            <a:ln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Calibration!$K$2:$K$6</c:f>
              <c:numCache>
                <c:formatCode>General</c:formatCode>
                <c:ptCount val="5"/>
                <c:pt idx="0">
                  <c:v>-2.89</c:v>
                </c:pt>
                <c:pt idx="1">
                  <c:v>-2.89</c:v>
                </c:pt>
                <c:pt idx="2">
                  <c:v>-2.89</c:v>
                </c:pt>
                <c:pt idx="3">
                  <c:v>-2.89</c:v>
                </c:pt>
                <c:pt idx="4">
                  <c:v>-2.89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361-0F44-AA16-FA5677F8F3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Lags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ADF t-statistic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0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DK1 ADF t-statistics by Number of Lags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Calibration!$H$1</c:f>
              <c:strCache>
                <c:ptCount val="1"/>
                <c:pt idx="0">
                  <c:v>DK1 Full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Calibration!$H$2:$H$6</c:f>
              <c:numCache>
                <c:formatCode>General</c:formatCode>
                <c:ptCount val="5"/>
                <c:pt idx="0">
                  <c:v>-2.7048999999999999</c:v>
                </c:pt>
                <c:pt idx="1">
                  <c:v>-2.5651000000000002</c:v>
                </c:pt>
                <c:pt idx="2">
                  <c:v>-1.782</c:v>
                </c:pt>
                <c:pt idx="3">
                  <c:v>-1.6911</c:v>
                </c:pt>
                <c:pt idx="4">
                  <c:v>-1.6500999999999999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67B-294F-98CB-E7F060EF78BD}"/>
            </c:ext>
          </c:extLst>
        </c:ser>
        <c:ser>
          <c:idx val="1"/>
          <c:order val="1"/>
          <c:tx>
            <c:strRef>
              <c:f>Calibration!$I$1</c:f>
              <c:strCache>
                <c:ptCount val="1"/>
                <c:pt idx="0">
                  <c:v>DK1 ex-2022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Calibration!$I$2:$I$6</c:f>
              <c:numCache>
                <c:formatCode>General</c:formatCode>
                <c:ptCount val="5"/>
                <c:pt idx="0">
                  <c:v>-2.7732000000000001</c:v>
                </c:pt>
                <c:pt idx="1">
                  <c:v>-2.3519000000000001</c:v>
                </c:pt>
                <c:pt idx="2">
                  <c:v>-1.8494999999999999</c:v>
                </c:pt>
                <c:pt idx="3">
                  <c:v>-1.8987000000000001</c:v>
                </c:pt>
                <c:pt idx="4">
                  <c:v>-1.8872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67B-294F-98CB-E7F060EF78BD}"/>
            </c:ext>
          </c:extLst>
        </c:ser>
        <c:ser>
          <c:idx val="2"/>
          <c:order val="2"/>
          <c:tx>
            <c:strRef>
              <c:f>Calibration!$J$1</c:f>
              <c:strCache>
                <c:ptCount val="1"/>
                <c:pt idx="0">
                  <c:v>DK1 post-crisis</c:v>
                </c:pt>
              </c:strCache>
            </c:strRef>
          </c:tx>
          <c:spPr>
            <a:ln>
              <a:solidFill>
                <a:srgbClr val="70AD47"/>
              </a:solidFill>
              <a:prstDash val="solid"/>
            </a:ln>
          </c:spPr>
          <c:marker>
            <c:symbol val="none"/>
          </c:marker>
          <c:val>
            <c:numRef>
              <c:f>Calibration!$J$2:$J$6</c:f>
              <c:numCache>
                <c:formatCode>General</c:formatCode>
                <c:ptCount val="5"/>
                <c:pt idx="0">
                  <c:v>-3.4350000000000001</c:v>
                </c:pt>
                <c:pt idx="1">
                  <c:v>-3.4777</c:v>
                </c:pt>
                <c:pt idx="2">
                  <c:v>-2.6638999999999999</c:v>
                </c:pt>
                <c:pt idx="3">
                  <c:v>-3.0968</c:v>
                </c:pt>
                <c:pt idx="4">
                  <c:v>-2.9904000000000002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D67B-294F-98CB-E7F060EF78BD}"/>
            </c:ext>
          </c:extLst>
        </c:ser>
        <c:ser>
          <c:idx val="3"/>
          <c:order val="3"/>
          <c:tx>
            <c:strRef>
              <c:f>Calibration!$K$1</c:f>
              <c:strCache>
                <c:ptCount val="1"/>
                <c:pt idx="0">
                  <c:v>CV 5%</c:v>
                </c:pt>
              </c:strCache>
            </c:strRef>
          </c:tx>
          <c:spPr>
            <a:ln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Calibration!$K$2:$K$6</c:f>
              <c:numCache>
                <c:formatCode>General</c:formatCode>
                <c:ptCount val="5"/>
                <c:pt idx="0">
                  <c:v>-2.89</c:v>
                </c:pt>
                <c:pt idx="1">
                  <c:v>-2.89</c:v>
                </c:pt>
                <c:pt idx="2">
                  <c:v>-2.89</c:v>
                </c:pt>
                <c:pt idx="3">
                  <c:v>-2.89</c:v>
                </c:pt>
                <c:pt idx="4">
                  <c:v>-2.89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D67B-294F-98CB-E7F060EF78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Lags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ADF t-statistic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0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DK1 ADF t-statistics by Number of Lags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Calibration!$H$1</c:f>
              <c:strCache>
                <c:ptCount val="1"/>
                <c:pt idx="0">
                  <c:v>DK1 Full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Calibration!$H$2:$H$6</c:f>
              <c:numCache>
                <c:formatCode>General</c:formatCode>
                <c:ptCount val="5"/>
                <c:pt idx="0">
                  <c:v>-2.7048999999999999</c:v>
                </c:pt>
                <c:pt idx="1">
                  <c:v>-2.5651000000000002</c:v>
                </c:pt>
                <c:pt idx="2">
                  <c:v>-1.782</c:v>
                </c:pt>
                <c:pt idx="3">
                  <c:v>-1.6911</c:v>
                </c:pt>
                <c:pt idx="4">
                  <c:v>-1.6500999999999999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FD6-0D40-8630-3240DCC1982E}"/>
            </c:ext>
          </c:extLst>
        </c:ser>
        <c:ser>
          <c:idx val="1"/>
          <c:order val="1"/>
          <c:tx>
            <c:strRef>
              <c:f>Calibration!$I$1</c:f>
              <c:strCache>
                <c:ptCount val="1"/>
                <c:pt idx="0">
                  <c:v>DK1 ex-2022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Calibration!$I$2:$I$6</c:f>
              <c:numCache>
                <c:formatCode>General</c:formatCode>
                <c:ptCount val="5"/>
                <c:pt idx="0">
                  <c:v>-2.7732000000000001</c:v>
                </c:pt>
                <c:pt idx="1">
                  <c:v>-2.3519000000000001</c:v>
                </c:pt>
                <c:pt idx="2">
                  <c:v>-1.8494999999999999</c:v>
                </c:pt>
                <c:pt idx="3">
                  <c:v>-1.8987000000000001</c:v>
                </c:pt>
                <c:pt idx="4">
                  <c:v>-1.8872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FD6-0D40-8630-3240DCC1982E}"/>
            </c:ext>
          </c:extLst>
        </c:ser>
        <c:ser>
          <c:idx val="2"/>
          <c:order val="2"/>
          <c:tx>
            <c:strRef>
              <c:f>Calibration!$J$1</c:f>
              <c:strCache>
                <c:ptCount val="1"/>
                <c:pt idx="0">
                  <c:v>DK1 post-crisis</c:v>
                </c:pt>
              </c:strCache>
            </c:strRef>
          </c:tx>
          <c:spPr>
            <a:ln>
              <a:solidFill>
                <a:srgbClr val="70AD47"/>
              </a:solidFill>
              <a:prstDash val="solid"/>
            </a:ln>
          </c:spPr>
          <c:marker>
            <c:symbol val="none"/>
          </c:marker>
          <c:val>
            <c:numRef>
              <c:f>Calibration!$J$2:$J$6</c:f>
              <c:numCache>
                <c:formatCode>General</c:formatCode>
                <c:ptCount val="5"/>
                <c:pt idx="0">
                  <c:v>-3.4350000000000001</c:v>
                </c:pt>
                <c:pt idx="1">
                  <c:v>-3.4777</c:v>
                </c:pt>
                <c:pt idx="2">
                  <c:v>-2.6638999999999999</c:v>
                </c:pt>
                <c:pt idx="3">
                  <c:v>-3.0968</c:v>
                </c:pt>
                <c:pt idx="4">
                  <c:v>-2.9904000000000002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FD6-0D40-8630-3240DCC1982E}"/>
            </c:ext>
          </c:extLst>
        </c:ser>
        <c:ser>
          <c:idx val="3"/>
          <c:order val="3"/>
          <c:tx>
            <c:strRef>
              <c:f>Calibration!$K$1</c:f>
              <c:strCache>
                <c:ptCount val="1"/>
                <c:pt idx="0">
                  <c:v>CV 5%</c:v>
                </c:pt>
              </c:strCache>
            </c:strRef>
          </c:tx>
          <c:spPr>
            <a:ln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Calibration!$K$2:$K$6</c:f>
              <c:numCache>
                <c:formatCode>General</c:formatCode>
                <c:ptCount val="5"/>
                <c:pt idx="0">
                  <c:v>-2.89</c:v>
                </c:pt>
                <c:pt idx="1">
                  <c:v>-2.89</c:v>
                </c:pt>
                <c:pt idx="2">
                  <c:v>-2.89</c:v>
                </c:pt>
                <c:pt idx="3">
                  <c:v>-2.89</c:v>
                </c:pt>
                <c:pt idx="4">
                  <c:v>-2.89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0FD6-0D40-8630-3240DCC198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Lags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ADF t-statistic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0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DK1 ADF t-statistics by Number of Lags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Calibration!$H$1</c:f>
              <c:strCache>
                <c:ptCount val="1"/>
                <c:pt idx="0">
                  <c:v>DK1 Full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Calibration!$H$2:$H$6</c:f>
              <c:numCache>
                <c:formatCode>General</c:formatCode>
                <c:ptCount val="5"/>
                <c:pt idx="0">
                  <c:v>-2.7048999999999999</c:v>
                </c:pt>
                <c:pt idx="1">
                  <c:v>-2.5651000000000002</c:v>
                </c:pt>
                <c:pt idx="2">
                  <c:v>-1.782</c:v>
                </c:pt>
                <c:pt idx="3">
                  <c:v>-1.6911</c:v>
                </c:pt>
                <c:pt idx="4">
                  <c:v>-1.6500999999999999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07E-294F-8E42-03CC0B2B8FB1}"/>
            </c:ext>
          </c:extLst>
        </c:ser>
        <c:ser>
          <c:idx val="1"/>
          <c:order val="1"/>
          <c:tx>
            <c:strRef>
              <c:f>Calibration!$I$1</c:f>
              <c:strCache>
                <c:ptCount val="1"/>
                <c:pt idx="0">
                  <c:v>DK1 ex-2022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Calibration!$I$2:$I$6</c:f>
              <c:numCache>
                <c:formatCode>General</c:formatCode>
                <c:ptCount val="5"/>
                <c:pt idx="0">
                  <c:v>-2.7732000000000001</c:v>
                </c:pt>
                <c:pt idx="1">
                  <c:v>-2.3519000000000001</c:v>
                </c:pt>
                <c:pt idx="2">
                  <c:v>-1.8494999999999999</c:v>
                </c:pt>
                <c:pt idx="3">
                  <c:v>-1.8987000000000001</c:v>
                </c:pt>
                <c:pt idx="4">
                  <c:v>-1.8872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07E-294F-8E42-03CC0B2B8FB1}"/>
            </c:ext>
          </c:extLst>
        </c:ser>
        <c:ser>
          <c:idx val="2"/>
          <c:order val="2"/>
          <c:tx>
            <c:strRef>
              <c:f>Calibration!$J$1</c:f>
              <c:strCache>
                <c:ptCount val="1"/>
                <c:pt idx="0">
                  <c:v>DK1 post-crisis</c:v>
                </c:pt>
              </c:strCache>
            </c:strRef>
          </c:tx>
          <c:spPr>
            <a:ln>
              <a:solidFill>
                <a:srgbClr val="70AD47"/>
              </a:solidFill>
              <a:prstDash val="solid"/>
            </a:ln>
          </c:spPr>
          <c:marker>
            <c:symbol val="none"/>
          </c:marker>
          <c:val>
            <c:numRef>
              <c:f>Calibration!$J$2:$J$6</c:f>
              <c:numCache>
                <c:formatCode>General</c:formatCode>
                <c:ptCount val="5"/>
                <c:pt idx="0">
                  <c:v>-3.4350000000000001</c:v>
                </c:pt>
                <c:pt idx="1">
                  <c:v>-3.4777</c:v>
                </c:pt>
                <c:pt idx="2">
                  <c:v>-2.6638999999999999</c:v>
                </c:pt>
                <c:pt idx="3">
                  <c:v>-3.0968</c:v>
                </c:pt>
                <c:pt idx="4">
                  <c:v>-2.9904000000000002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07E-294F-8E42-03CC0B2B8FB1}"/>
            </c:ext>
          </c:extLst>
        </c:ser>
        <c:ser>
          <c:idx val="3"/>
          <c:order val="3"/>
          <c:tx>
            <c:strRef>
              <c:f>Calibration!$K$1</c:f>
              <c:strCache>
                <c:ptCount val="1"/>
                <c:pt idx="0">
                  <c:v>CV 5%</c:v>
                </c:pt>
              </c:strCache>
            </c:strRef>
          </c:tx>
          <c:spPr>
            <a:ln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Calibration!$K$2:$K$6</c:f>
              <c:numCache>
                <c:formatCode>General</c:formatCode>
                <c:ptCount val="5"/>
                <c:pt idx="0">
                  <c:v>-2.89</c:v>
                </c:pt>
                <c:pt idx="1">
                  <c:v>-2.89</c:v>
                </c:pt>
                <c:pt idx="2">
                  <c:v>-2.89</c:v>
                </c:pt>
                <c:pt idx="3">
                  <c:v>-2.89</c:v>
                </c:pt>
                <c:pt idx="4">
                  <c:v>-2.89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07E-294F-8E42-03CC0B2B8F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Lags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ADF t-statistic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0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DK1 ADF t-statistics by Number of Lags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Calibration!$H$1</c:f>
              <c:strCache>
                <c:ptCount val="1"/>
                <c:pt idx="0">
                  <c:v>DK1 Full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Calibration!$H$2:$H$6</c:f>
              <c:numCache>
                <c:formatCode>General</c:formatCode>
                <c:ptCount val="5"/>
                <c:pt idx="0">
                  <c:v>-2.7048999999999999</c:v>
                </c:pt>
                <c:pt idx="1">
                  <c:v>-2.5651000000000002</c:v>
                </c:pt>
                <c:pt idx="2">
                  <c:v>-1.782</c:v>
                </c:pt>
                <c:pt idx="3">
                  <c:v>-1.6911</c:v>
                </c:pt>
                <c:pt idx="4">
                  <c:v>-1.6500999999999999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75F-314D-A210-4B017ED40088}"/>
            </c:ext>
          </c:extLst>
        </c:ser>
        <c:ser>
          <c:idx val="1"/>
          <c:order val="1"/>
          <c:tx>
            <c:strRef>
              <c:f>Calibration!$I$1</c:f>
              <c:strCache>
                <c:ptCount val="1"/>
                <c:pt idx="0">
                  <c:v>DK1 ex-2022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Calibration!$I$2:$I$6</c:f>
              <c:numCache>
                <c:formatCode>General</c:formatCode>
                <c:ptCount val="5"/>
                <c:pt idx="0">
                  <c:v>-2.7732000000000001</c:v>
                </c:pt>
                <c:pt idx="1">
                  <c:v>-2.3519000000000001</c:v>
                </c:pt>
                <c:pt idx="2">
                  <c:v>-1.8494999999999999</c:v>
                </c:pt>
                <c:pt idx="3">
                  <c:v>-1.8987000000000001</c:v>
                </c:pt>
                <c:pt idx="4">
                  <c:v>-1.8872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75F-314D-A210-4B017ED40088}"/>
            </c:ext>
          </c:extLst>
        </c:ser>
        <c:ser>
          <c:idx val="2"/>
          <c:order val="2"/>
          <c:tx>
            <c:strRef>
              <c:f>Calibration!$J$1</c:f>
              <c:strCache>
                <c:ptCount val="1"/>
                <c:pt idx="0">
                  <c:v>DK1 post-crisis</c:v>
                </c:pt>
              </c:strCache>
            </c:strRef>
          </c:tx>
          <c:spPr>
            <a:ln>
              <a:solidFill>
                <a:srgbClr val="70AD47"/>
              </a:solidFill>
              <a:prstDash val="solid"/>
            </a:ln>
          </c:spPr>
          <c:marker>
            <c:symbol val="none"/>
          </c:marker>
          <c:val>
            <c:numRef>
              <c:f>Calibration!$J$2:$J$6</c:f>
              <c:numCache>
                <c:formatCode>General</c:formatCode>
                <c:ptCount val="5"/>
                <c:pt idx="0">
                  <c:v>-3.4350000000000001</c:v>
                </c:pt>
                <c:pt idx="1">
                  <c:v>-3.4777</c:v>
                </c:pt>
                <c:pt idx="2">
                  <c:v>-2.6638999999999999</c:v>
                </c:pt>
                <c:pt idx="3">
                  <c:v>-3.0968</c:v>
                </c:pt>
                <c:pt idx="4">
                  <c:v>-2.9904000000000002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875F-314D-A210-4B017ED40088}"/>
            </c:ext>
          </c:extLst>
        </c:ser>
        <c:ser>
          <c:idx val="3"/>
          <c:order val="3"/>
          <c:tx>
            <c:strRef>
              <c:f>Calibration!$K$1</c:f>
              <c:strCache>
                <c:ptCount val="1"/>
                <c:pt idx="0">
                  <c:v>CV 5%</c:v>
                </c:pt>
              </c:strCache>
            </c:strRef>
          </c:tx>
          <c:spPr>
            <a:ln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Calibration!$K$2:$K$6</c:f>
              <c:numCache>
                <c:formatCode>General</c:formatCode>
                <c:ptCount val="5"/>
                <c:pt idx="0">
                  <c:v>-2.89</c:v>
                </c:pt>
                <c:pt idx="1">
                  <c:v>-2.89</c:v>
                </c:pt>
                <c:pt idx="2">
                  <c:v>-2.89</c:v>
                </c:pt>
                <c:pt idx="3">
                  <c:v>-2.89</c:v>
                </c:pt>
                <c:pt idx="4">
                  <c:v>-2.89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875F-314D-A210-4B017ED400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Lags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ADF t-statistic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0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DK1 ADF t-statistics by Number of Lags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Calibration!$H$1</c:f>
              <c:strCache>
                <c:ptCount val="1"/>
                <c:pt idx="0">
                  <c:v>DK1 Full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Calibration!$H$2:$H$6</c:f>
              <c:numCache>
                <c:formatCode>General</c:formatCode>
                <c:ptCount val="5"/>
                <c:pt idx="0">
                  <c:v>-2.7048999999999999</c:v>
                </c:pt>
                <c:pt idx="1">
                  <c:v>-2.5651000000000002</c:v>
                </c:pt>
                <c:pt idx="2">
                  <c:v>-1.782</c:v>
                </c:pt>
                <c:pt idx="3">
                  <c:v>-1.6911</c:v>
                </c:pt>
                <c:pt idx="4">
                  <c:v>-1.6500999999999999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DD2-E841-8640-79141227D8AC}"/>
            </c:ext>
          </c:extLst>
        </c:ser>
        <c:ser>
          <c:idx val="1"/>
          <c:order val="1"/>
          <c:tx>
            <c:strRef>
              <c:f>Calibration!$I$1</c:f>
              <c:strCache>
                <c:ptCount val="1"/>
                <c:pt idx="0">
                  <c:v>DK1 ex-2022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Calibration!$I$2:$I$6</c:f>
              <c:numCache>
                <c:formatCode>General</c:formatCode>
                <c:ptCount val="5"/>
                <c:pt idx="0">
                  <c:v>-2.7732000000000001</c:v>
                </c:pt>
                <c:pt idx="1">
                  <c:v>-2.3519000000000001</c:v>
                </c:pt>
                <c:pt idx="2">
                  <c:v>-1.8494999999999999</c:v>
                </c:pt>
                <c:pt idx="3">
                  <c:v>-1.8987000000000001</c:v>
                </c:pt>
                <c:pt idx="4">
                  <c:v>-1.8872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DD2-E841-8640-79141227D8AC}"/>
            </c:ext>
          </c:extLst>
        </c:ser>
        <c:ser>
          <c:idx val="2"/>
          <c:order val="2"/>
          <c:tx>
            <c:strRef>
              <c:f>Calibration!$J$1</c:f>
              <c:strCache>
                <c:ptCount val="1"/>
                <c:pt idx="0">
                  <c:v>DK1 post-crisis</c:v>
                </c:pt>
              </c:strCache>
            </c:strRef>
          </c:tx>
          <c:spPr>
            <a:ln>
              <a:solidFill>
                <a:srgbClr val="70AD47"/>
              </a:solidFill>
              <a:prstDash val="solid"/>
            </a:ln>
          </c:spPr>
          <c:marker>
            <c:symbol val="none"/>
          </c:marker>
          <c:val>
            <c:numRef>
              <c:f>Calibration!$J$2:$J$6</c:f>
              <c:numCache>
                <c:formatCode>General</c:formatCode>
                <c:ptCount val="5"/>
                <c:pt idx="0">
                  <c:v>-3.4350000000000001</c:v>
                </c:pt>
                <c:pt idx="1">
                  <c:v>-3.4777</c:v>
                </c:pt>
                <c:pt idx="2">
                  <c:v>-2.6638999999999999</c:v>
                </c:pt>
                <c:pt idx="3">
                  <c:v>-3.0968</c:v>
                </c:pt>
                <c:pt idx="4">
                  <c:v>-2.9904000000000002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5DD2-E841-8640-79141227D8AC}"/>
            </c:ext>
          </c:extLst>
        </c:ser>
        <c:ser>
          <c:idx val="3"/>
          <c:order val="3"/>
          <c:tx>
            <c:strRef>
              <c:f>Calibration!$K$1</c:f>
              <c:strCache>
                <c:ptCount val="1"/>
                <c:pt idx="0">
                  <c:v>CV 5%</c:v>
                </c:pt>
              </c:strCache>
            </c:strRef>
          </c:tx>
          <c:spPr>
            <a:ln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Calibration!$K$2:$K$6</c:f>
              <c:numCache>
                <c:formatCode>General</c:formatCode>
                <c:ptCount val="5"/>
                <c:pt idx="0">
                  <c:v>-2.89</c:v>
                </c:pt>
                <c:pt idx="1">
                  <c:v>-2.89</c:v>
                </c:pt>
                <c:pt idx="2">
                  <c:v>-2.89</c:v>
                </c:pt>
                <c:pt idx="3">
                  <c:v>-2.89</c:v>
                </c:pt>
                <c:pt idx="4">
                  <c:v>-2.89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5DD2-E841-8640-79141227D8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Lags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ADF t-statistic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0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DK1 ADF t-statistics by Number of Lags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Calibration!$H$1</c:f>
              <c:strCache>
                <c:ptCount val="1"/>
                <c:pt idx="0">
                  <c:v>DK1 Full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Calibration!$H$2:$H$6</c:f>
              <c:numCache>
                <c:formatCode>General</c:formatCode>
                <c:ptCount val="5"/>
                <c:pt idx="0">
                  <c:v>-2.7048999999999999</c:v>
                </c:pt>
                <c:pt idx="1">
                  <c:v>-2.5651000000000002</c:v>
                </c:pt>
                <c:pt idx="2">
                  <c:v>-1.782</c:v>
                </c:pt>
                <c:pt idx="3">
                  <c:v>-1.6911</c:v>
                </c:pt>
                <c:pt idx="4">
                  <c:v>-1.6500999999999999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AB1-514D-AF9E-E73A81F0FB95}"/>
            </c:ext>
          </c:extLst>
        </c:ser>
        <c:ser>
          <c:idx val="1"/>
          <c:order val="1"/>
          <c:tx>
            <c:strRef>
              <c:f>Calibration!$I$1</c:f>
              <c:strCache>
                <c:ptCount val="1"/>
                <c:pt idx="0">
                  <c:v>DK1 ex-2022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Calibration!$I$2:$I$6</c:f>
              <c:numCache>
                <c:formatCode>General</c:formatCode>
                <c:ptCount val="5"/>
                <c:pt idx="0">
                  <c:v>-2.7732000000000001</c:v>
                </c:pt>
                <c:pt idx="1">
                  <c:v>-2.3519000000000001</c:v>
                </c:pt>
                <c:pt idx="2">
                  <c:v>-1.8494999999999999</c:v>
                </c:pt>
                <c:pt idx="3">
                  <c:v>-1.8987000000000001</c:v>
                </c:pt>
                <c:pt idx="4">
                  <c:v>-1.8872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AB1-514D-AF9E-E73A81F0FB95}"/>
            </c:ext>
          </c:extLst>
        </c:ser>
        <c:ser>
          <c:idx val="2"/>
          <c:order val="2"/>
          <c:tx>
            <c:strRef>
              <c:f>Calibration!$J$1</c:f>
              <c:strCache>
                <c:ptCount val="1"/>
                <c:pt idx="0">
                  <c:v>DK1 post-crisis</c:v>
                </c:pt>
              </c:strCache>
            </c:strRef>
          </c:tx>
          <c:spPr>
            <a:ln>
              <a:solidFill>
                <a:srgbClr val="70AD47"/>
              </a:solidFill>
              <a:prstDash val="solid"/>
            </a:ln>
          </c:spPr>
          <c:marker>
            <c:symbol val="none"/>
          </c:marker>
          <c:val>
            <c:numRef>
              <c:f>Calibration!$J$2:$J$6</c:f>
              <c:numCache>
                <c:formatCode>General</c:formatCode>
                <c:ptCount val="5"/>
                <c:pt idx="0">
                  <c:v>-3.4350000000000001</c:v>
                </c:pt>
                <c:pt idx="1">
                  <c:v>-3.4777</c:v>
                </c:pt>
                <c:pt idx="2">
                  <c:v>-2.6638999999999999</c:v>
                </c:pt>
                <c:pt idx="3">
                  <c:v>-3.0968</c:v>
                </c:pt>
                <c:pt idx="4">
                  <c:v>-2.9904000000000002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AB1-514D-AF9E-E73A81F0FB95}"/>
            </c:ext>
          </c:extLst>
        </c:ser>
        <c:ser>
          <c:idx val="3"/>
          <c:order val="3"/>
          <c:tx>
            <c:strRef>
              <c:f>Calibration!$K$1</c:f>
              <c:strCache>
                <c:ptCount val="1"/>
                <c:pt idx="0">
                  <c:v>CV 5%</c:v>
                </c:pt>
              </c:strCache>
            </c:strRef>
          </c:tx>
          <c:spPr>
            <a:ln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Calibration!$K$2:$K$6</c:f>
              <c:numCache>
                <c:formatCode>General</c:formatCode>
                <c:ptCount val="5"/>
                <c:pt idx="0">
                  <c:v>-2.89</c:v>
                </c:pt>
                <c:pt idx="1">
                  <c:v>-2.89</c:v>
                </c:pt>
                <c:pt idx="2">
                  <c:v>-2.89</c:v>
                </c:pt>
                <c:pt idx="3">
                  <c:v>-2.89</c:v>
                </c:pt>
                <c:pt idx="4">
                  <c:v>-2.89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0AB1-514D-AF9E-E73A81F0FB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Lags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ADF t-statistic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0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DK1 ADF t-statistics by Number of Lags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Calibration!$H$1</c:f>
              <c:strCache>
                <c:ptCount val="1"/>
                <c:pt idx="0">
                  <c:v>DK1 Full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Calibration!$H$2:$H$6</c:f>
              <c:numCache>
                <c:formatCode>General</c:formatCode>
                <c:ptCount val="5"/>
                <c:pt idx="0">
                  <c:v>-2.7048999999999999</c:v>
                </c:pt>
                <c:pt idx="1">
                  <c:v>-2.5651000000000002</c:v>
                </c:pt>
                <c:pt idx="2">
                  <c:v>-1.782</c:v>
                </c:pt>
                <c:pt idx="3">
                  <c:v>-1.6911</c:v>
                </c:pt>
                <c:pt idx="4">
                  <c:v>-1.6500999999999999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58A-8146-96BD-63CCEA1011FA}"/>
            </c:ext>
          </c:extLst>
        </c:ser>
        <c:ser>
          <c:idx val="1"/>
          <c:order val="1"/>
          <c:tx>
            <c:strRef>
              <c:f>Calibration!$I$1</c:f>
              <c:strCache>
                <c:ptCount val="1"/>
                <c:pt idx="0">
                  <c:v>DK1 ex-2022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Calibration!$I$2:$I$6</c:f>
              <c:numCache>
                <c:formatCode>General</c:formatCode>
                <c:ptCount val="5"/>
                <c:pt idx="0">
                  <c:v>-2.7732000000000001</c:v>
                </c:pt>
                <c:pt idx="1">
                  <c:v>-2.3519000000000001</c:v>
                </c:pt>
                <c:pt idx="2">
                  <c:v>-1.8494999999999999</c:v>
                </c:pt>
                <c:pt idx="3">
                  <c:v>-1.8987000000000001</c:v>
                </c:pt>
                <c:pt idx="4">
                  <c:v>-1.8872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58A-8146-96BD-63CCEA1011FA}"/>
            </c:ext>
          </c:extLst>
        </c:ser>
        <c:ser>
          <c:idx val="2"/>
          <c:order val="2"/>
          <c:tx>
            <c:strRef>
              <c:f>Calibration!$J$1</c:f>
              <c:strCache>
                <c:ptCount val="1"/>
                <c:pt idx="0">
                  <c:v>DK1 post-crisis</c:v>
                </c:pt>
              </c:strCache>
            </c:strRef>
          </c:tx>
          <c:spPr>
            <a:ln>
              <a:solidFill>
                <a:srgbClr val="70AD47"/>
              </a:solidFill>
              <a:prstDash val="solid"/>
            </a:ln>
          </c:spPr>
          <c:marker>
            <c:symbol val="none"/>
          </c:marker>
          <c:val>
            <c:numRef>
              <c:f>Calibration!$J$2:$J$6</c:f>
              <c:numCache>
                <c:formatCode>General</c:formatCode>
                <c:ptCount val="5"/>
                <c:pt idx="0">
                  <c:v>-3.4350000000000001</c:v>
                </c:pt>
                <c:pt idx="1">
                  <c:v>-3.4777</c:v>
                </c:pt>
                <c:pt idx="2">
                  <c:v>-2.6638999999999999</c:v>
                </c:pt>
                <c:pt idx="3">
                  <c:v>-3.0968</c:v>
                </c:pt>
                <c:pt idx="4">
                  <c:v>-2.9904000000000002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58A-8146-96BD-63CCEA1011FA}"/>
            </c:ext>
          </c:extLst>
        </c:ser>
        <c:ser>
          <c:idx val="3"/>
          <c:order val="3"/>
          <c:tx>
            <c:strRef>
              <c:f>Calibration!$K$1</c:f>
              <c:strCache>
                <c:ptCount val="1"/>
                <c:pt idx="0">
                  <c:v>CV 5%</c:v>
                </c:pt>
              </c:strCache>
            </c:strRef>
          </c:tx>
          <c:spPr>
            <a:ln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Calibration!$K$2:$K$6</c:f>
              <c:numCache>
                <c:formatCode>General</c:formatCode>
                <c:ptCount val="5"/>
                <c:pt idx="0">
                  <c:v>-2.89</c:v>
                </c:pt>
                <c:pt idx="1">
                  <c:v>-2.89</c:v>
                </c:pt>
                <c:pt idx="2">
                  <c:v>-2.89</c:v>
                </c:pt>
                <c:pt idx="3">
                  <c:v>-2.89</c:v>
                </c:pt>
                <c:pt idx="4">
                  <c:v>-2.89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058A-8146-96BD-63CCEA1011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Lags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ADF t-statistic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0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DK1 ADF t-statistics by Number of Lags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Calibration!$H$1</c:f>
              <c:strCache>
                <c:ptCount val="1"/>
                <c:pt idx="0">
                  <c:v>DK1 Full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Calibration!$H$2:$H$6</c:f>
              <c:numCache>
                <c:formatCode>General</c:formatCode>
                <c:ptCount val="5"/>
                <c:pt idx="0">
                  <c:v>-2.7048999999999999</c:v>
                </c:pt>
                <c:pt idx="1">
                  <c:v>-2.5651000000000002</c:v>
                </c:pt>
                <c:pt idx="2">
                  <c:v>-1.782</c:v>
                </c:pt>
                <c:pt idx="3">
                  <c:v>-1.6911</c:v>
                </c:pt>
                <c:pt idx="4">
                  <c:v>-1.6500999999999999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6E4-8442-9FC9-BF2CCABD81CE}"/>
            </c:ext>
          </c:extLst>
        </c:ser>
        <c:ser>
          <c:idx val="1"/>
          <c:order val="1"/>
          <c:tx>
            <c:strRef>
              <c:f>Calibration!$I$1</c:f>
              <c:strCache>
                <c:ptCount val="1"/>
                <c:pt idx="0">
                  <c:v>DK1 ex-2022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Calibration!$I$2:$I$6</c:f>
              <c:numCache>
                <c:formatCode>General</c:formatCode>
                <c:ptCount val="5"/>
                <c:pt idx="0">
                  <c:v>-2.7732000000000001</c:v>
                </c:pt>
                <c:pt idx="1">
                  <c:v>-2.3519000000000001</c:v>
                </c:pt>
                <c:pt idx="2">
                  <c:v>-1.8494999999999999</c:v>
                </c:pt>
                <c:pt idx="3">
                  <c:v>-1.8987000000000001</c:v>
                </c:pt>
                <c:pt idx="4">
                  <c:v>-1.8872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6E4-8442-9FC9-BF2CCABD81CE}"/>
            </c:ext>
          </c:extLst>
        </c:ser>
        <c:ser>
          <c:idx val="2"/>
          <c:order val="2"/>
          <c:tx>
            <c:strRef>
              <c:f>Calibration!$J$1</c:f>
              <c:strCache>
                <c:ptCount val="1"/>
                <c:pt idx="0">
                  <c:v>DK1 post-crisis</c:v>
                </c:pt>
              </c:strCache>
            </c:strRef>
          </c:tx>
          <c:spPr>
            <a:ln>
              <a:solidFill>
                <a:srgbClr val="70AD47"/>
              </a:solidFill>
              <a:prstDash val="solid"/>
            </a:ln>
          </c:spPr>
          <c:marker>
            <c:symbol val="none"/>
          </c:marker>
          <c:val>
            <c:numRef>
              <c:f>Calibration!$J$2:$J$6</c:f>
              <c:numCache>
                <c:formatCode>General</c:formatCode>
                <c:ptCount val="5"/>
                <c:pt idx="0">
                  <c:v>-3.4350000000000001</c:v>
                </c:pt>
                <c:pt idx="1">
                  <c:v>-3.4777</c:v>
                </c:pt>
                <c:pt idx="2">
                  <c:v>-2.6638999999999999</c:v>
                </c:pt>
                <c:pt idx="3">
                  <c:v>-3.0968</c:v>
                </c:pt>
                <c:pt idx="4">
                  <c:v>-2.9904000000000002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D6E4-8442-9FC9-BF2CCABD81CE}"/>
            </c:ext>
          </c:extLst>
        </c:ser>
        <c:ser>
          <c:idx val="3"/>
          <c:order val="3"/>
          <c:tx>
            <c:strRef>
              <c:f>Calibration!$K$1</c:f>
              <c:strCache>
                <c:ptCount val="1"/>
                <c:pt idx="0">
                  <c:v>CV 5%</c:v>
                </c:pt>
              </c:strCache>
            </c:strRef>
          </c:tx>
          <c:spPr>
            <a:ln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Calibration!$K$2:$K$6</c:f>
              <c:numCache>
                <c:formatCode>General</c:formatCode>
                <c:ptCount val="5"/>
                <c:pt idx="0">
                  <c:v>-2.89</c:v>
                </c:pt>
                <c:pt idx="1">
                  <c:v>-2.89</c:v>
                </c:pt>
                <c:pt idx="2">
                  <c:v>-2.89</c:v>
                </c:pt>
                <c:pt idx="3">
                  <c:v>-2.89</c:v>
                </c:pt>
                <c:pt idx="4">
                  <c:v>-2.89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D6E4-8442-9FC9-BF2CCABD81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Lags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ADF t-statistic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0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DK1 ADF t-statistics by Number of Lags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Calibration!$H$1</c:f>
              <c:strCache>
                <c:ptCount val="1"/>
                <c:pt idx="0">
                  <c:v>DK1 Full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Calibration!$H$2:$H$6</c:f>
              <c:numCache>
                <c:formatCode>General</c:formatCode>
                <c:ptCount val="5"/>
                <c:pt idx="0">
                  <c:v>-2.7048999999999999</c:v>
                </c:pt>
                <c:pt idx="1">
                  <c:v>-2.5651000000000002</c:v>
                </c:pt>
                <c:pt idx="2">
                  <c:v>-1.782</c:v>
                </c:pt>
                <c:pt idx="3">
                  <c:v>-1.6911</c:v>
                </c:pt>
                <c:pt idx="4">
                  <c:v>-1.6500999999999999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775-FD46-A099-7BE964FC9109}"/>
            </c:ext>
          </c:extLst>
        </c:ser>
        <c:ser>
          <c:idx val="1"/>
          <c:order val="1"/>
          <c:tx>
            <c:strRef>
              <c:f>Calibration!$I$1</c:f>
              <c:strCache>
                <c:ptCount val="1"/>
                <c:pt idx="0">
                  <c:v>DK1 ex-2022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Calibration!$I$2:$I$6</c:f>
              <c:numCache>
                <c:formatCode>General</c:formatCode>
                <c:ptCount val="5"/>
                <c:pt idx="0">
                  <c:v>-2.7732000000000001</c:v>
                </c:pt>
                <c:pt idx="1">
                  <c:v>-2.3519000000000001</c:v>
                </c:pt>
                <c:pt idx="2">
                  <c:v>-1.8494999999999999</c:v>
                </c:pt>
                <c:pt idx="3">
                  <c:v>-1.8987000000000001</c:v>
                </c:pt>
                <c:pt idx="4">
                  <c:v>-1.8872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775-FD46-A099-7BE964FC9109}"/>
            </c:ext>
          </c:extLst>
        </c:ser>
        <c:ser>
          <c:idx val="2"/>
          <c:order val="2"/>
          <c:tx>
            <c:strRef>
              <c:f>Calibration!$J$1</c:f>
              <c:strCache>
                <c:ptCount val="1"/>
                <c:pt idx="0">
                  <c:v>DK1 post-crisis</c:v>
                </c:pt>
              </c:strCache>
            </c:strRef>
          </c:tx>
          <c:spPr>
            <a:ln>
              <a:solidFill>
                <a:srgbClr val="70AD47"/>
              </a:solidFill>
              <a:prstDash val="solid"/>
            </a:ln>
          </c:spPr>
          <c:marker>
            <c:symbol val="none"/>
          </c:marker>
          <c:val>
            <c:numRef>
              <c:f>Calibration!$J$2:$J$6</c:f>
              <c:numCache>
                <c:formatCode>General</c:formatCode>
                <c:ptCount val="5"/>
                <c:pt idx="0">
                  <c:v>-3.4350000000000001</c:v>
                </c:pt>
                <c:pt idx="1">
                  <c:v>-3.4777</c:v>
                </c:pt>
                <c:pt idx="2">
                  <c:v>-2.6638999999999999</c:v>
                </c:pt>
                <c:pt idx="3">
                  <c:v>-3.0968</c:v>
                </c:pt>
                <c:pt idx="4">
                  <c:v>-2.9904000000000002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1775-FD46-A099-7BE964FC9109}"/>
            </c:ext>
          </c:extLst>
        </c:ser>
        <c:ser>
          <c:idx val="3"/>
          <c:order val="3"/>
          <c:tx>
            <c:strRef>
              <c:f>Calibration!$K$1</c:f>
              <c:strCache>
                <c:ptCount val="1"/>
                <c:pt idx="0">
                  <c:v>CV 5%</c:v>
                </c:pt>
              </c:strCache>
            </c:strRef>
          </c:tx>
          <c:spPr>
            <a:ln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Calibration!$K$2:$K$6</c:f>
              <c:numCache>
                <c:formatCode>General</c:formatCode>
                <c:ptCount val="5"/>
                <c:pt idx="0">
                  <c:v>-2.89</c:v>
                </c:pt>
                <c:pt idx="1">
                  <c:v>-2.89</c:v>
                </c:pt>
                <c:pt idx="2">
                  <c:v>-2.89</c:v>
                </c:pt>
                <c:pt idx="3">
                  <c:v>-2.89</c:v>
                </c:pt>
                <c:pt idx="4">
                  <c:v>-2.89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1775-FD46-A099-7BE964FC91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Lags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ADF t-statistic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DK1 ADF t-statistics by Number of Lags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Calibration!$H$1</c:f>
              <c:strCache>
                <c:ptCount val="1"/>
                <c:pt idx="0">
                  <c:v>DK1 Full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Calibration!$H$2:$H$6</c:f>
              <c:numCache>
                <c:formatCode>General</c:formatCode>
                <c:ptCount val="5"/>
                <c:pt idx="0">
                  <c:v>-2.7048999999999999</c:v>
                </c:pt>
                <c:pt idx="1">
                  <c:v>-2.5651000000000002</c:v>
                </c:pt>
                <c:pt idx="2">
                  <c:v>-1.782</c:v>
                </c:pt>
                <c:pt idx="3">
                  <c:v>-1.6911</c:v>
                </c:pt>
                <c:pt idx="4">
                  <c:v>-1.6500999999999999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936-0948-8FC2-30C1BCC8A256}"/>
            </c:ext>
          </c:extLst>
        </c:ser>
        <c:ser>
          <c:idx val="1"/>
          <c:order val="1"/>
          <c:tx>
            <c:strRef>
              <c:f>Calibration!$I$1</c:f>
              <c:strCache>
                <c:ptCount val="1"/>
                <c:pt idx="0">
                  <c:v>DK1 ex-2022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Calibration!$I$2:$I$6</c:f>
              <c:numCache>
                <c:formatCode>General</c:formatCode>
                <c:ptCount val="5"/>
                <c:pt idx="0">
                  <c:v>-2.7732000000000001</c:v>
                </c:pt>
                <c:pt idx="1">
                  <c:v>-2.3519000000000001</c:v>
                </c:pt>
                <c:pt idx="2">
                  <c:v>-1.8494999999999999</c:v>
                </c:pt>
                <c:pt idx="3">
                  <c:v>-1.8987000000000001</c:v>
                </c:pt>
                <c:pt idx="4">
                  <c:v>-1.8872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936-0948-8FC2-30C1BCC8A256}"/>
            </c:ext>
          </c:extLst>
        </c:ser>
        <c:ser>
          <c:idx val="2"/>
          <c:order val="2"/>
          <c:tx>
            <c:strRef>
              <c:f>Calibration!$J$1</c:f>
              <c:strCache>
                <c:ptCount val="1"/>
                <c:pt idx="0">
                  <c:v>DK1 post-crisis</c:v>
                </c:pt>
              </c:strCache>
            </c:strRef>
          </c:tx>
          <c:spPr>
            <a:ln>
              <a:solidFill>
                <a:srgbClr val="70AD47"/>
              </a:solidFill>
              <a:prstDash val="solid"/>
            </a:ln>
          </c:spPr>
          <c:marker>
            <c:symbol val="none"/>
          </c:marker>
          <c:val>
            <c:numRef>
              <c:f>Calibration!$J$2:$J$6</c:f>
              <c:numCache>
                <c:formatCode>General</c:formatCode>
                <c:ptCount val="5"/>
                <c:pt idx="0">
                  <c:v>-3.4350000000000001</c:v>
                </c:pt>
                <c:pt idx="1">
                  <c:v>-3.4777</c:v>
                </c:pt>
                <c:pt idx="2">
                  <c:v>-2.6638999999999999</c:v>
                </c:pt>
                <c:pt idx="3">
                  <c:v>-3.0968</c:v>
                </c:pt>
                <c:pt idx="4">
                  <c:v>-2.9904000000000002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5936-0948-8FC2-30C1BCC8A256}"/>
            </c:ext>
          </c:extLst>
        </c:ser>
        <c:ser>
          <c:idx val="3"/>
          <c:order val="3"/>
          <c:tx>
            <c:strRef>
              <c:f>Calibration!$K$1</c:f>
              <c:strCache>
                <c:ptCount val="1"/>
                <c:pt idx="0">
                  <c:v>CV 5%</c:v>
                </c:pt>
              </c:strCache>
            </c:strRef>
          </c:tx>
          <c:spPr>
            <a:ln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Calibration!$K$2:$K$6</c:f>
              <c:numCache>
                <c:formatCode>General</c:formatCode>
                <c:ptCount val="5"/>
                <c:pt idx="0">
                  <c:v>-2.89</c:v>
                </c:pt>
                <c:pt idx="1">
                  <c:v>-2.89</c:v>
                </c:pt>
                <c:pt idx="2">
                  <c:v>-2.89</c:v>
                </c:pt>
                <c:pt idx="3">
                  <c:v>-2.89</c:v>
                </c:pt>
                <c:pt idx="4">
                  <c:v>-2.89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5936-0948-8FC2-30C1BCC8A2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Lags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ADF t-statistic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P50/P90/P99 at Key Project Horizons — DK1 Primary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Simulation!$L$2</c:f>
              <c:strCache>
                <c:ptCount val="1"/>
                <c:pt idx="0">
                  <c:v>P50</c:v>
                </c:pt>
              </c:strCache>
            </c:strRef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Simulation!$L$3:$L$7</c:f>
              <c:numCache>
                <c:formatCode>General</c:formatCode>
                <c:ptCount val="5"/>
                <c:pt idx="0">
                  <c:v>62.42</c:v>
                </c:pt>
                <c:pt idx="1">
                  <c:v>60.67</c:v>
                </c:pt>
                <c:pt idx="2">
                  <c:v>58.52</c:v>
                </c:pt>
                <c:pt idx="3">
                  <c:v>57.43</c:v>
                </c:pt>
                <c:pt idx="4">
                  <c:v>54.79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3A3-B44E-AB07-C812E55F37A5}"/>
            </c:ext>
          </c:extLst>
        </c:ser>
        <c:ser>
          <c:idx val="1"/>
          <c:order val="1"/>
          <c:tx>
            <c:strRef>
              <c:f>Simulation!$M$2</c:f>
              <c:strCache>
                <c:ptCount val="1"/>
                <c:pt idx="0">
                  <c:v>P90</c:v>
                </c:pt>
              </c:strCache>
            </c:strRef>
          </c:tx>
          <c:spPr>
            <a:solidFill>
              <a:srgbClr val="FF8C00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Simulation!$M$3:$M$7</c:f>
              <c:numCache>
                <c:formatCode>General</c:formatCode>
                <c:ptCount val="5"/>
                <c:pt idx="0">
                  <c:v>19.97</c:v>
                </c:pt>
                <c:pt idx="1">
                  <c:v>18.27</c:v>
                </c:pt>
                <c:pt idx="2">
                  <c:v>16.52</c:v>
                </c:pt>
                <c:pt idx="3">
                  <c:v>14.71</c:v>
                </c:pt>
                <c:pt idx="4">
                  <c:v>12.55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63A3-B44E-AB07-C812E55F37A5}"/>
            </c:ext>
          </c:extLst>
        </c:ser>
        <c:ser>
          <c:idx val="2"/>
          <c:order val="2"/>
          <c:tx>
            <c:strRef>
              <c:f>Simulation!$N$2</c:f>
              <c:strCache>
                <c:ptCount val="1"/>
                <c:pt idx="0">
                  <c:v>P99</c:v>
                </c:pt>
              </c:strCache>
            </c:strRef>
          </c:tx>
          <c:spPr>
            <a:solidFill>
              <a:srgbClr val="C00000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Simulation!$N$3:$N$7</c:f>
              <c:numCache>
                <c:formatCode>General</c:formatCode>
                <c:ptCount val="5"/>
                <c:pt idx="0">
                  <c:v>-14.85</c:v>
                </c:pt>
                <c:pt idx="1">
                  <c:v>-17.66</c:v>
                </c:pt>
                <c:pt idx="2">
                  <c:v>-15.45</c:v>
                </c:pt>
                <c:pt idx="3">
                  <c:v>-19.55</c:v>
                </c:pt>
                <c:pt idx="4">
                  <c:v>-22.5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63A3-B44E-AB07-C812E55F37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Project Year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Capture Price (EUR/MWh)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P50/P90/P99 at Key Project Horizons — DK1 Primary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Simulation!$L$2</c:f>
              <c:strCache>
                <c:ptCount val="1"/>
                <c:pt idx="0">
                  <c:v>P50</c:v>
                </c:pt>
              </c:strCache>
            </c:strRef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Simulation!$L$3:$L$7</c:f>
              <c:numCache>
                <c:formatCode>General</c:formatCode>
                <c:ptCount val="5"/>
                <c:pt idx="0">
                  <c:v>62.42</c:v>
                </c:pt>
                <c:pt idx="1">
                  <c:v>60.67</c:v>
                </c:pt>
                <c:pt idx="2">
                  <c:v>58.52</c:v>
                </c:pt>
                <c:pt idx="3">
                  <c:v>57.43</c:v>
                </c:pt>
                <c:pt idx="4">
                  <c:v>54.79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CB0-EF43-A678-C903AA998C88}"/>
            </c:ext>
          </c:extLst>
        </c:ser>
        <c:ser>
          <c:idx val="1"/>
          <c:order val="1"/>
          <c:tx>
            <c:strRef>
              <c:f>Simulation!$M$2</c:f>
              <c:strCache>
                <c:ptCount val="1"/>
                <c:pt idx="0">
                  <c:v>P90</c:v>
                </c:pt>
              </c:strCache>
            </c:strRef>
          </c:tx>
          <c:spPr>
            <a:solidFill>
              <a:srgbClr val="FF8C00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Simulation!$M$3:$M$7</c:f>
              <c:numCache>
                <c:formatCode>General</c:formatCode>
                <c:ptCount val="5"/>
                <c:pt idx="0">
                  <c:v>19.97</c:v>
                </c:pt>
                <c:pt idx="1">
                  <c:v>18.27</c:v>
                </c:pt>
                <c:pt idx="2">
                  <c:v>16.52</c:v>
                </c:pt>
                <c:pt idx="3">
                  <c:v>14.71</c:v>
                </c:pt>
                <c:pt idx="4">
                  <c:v>12.55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6CB0-EF43-A678-C903AA998C88}"/>
            </c:ext>
          </c:extLst>
        </c:ser>
        <c:ser>
          <c:idx val="2"/>
          <c:order val="2"/>
          <c:tx>
            <c:strRef>
              <c:f>Simulation!$N$2</c:f>
              <c:strCache>
                <c:ptCount val="1"/>
                <c:pt idx="0">
                  <c:v>P99</c:v>
                </c:pt>
              </c:strCache>
            </c:strRef>
          </c:tx>
          <c:spPr>
            <a:solidFill>
              <a:srgbClr val="C00000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Simulation!$N$3:$N$7</c:f>
              <c:numCache>
                <c:formatCode>General</c:formatCode>
                <c:ptCount val="5"/>
                <c:pt idx="0">
                  <c:v>-14.85</c:v>
                </c:pt>
                <c:pt idx="1">
                  <c:v>-17.66</c:v>
                </c:pt>
                <c:pt idx="2">
                  <c:v>-15.45</c:v>
                </c:pt>
                <c:pt idx="3">
                  <c:v>-19.55</c:v>
                </c:pt>
                <c:pt idx="4">
                  <c:v>-22.5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6CB0-EF43-A678-C903AA998C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Project Year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Capture Price (EUR/MWh)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P50/P90/P99 at Key Project Horizons — DK1 Primary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Simulation!$L$2</c:f>
              <c:strCache>
                <c:ptCount val="1"/>
                <c:pt idx="0">
                  <c:v>P50</c:v>
                </c:pt>
              </c:strCache>
            </c:strRef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Simulation!$L$3:$L$7</c:f>
              <c:numCache>
                <c:formatCode>General</c:formatCode>
                <c:ptCount val="5"/>
                <c:pt idx="0">
                  <c:v>62.42</c:v>
                </c:pt>
                <c:pt idx="1">
                  <c:v>60.67</c:v>
                </c:pt>
                <c:pt idx="2">
                  <c:v>58.52</c:v>
                </c:pt>
                <c:pt idx="3">
                  <c:v>57.43</c:v>
                </c:pt>
                <c:pt idx="4">
                  <c:v>54.79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CFC1-3549-B784-CB229AB21AB5}"/>
            </c:ext>
          </c:extLst>
        </c:ser>
        <c:ser>
          <c:idx val="1"/>
          <c:order val="1"/>
          <c:tx>
            <c:strRef>
              <c:f>Simulation!$M$2</c:f>
              <c:strCache>
                <c:ptCount val="1"/>
                <c:pt idx="0">
                  <c:v>P90</c:v>
                </c:pt>
              </c:strCache>
            </c:strRef>
          </c:tx>
          <c:spPr>
            <a:solidFill>
              <a:srgbClr val="FF8C00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Simulation!$M$3:$M$7</c:f>
              <c:numCache>
                <c:formatCode>General</c:formatCode>
                <c:ptCount val="5"/>
                <c:pt idx="0">
                  <c:v>19.97</c:v>
                </c:pt>
                <c:pt idx="1">
                  <c:v>18.27</c:v>
                </c:pt>
                <c:pt idx="2">
                  <c:v>16.52</c:v>
                </c:pt>
                <c:pt idx="3">
                  <c:v>14.71</c:v>
                </c:pt>
                <c:pt idx="4">
                  <c:v>12.55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CFC1-3549-B784-CB229AB21AB5}"/>
            </c:ext>
          </c:extLst>
        </c:ser>
        <c:ser>
          <c:idx val="2"/>
          <c:order val="2"/>
          <c:tx>
            <c:strRef>
              <c:f>Simulation!$N$2</c:f>
              <c:strCache>
                <c:ptCount val="1"/>
                <c:pt idx="0">
                  <c:v>P99</c:v>
                </c:pt>
              </c:strCache>
            </c:strRef>
          </c:tx>
          <c:spPr>
            <a:solidFill>
              <a:srgbClr val="C00000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Simulation!$N$3:$N$7</c:f>
              <c:numCache>
                <c:formatCode>General</c:formatCode>
                <c:ptCount val="5"/>
                <c:pt idx="0">
                  <c:v>-14.85</c:v>
                </c:pt>
                <c:pt idx="1">
                  <c:v>-17.66</c:v>
                </c:pt>
                <c:pt idx="2">
                  <c:v>-15.45</c:v>
                </c:pt>
                <c:pt idx="3">
                  <c:v>-19.55</c:v>
                </c:pt>
                <c:pt idx="4">
                  <c:v>-22.5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CFC1-3549-B784-CB229AB21A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Project Year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Capture Price (EUR/MWh)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P50/P90/P99 at Key Project Horizons — DK1 Primary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Simulation!$L$2</c:f>
              <c:strCache>
                <c:ptCount val="1"/>
                <c:pt idx="0">
                  <c:v>P50</c:v>
                </c:pt>
              </c:strCache>
            </c:strRef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Simulation!$L$3:$L$7</c:f>
              <c:numCache>
                <c:formatCode>General</c:formatCode>
                <c:ptCount val="5"/>
                <c:pt idx="0">
                  <c:v>62.42</c:v>
                </c:pt>
                <c:pt idx="1">
                  <c:v>60.67</c:v>
                </c:pt>
                <c:pt idx="2">
                  <c:v>58.52</c:v>
                </c:pt>
                <c:pt idx="3">
                  <c:v>57.43</c:v>
                </c:pt>
                <c:pt idx="4">
                  <c:v>54.79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A53C-2347-90A6-3323D695FFC1}"/>
            </c:ext>
          </c:extLst>
        </c:ser>
        <c:ser>
          <c:idx val="1"/>
          <c:order val="1"/>
          <c:tx>
            <c:strRef>
              <c:f>Simulation!$M$2</c:f>
              <c:strCache>
                <c:ptCount val="1"/>
                <c:pt idx="0">
                  <c:v>P90</c:v>
                </c:pt>
              </c:strCache>
            </c:strRef>
          </c:tx>
          <c:spPr>
            <a:solidFill>
              <a:srgbClr val="FF8C00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Simulation!$M$3:$M$7</c:f>
              <c:numCache>
                <c:formatCode>General</c:formatCode>
                <c:ptCount val="5"/>
                <c:pt idx="0">
                  <c:v>19.97</c:v>
                </c:pt>
                <c:pt idx="1">
                  <c:v>18.27</c:v>
                </c:pt>
                <c:pt idx="2">
                  <c:v>16.52</c:v>
                </c:pt>
                <c:pt idx="3">
                  <c:v>14.71</c:v>
                </c:pt>
                <c:pt idx="4">
                  <c:v>12.55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A53C-2347-90A6-3323D695FFC1}"/>
            </c:ext>
          </c:extLst>
        </c:ser>
        <c:ser>
          <c:idx val="2"/>
          <c:order val="2"/>
          <c:tx>
            <c:strRef>
              <c:f>Simulation!$N$2</c:f>
              <c:strCache>
                <c:ptCount val="1"/>
                <c:pt idx="0">
                  <c:v>P99</c:v>
                </c:pt>
              </c:strCache>
            </c:strRef>
          </c:tx>
          <c:spPr>
            <a:solidFill>
              <a:srgbClr val="C00000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Simulation!$N$3:$N$7</c:f>
              <c:numCache>
                <c:formatCode>General</c:formatCode>
                <c:ptCount val="5"/>
                <c:pt idx="0">
                  <c:v>-14.85</c:v>
                </c:pt>
                <c:pt idx="1">
                  <c:v>-17.66</c:v>
                </c:pt>
                <c:pt idx="2">
                  <c:v>-15.45</c:v>
                </c:pt>
                <c:pt idx="3">
                  <c:v>-19.55</c:v>
                </c:pt>
                <c:pt idx="4">
                  <c:v>-22.5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A53C-2347-90A6-3323D695FF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Project Year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Capture Price (EUR/MWh)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P50/P90/P99 at Key Project Horizons — DK1 Primary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Simulation!$L$2</c:f>
              <c:strCache>
                <c:ptCount val="1"/>
                <c:pt idx="0">
                  <c:v>P50</c:v>
                </c:pt>
              </c:strCache>
            </c:strRef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Simulation!$L$3:$L$7</c:f>
              <c:numCache>
                <c:formatCode>General</c:formatCode>
                <c:ptCount val="5"/>
                <c:pt idx="0">
                  <c:v>62.42</c:v>
                </c:pt>
                <c:pt idx="1">
                  <c:v>60.67</c:v>
                </c:pt>
                <c:pt idx="2">
                  <c:v>58.52</c:v>
                </c:pt>
                <c:pt idx="3">
                  <c:v>57.43</c:v>
                </c:pt>
                <c:pt idx="4">
                  <c:v>54.79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419-E64E-A5C2-DADE0E9CB986}"/>
            </c:ext>
          </c:extLst>
        </c:ser>
        <c:ser>
          <c:idx val="1"/>
          <c:order val="1"/>
          <c:tx>
            <c:strRef>
              <c:f>Simulation!$M$2</c:f>
              <c:strCache>
                <c:ptCount val="1"/>
                <c:pt idx="0">
                  <c:v>P90</c:v>
                </c:pt>
              </c:strCache>
            </c:strRef>
          </c:tx>
          <c:spPr>
            <a:solidFill>
              <a:srgbClr val="FF8C00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Simulation!$M$3:$M$7</c:f>
              <c:numCache>
                <c:formatCode>General</c:formatCode>
                <c:ptCount val="5"/>
                <c:pt idx="0">
                  <c:v>19.97</c:v>
                </c:pt>
                <c:pt idx="1">
                  <c:v>18.27</c:v>
                </c:pt>
                <c:pt idx="2">
                  <c:v>16.52</c:v>
                </c:pt>
                <c:pt idx="3">
                  <c:v>14.71</c:v>
                </c:pt>
                <c:pt idx="4">
                  <c:v>12.55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419-E64E-A5C2-DADE0E9CB986}"/>
            </c:ext>
          </c:extLst>
        </c:ser>
        <c:ser>
          <c:idx val="2"/>
          <c:order val="2"/>
          <c:tx>
            <c:strRef>
              <c:f>Simulation!$N$2</c:f>
              <c:strCache>
                <c:ptCount val="1"/>
                <c:pt idx="0">
                  <c:v>P99</c:v>
                </c:pt>
              </c:strCache>
            </c:strRef>
          </c:tx>
          <c:spPr>
            <a:solidFill>
              <a:srgbClr val="C00000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Simulation!$N$3:$N$7</c:f>
              <c:numCache>
                <c:formatCode>General</c:formatCode>
                <c:ptCount val="5"/>
                <c:pt idx="0">
                  <c:v>-14.85</c:v>
                </c:pt>
                <c:pt idx="1">
                  <c:v>-17.66</c:v>
                </c:pt>
                <c:pt idx="2">
                  <c:v>-15.45</c:v>
                </c:pt>
                <c:pt idx="3">
                  <c:v>-19.55</c:v>
                </c:pt>
                <c:pt idx="4">
                  <c:v>-22.5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419-E64E-A5C2-DADE0E9CB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Project Year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Capture Price (EUR/MWh)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P50/P90/P99 at Key Project Horizons — DK1 Primary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Simulation!$L$2</c:f>
              <c:strCache>
                <c:ptCount val="1"/>
                <c:pt idx="0">
                  <c:v>P50</c:v>
                </c:pt>
              </c:strCache>
            </c:strRef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Simulation!$L$3:$L$7</c:f>
              <c:numCache>
                <c:formatCode>General</c:formatCode>
                <c:ptCount val="5"/>
                <c:pt idx="0">
                  <c:v>62.42</c:v>
                </c:pt>
                <c:pt idx="1">
                  <c:v>60.67</c:v>
                </c:pt>
                <c:pt idx="2">
                  <c:v>58.52</c:v>
                </c:pt>
                <c:pt idx="3">
                  <c:v>57.43</c:v>
                </c:pt>
                <c:pt idx="4">
                  <c:v>54.79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C857-8C48-B0A4-37F471F6D98D}"/>
            </c:ext>
          </c:extLst>
        </c:ser>
        <c:ser>
          <c:idx val="1"/>
          <c:order val="1"/>
          <c:tx>
            <c:strRef>
              <c:f>Simulation!$M$2</c:f>
              <c:strCache>
                <c:ptCount val="1"/>
                <c:pt idx="0">
                  <c:v>P90</c:v>
                </c:pt>
              </c:strCache>
            </c:strRef>
          </c:tx>
          <c:spPr>
            <a:solidFill>
              <a:srgbClr val="FF8C00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Simulation!$M$3:$M$7</c:f>
              <c:numCache>
                <c:formatCode>General</c:formatCode>
                <c:ptCount val="5"/>
                <c:pt idx="0">
                  <c:v>19.97</c:v>
                </c:pt>
                <c:pt idx="1">
                  <c:v>18.27</c:v>
                </c:pt>
                <c:pt idx="2">
                  <c:v>16.52</c:v>
                </c:pt>
                <c:pt idx="3">
                  <c:v>14.71</c:v>
                </c:pt>
                <c:pt idx="4">
                  <c:v>12.55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C857-8C48-B0A4-37F471F6D98D}"/>
            </c:ext>
          </c:extLst>
        </c:ser>
        <c:ser>
          <c:idx val="2"/>
          <c:order val="2"/>
          <c:tx>
            <c:strRef>
              <c:f>Simulation!$N$2</c:f>
              <c:strCache>
                <c:ptCount val="1"/>
                <c:pt idx="0">
                  <c:v>P99</c:v>
                </c:pt>
              </c:strCache>
            </c:strRef>
          </c:tx>
          <c:spPr>
            <a:solidFill>
              <a:srgbClr val="C00000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Simulation!$N$3:$N$7</c:f>
              <c:numCache>
                <c:formatCode>General</c:formatCode>
                <c:ptCount val="5"/>
                <c:pt idx="0">
                  <c:v>-14.85</c:v>
                </c:pt>
                <c:pt idx="1">
                  <c:v>-17.66</c:v>
                </c:pt>
                <c:pt idx="2">
                  <c:v>-15.45</c:v>
                </c:pt>
                <c:pt idx="3">
                  <c:v>-19.55</c:v>
                </c:pt>
                <c:pt idx="4">
                  <c:v>-22.5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C857-8C48-B0A4-37F471F6D9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Project Year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Capture Price (EUR/MWh)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P50/P90/P99 at Key Project Horizons — DK1 Primary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Simulation!$L$2</c:f>
              <c:strCache>
                <c:ptCount val="1"/>
                <c:pt idx="0">
                  <c:v>P50</c:v>
                </c:pt>
              </c:strCache>
            </c:strRef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Simulation!$L$3:$L$7</c:f>
              <c:numCache>
                <c:formatCode>General</c:formatCode>
                <c:ptCount val="5"/>
                <c:pt idx="0">
                  <c:v>62.42</c:v>
                </c:pt>
                <c:pt idx="1">
                  <c:v>60.67</c:v>
                </c:pt>
                <c:pt idx="2">
                  <c:v>58.52</c:v>
                </c:pt>
                <c:pt idx="3">
                  <c:v>57.43</c:v>
                </c:pt>
                <c:pt idx="4">
                  <c:v>54.79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1A85-6C49-BCD0-9162DAAA3871}"/>
            </c:ext>
          </c:extLst>
        </c:ser>
        <c:ser>
          <c:idx val="1"/>
          <c:order val="1"/>
          <c:tx>
            <c:strRef>
              <c:f>Simulation!$M$2</c:f>
              <c:strCache>
                <c:ptCount val="1"/>
                <c:pt idx="0">
                  <c:v>P90</c:v>
                </c:pt>
              </c:strCache>
            </c:strRef>
          </c:tx>
          <c:spPr>
            <a:solidFill>
              <a:srgbClr val="FF8C00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Simulation!$M$3:$M$7</c:f>
              <c:numCache>
                <c:formatCode>General</c:formatCode>
                <c:ptCount val="5"/>
                <c:pt idx="0">
                  <c:v>19.97</c:v>
                </c:pt>
                <c:pt idx="1">
                  <c:v>18.27</c:v>
                </c:pt>
                <c:pt idx="2">
                  <c:v>16.52</c:v>
                </c:pt>
                <c:pt idx="3">
                  <c:v>14.71</c:v>
                </c:pt>
                <c:pt idx="4">
                  <c:v>12.55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1A85-6C49-BCD0-9162DAAA3871}"/>
            </c:ext>
          </c:extLst>
        </c:ser>
        <c:ser>
          <c:idx val="2"/>
          <c:order val="2"/>
          <c:tx>
            <c:strRef>
              <c:f>Simulation!$N$2</c:f>
              <c:strCache>
                <c:ptCount val="1"/>
                <c:pt idx="0">
                  <c:v>P99</c:v>
                </c:pt>
              </c:strCache>
            </c:strRef>
          </c:tx>
          <c:spPr>
            <a:solidFill>
              <a:srgbClr val="C00000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Simulation!$N$3:$N$7</c:f>
              <c:numCache>
                <c:formatCode>General</c:formatCode>
                <c:ptCount val="5"/>
                <c:pt idx="0">
                  <c:v>-14.85</c:v>
                </c:pt>
                <c:pt idx="1">
                  <c:v>-17.66</c:v>
                </c:pt>
                <c:pt idx="2">
                  <c:v>-15.45</c:v>
                </c:pt>
                <c:pt idx="3">
                  <c:v>-19.55</c:v>
                </c:pt>
                <c:pt idx="4">
                  <c:v>-22.5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1A85-6C49-BCD0-9162DAAA3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Project Year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Capture Price (EUR/MWh)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P50/P90/P99 at Key Project Horizons — DK1 Primary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Simulation!$L$2</c:f>
              <c:strCache>
                <c:ptCount val="1"/>
                <c:pt idx="0">
                  <c:v>P50</c:v>
                </c:pt>
              </c:strCache>
            </c:strRef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Simulation!$L$3:$L$7</c:f>
              <c:numCache>
                <c:formatCode>General</c:formatCode>
                <c:ptCount val="5"/>
                <c:pt idx="0">
                  <c:v>62.42</c:v>
                </c:pt>
                <c:pt idx="1">
                  <c:v>60.67</c:v>
                </c:pt>
                <c:pt idx="2">
                  <c:v>58.52</c:v>
                </c:pt>
                <c:pt idx="3">
                  <c:v>57.43</c:v>
                </c:pt>
                <c:pt idx="4">
                  <c:v>54.79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6BA-874B-81A7-922281EBAF84}"/>
            </c:ext>
          </c:extLst>
        </c:ser>
        <c:ser>
          <c:idx val="1"/>
          <c:order val="1"/>
          <c:tx>
            <c:strRef>
              <c:f>Simulation!$M$2</c:f>
              <c:strCache>
                <c:ptCount val="1"/>
                <c:pt idx="0">
                  <c:v>P90</c:v>
                </c:pt>
              </c:strCache>
            </c:strRef>
          </c:tx>
          <c:spPr>
            <a:solidFill>
              <a:srgbClr val="FF8C00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Simulation!$M$3:$M$7</c:f>
              <c:numCache>
                <c:formatCode>General</c:formatCode>
                <c:ptCount val="5"/>
                <c:pt idx="0">
                  <c:v>19.97</c:v>
                </c:pt>
                <c:pt idx="1">
                  <c:v>18.27</c:v>
                </c:pt>
                <c:pt idx="2">
                  <c:v>16.52</c:v>
                </c:pt>
                <c:pt idx="3">
                  <c:v>14.71</c:v>
                </c:pt>
                <c:pt idx="4">
                  <c:v>12.55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6BA-874B-81A7-922281EBAF84}"/>
            </c:ext>
          </c:extLst>
        </c:ser>
        <c:ser>
          <c:idx val="2"/>
          <c:order val="2"/>
          <c:tx>
            <c:strRef>
              <c:f>Simulation!$N$2</c:f>
              <c:strCache>
                <c:ptCount val="1"/>
                <c:pt idx="0">
                  <c:v>P99</c:v>
                </c:pt>
              </c:strCache>
            </c:strRef>
          </c:tx>
          <c:spPr>
            <a:solidFill>
              <a:srgbClr val="C00000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Simulation!$N$3:$N$7</c:f>
              <c:numCache>
                <c:formatCode>General</c:formatCode>
                <c:ptCount val="5"/>
                <c:pt idx="0">
                  <c:v>-14.85</c:v>
                </c:pt>
                <c:pt idx="1">
                  <c:v>-17.66</c:v>
                </c:pt>
                <c:pt idx="2">
                  <c:v>-15.45</c:v>
                </c:pt>
                <c:pt idx="3">
                  <c:v>-19.55</c:v>
                </c:pt>
                <c:pt idx="4">
                  <c:v>-22.5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46BA-874B-81A7-922281EBAF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Project Year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Capture Price (EUR/MWh)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P50/P90/P99 at Key Project Horizons — DK1 Primary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Simulation!$L$2</c:f>
              <c:strCache>
                <c:ptCount val="1"/>
                <c:pt idx="0">
                  <c:v>P50</c:v>
                </c:pt>
              </c:strCache>
            </c:strRef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Simulation!$L$3:$L$7</c:f>
              <c:numCache>
                <c:formatCode>General</c:formatCode>
                <c:ptCount val="5"/>
                <c:pt idx="0">
                  <c:v>62.42</c:v>
                </c:pt>
                <c:pt idx="1">
                  <c:v>60.67</c:v>
                </c:pt>
                <c:pt idx="2">
                  <c:v>58.52</c:v>
                </c:pt>
                <c:pt idx="3">
                  <c:v>57.43</c:v>
                </c:pt>
                <c:pt idx="4">
                  <c:v>54.79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564C-674D-8568-E37E991E9AF7}"/>
            </c:ext>
          </c:extLst>
        </c:ser>
        <c:ser>
          <c:idx val="1"/>
          <c:order val="1"/>
          <c:tx>
            <c:strRef>
              <c:f>Simulation!$M$2</c:f>
              <c:strCache>
                <c:ptCount val="1"/>
                <c:pt idx="0">
                  <c:v>P90</c:v>
                </c:pt>
              </c:strCache>
            </c:strRef>
          </c:tx>
          <c:spPr>
            <a:solidFill>
              <a:srgbClr val="FF8C00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Simulation!$M$3:$M$7</c:f>
              <c:numCache>
                <c:formatCode>General</c:formatCode>
                <c:ptCount val="5"/>
                <c:pt idx="0">
                  <c:v>19.97</c:v>
                </c:pt>
                <c:pt idx="1">
                  <c:v>18.27</c:v>
                </c:pt>
                <c:pt idx="2">
                  <c:v>16.52</c:v>
                </c:pt>
                <c:pt idx="3">
                  <c:v>14.71</c:v>
                </c:pt>
                <c:pt idx="4">
                  <c:v>12.55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564C-674D-8568-E37E991E9AF7}"/>
            </c:ext>
          </c:extLst>
        </c:ser>
        <c:ser>
          <c:idx val="2"/>
          <c:order val="2"/>
          <c:tx>
            <c:strRef>
              <c:f>Simulation!$N$2</c:f>
              <c:strCache>
                <c:ptCount val="1"/>
                <c:pt idx="0">
                  <c:v>P99</c:v>
                </c:pt>
              </c:strCache>
            </c:strRef>
          </c:tx>
          <c:spPr>
            <a:solidFill>
              <a:srgbClr val="C00000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Simulation!$N$3:$N$7</c:f>
              <c:numCache>
                <c:formatCode>General</c:formatCode>
                <c:ptCount val="5"/>
                <c:pt idx="0">
                  <c:v>-14.85</c:v>
                </c:pt>
                <c:pt idx="1">
                  <c:v>-17.66</c:v>
                </c:pt>
                <c:pt idx="2">
                  <c:v>-15.45</c:v>
                </c:pt>
                <c:pt idx="3">
                  <c:v>-19.55</c:v>
                </c:pt>
                <c:pt idx="4">
                  <c:v>-22.5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564C-674D-8568-E37E991E9A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Project Year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Capture Price (EUR/MWh)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P50/P90/P99 at Key Project Horizons — DK1 Primary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Simulation!$L$2</c:f>
              <c:strCache>
                <c:ptCount val="1"/>
                <c:pt idx="0">
                  <c:v>P50</c:v>
                </c:pt>
              </c:strCache>
            </c:strRef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Simulation!$L$3:$L$7</c:f>
              <c:numCache>
                <c:formatCode>General</c:formatCode>
                <c:ptCount val="5"/>
                <c:pt idx="0">
                  <c:v>62.42</c:v>
                </c:pt>
                <c:pt idx="1">
                  <c:v>60.67</c:v>
                </c:pt>
                <c:pt idx="2">
                  <c:v>58.52</c:v>
                </c:pt>
                <c:pt idx="3">
                  <c:v>57.43</c:v>
                </c:pt>
                <c:pt idx="4">
                  <c:v>54.79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9A4-394A-BAE2-FD38B725F68F}"/>
            </c:ext>
          </c:extLst>
        </c:ser>
        <c:ser>
          <c:idx val="1"/>
          <c:order val="1"/>
          <c:tx>
            <c:strRef>
              <c:f>Simulation!$M$2</c:f>
              <c:strCache>
                <c:ptCount val="1"/>
                <c:pt idx="0">
                  <c:v>P90</c:v>
                </c:pt>
              </c:strCache>
            </c:strRef>
          </c:tx>
          <c:spPr>
            <a:solidFill>
              <a:srgbClr val="FF8C00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Simulation!$M$3:$M$7</c:f>
              <c:numCache>
                <c:formatCode>General</c:formatCode>
                <c:ptCount val="5"/>
                <c:pt idx="0">
                  <c:v>19.97</c:v>
                </c:pt>
                <c:pt idx="1">
                  <c:v>18.27</c:v>
                </c:pt>
                <c:pt idx="2">
                  <c:v>16.52</c:v>
                </c:pt>
                <c:pt idx="3">
                  <c:v>14.71</c:v>
                </c:pt>
                <c:pt idx="4">
                  <c:v>12.55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D9A4-394A-BAE2-FD38B725F68F}"/>
            </c:ext>
          </c:extLst>
        </c:ser>
        <c:ser>
          <c:idx val="2"/>
          <c:order val="2"/>
          <c:tx>
            <c:strRef>
              <c:f>Simulation!$N$2</c:f>
              <c:strCache>
                <c:ptCount val="1"/>
                <c:pt idx="0">
                  <c:v>P99</c:v>
                </c:pt>
              </c:strCache>
            </c:strRef>
          </c:tx>
          <c:spPr>
            <a:solidFill>
              <a:srgbClr val="C00000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Simulation!$N$3:$N$7</c:f>
              <c:numCache>
                <c:formatCode>General</c:formatCode>
                <c:ptCount val="5"/>
                <c:pt idx="0">
                  <c:v>-14.85</c:v>
                </c:pt>
                <c:pt idx="1">
                  <c:v>-17.66</c:v>
                </c:pt>
                <c:pt idx="2">
                  <c:v>-15.45</c:v>
                </c:pt>
                <c:pt idx="3">
                  <c:v>-19.55</c:v>
                </c:pt>
                <c:pt idx="4">
                  <c:v>-22.5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D9A4-394A-BAE2-FD38B725F6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Project Year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Capture Price (EUR/MWh)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P50/P90/P99 at Key Project Horizons — DK1 Primary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Simulation!$L$2</c:f>
              <c:strCache>
                <c:ptCount val="1"/>
                <c:pt idx="0">
                  <c:v>P50</c:v>
                </c:pt>
              </c:strCache>
            </c:strRef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Simulation!$L$3:$L$7</c:f>
              <c:numCache>
                <c:formatCode>General</c:formatCode>
                <c:ptCount val="5"/>
                <c:pt idx="0">
                  <c:v>62.42</c:v>
                </c:pt>
                <c:pt idx="1">
                  <c:v>60.67</c:v>
                </c:pt>
                <c:pt idx="2">
                  <c:v>58.52</c:v>
                </c:pt>
                <c:pt idx="3">
                  <c:v>57.43</c:v>
                </c:pt>
                <c:pt idx="4">
                  <c:v>54.79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C05-644D-9552-B642E918A5C1}"/>
            </c:ext>
          </c:extLst>
        </c:ser>
        <c:ser>
          <c:idx val="1"/>
          <c:order val="1"/>
          <c:tx>
            <c:strRef>
              <c:f>Simulation!$M$2</c:f>
              <c:strCache>
                <c:ptCount val="1"/>
                <c:pt idx="0">
                  <c:v>P90</c:v>
                </c:pt>
              </c:strCache>
            </c:strRef>
          </c:tx>
          <c:spPr>
            <a:solidFill>
              <a:srgbClr val="FF8C00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Simulation!$M$3:$M$7</c:f>
              <c:numCache>
                <c:formatCode>General</c:formatCode>
                <c:ptCount val="5"/>
                <c:pt idx="0">
                  <c:v>19.97</c:v>
                </c:pt>
                <c:pt idx="1">
                  <c:v>18.27</c:v>
                </c:pt>
                <c:pt idx="2">
                  <c:v>16.52</c:v>
                </c:pt>
                <c:pt idx="3">
                  <c:v>14.71</c:v>
                </c:pt>
                <c:pt idx="4">
                  <c:v>12.55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DC05-644D-9552-B642E918A5C1}"/>
            </c:ext>
          </c:extLst>
        </c:ser>
        <c:ser>
          <c:idx val="2"/>
          <c:order val="2"/>
          <c:tx>
            <c:strRef>
              <c:f>Simulation!$N$2</c:f>
              <c:strCache>
                <c:ptCount val="1"/>
                <c:pt idx="0">
                  <c:v>P99</c:v>
                </c:pt>
              </c:strCache>
            </c:strRef>
          </c:tx>
          <c:spPr>
            <a:solidFill>
              <a:srgbClr val="C00000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Simulation!$N$3:$N$7</c:f>
              <c:numCache>
                <c:formatCode>General</c:formatCode>
                <c:ptCount val="5"/>
                <c:pt idx="0">
                  <c:v>-14.85</c:v>
                </c:pt>
                <c:pt idx="1">
                  <c:v>-17.66</c:v>
                </c:pt>
                <c:pt idx="2">
                  <c:v>-15.45</c:v>
                </c:pt>
                <c:pt idx="3">
                  <c:v>-19.55</c:v>
                </c:pt>
                <c:pt idx="4">
                  <c:v>-22.5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DC05-644D-9552-B642E918A5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Project Year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Capture Price (EUR/MWh)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P50/P90/P99 at Key Project Horizons — DK1 Primary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Simulation!$L$2</c:f>
              <c:strCache>
                <c:ptCount val="1"/>
                <c:pt idx="0">
                  <c:v>P50</c:v>
                </c:pt>
              </c:strCache>
            </c:strRef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Simulation!$L$3:$L$7</c:f>
              <c:numCache>
                <c:formatCode>General</c:formatCode>
                <c:ptCount val="5"/>
                <c:pt idx="0">
                  <c:v>62.42</c:v>
                </c:pt>
                <c:pt idx="1">
                  <c:v>60.67</c:v>
                </c:pt>
                <c:pt idx="2">
                  <c:v>58.52</c:v>
                </c:pt>
                <c:pt idx="3">
                  <c:v>57.43</c:v>
                </c:pt>
                <c:pt idx="4">
                  <c:v>54.79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3906-074D-ABBA-32DAD237A9B8}"/>
            </c:ext>
          </c:extLst>
        </c:ser>
        <c:ser>
          <c:idx val="1"/>
          <c:order val="1"/>
          <c:tx>
            <c:strRef>
              <c:f>Simulation!$M$2</c:f>
              <c:strCache>
                <c:ptCount val="1"/>
                <c:pt idx="0">
                  <c:v>P90</c:v>
                </c:pt>
              </c:strCache>
            </c:strRef>
          </c:tx>
          <c:spPr>
            <a:solidFill>
              <a:srgbClr val="FF8C00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Simulation!$M$3:$M$7</c:f>
              <c:numCache>
                <c:formatCode>General</c:formatCode>
                <c:ptCount val="5"/>
                <c:pt idx="0">
                  <c:v>19.97</c:v>
                </c:pt>
                <c:pt idx="1">
                  <c:v>18.27</c:v>
                </c:pt>
                <c:pt idx="2">
                  <c:v>16.52</c:v>
                </c:pt>
                <c:pt idx="3">
                  <c:v>14.71</c:v>
                </c:pt>
                <c:pt idx="4">
                  <c:v>12.55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3906-074D-ABBA-32DAD237A9B8}"/>
            </c:ext>
          </c:extLst>
        </c:ser>
        <c:ser>
          <c:idx val="2"/>
          <c:order val="2"/>
          <c:tx>
            <c:strRef>
              <c:f>Simulation!$N$2</c:f>
              <c:strCache>
                <c:ptCount val="1"/>
                <c:pt idx="0">
                  <c:v>P99</c:v>
                </c:pt>
              </c:strCache>
            </c:strRef>
          </c:tx>
          <c:spPr>
            <a:solidFill>
              <a:srgbClr val="C00000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Simulation!$N$3:$N$7</c:f>
              <c:numCache>
                <c:formatCode>General</c:formatCode>
                <c:ptCount val="5"/>
                <c:pt idx="0">
                  <c:v>-14.85</c:v>
                </c:pt>
                <c:pt idx="1">
                  <c:v>-17.66</c:v>
                </c:pt>
                <c:pt idx="2">
                  <c:v>-15.45</c:v>
                </c:pt>
                <c:pt idx="3">
                  <c:v>-19.55</c:v>
                </c:pt>
                <c:pt idx="4">
                  <c:v>-22.5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3906-074D-ABBA-32DAD237A9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Project Year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Capture Price (EUR/MWh)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MC Simulation - DK1 P50/P90/P99 Capture Price Paths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Simulation!$C$1</c:f>
              <c:strCache>
                <c:ptCount val="1"/>
                <c:pt idx="0">
                  <c:v>mu_capture</c:v>
                </c:pt>
              </c:strCache>
            </c:strRef>
          </c:tx>
          <c:spPr>
            <a:ln>
              <a:solidFill>
                <a:srgbClr val="70AD47"/>
              </a:solidFill>
              <a:prstDash val="solid"/>
            </a:ln>
          </c:spPr>
          <c:marker>
            <c:symbol val="none"/>
          </c:marker>
          <c:val>
            <c:numRef>
              <c:f>Simulation!$C$2:$C$301</c:f>
              <c:numCache>
                <c:formatCode>General</c:formatCode>
                <c:ptCount val="300"/>
                <c:pt idx="0">
                  <c:v>64.879900000000006</c:v>
                </c:pt>
                <c:pt idx="1">
                  <c:v>64.845699999999994</c:v>
                </c:pt>
                <c:pt idx="2">
                  <c:v>64.811400000000006</c:v>
                </c:pt>
                <c:pt idx="3">
                  <c:v>64.777100000000004</c:v>
                </c:pt>
                <c:pt idx="4">
                  <c:v>64.742900000000006</c:v>
                </c:pt>
                <c:pt idx="5">
                  <c:v>64.708600000000004</c:v>
                </c:pt>
                <c:pt idx="6">
                  <c:v>64.674400000000006</c:v>
                </c:pt>
                <c:pt idx="7">
                  <c:v>64.640100000000004</c:v>
                </c:pt>
                <c:pt idx="8">
                  <c:v>64.605800000000002</c:v>
                </c:pt>
                <c:pt idx="9">
                  <c:v>64.571600000000004</c:v>
                </c:pt>
                <c:pt idx="10">
                  <c:v>64.537300000000002</c:v>
                </c:pt>
                <c:pt idx="11">
                  <c:v>64.503</c:v>
                </c:pt>
                <c:pt idx="12">
                  <c:v>64.468800000000002</c:v>
                </c:pt>
                <c:pt idx="13">
                  <c:v>64.4345</c:v>
                </c:pt>
                <c:pt idx="14">
                  <c:v>64.400300000000001</c:v>
                </c:pt>
                <c:pt idx="15">
                  <c:v>64.366</c:v>
                </c:pt>
                <c:pt idx="16">
                  <c:v>64.331699999999998</c:v>
                </c:pt>
                <c:pt idx="17">
                  <c:v>64.297499999999999</c:v>
                </c:pt>
                <c:pt idx="18">
                  <c:v>64.263199999999998</c:v>
                </c:pt>
                <c:pt idx="19">
                  <c:v>64.228999999999999</c:v>
                </c:pt>
                <c:pt idx="20">
                  <c:v>64.194699999999997</c:v>
                </c:pt>
                <c:pt idx="21">
                  <c:v>64.160399999999996</c:v>
                </c:pt>
                <c:pt idx="22">
                  <c:v>64.126199999999997</c:v>
                </c:pt>
                <c:pt idx="23">
                  <c:v>64.091899999999995</c:v>
                </c:pt>
                <c:pt idx="24">
                  <c:v>64.057599999999994</c:v>
                </c:pt>
                <c:pt idx="25">
                  <c:v>64.023399999999995</c:v>
                </c:pt>
                <c:pt idx="26">
                  <c:v>63.989100000000001</c:v>
                </c:pt>
                <c:pt idx="27">
                  <c:v>63.954900000000002</c:v>
                </c:pt>
                <c:pt idx="28">
                  <c:v>63.9206</c:v>
                </c:pt>
                <c:pt idx="29">
                  <c:v>63.886299999999999</c:v>
                </c:pt>
                <c:pt idx="30">
                  <c:v>63.8521</c:v>
                </c:pt>
                <c:pt idx="31">
                  <c:v>63.817799999999998</c:v>
                </c:pt>
                <c:pt idx="32">
                  <c:v>63.7836</c:v>
                </c:pt>
                <c:pt idx="33">
                  <c:v>63.749299999999998</c:v>
                </c:pt>
                <c:pt idx="34">
                  <c:v>63.715000000000003</c:v>
                </c:pt>
                <c:pt idx="35">
                  <c:v>63.680799999999998</c:v>
                </c:pt>
                <c:pt idx="36">
                  <c:v>63.646500000000003</c:v>
                </c:pt>
                <c:pt idx="37">
                  <c:v>63.612200000000001</c:v>
                </c:pt>
                <c:pt idx="38">
                  <c:v>63.578000000000003</c:v>
                </c:pt>
                <c:pt idx="39">
                  <c:v>63.543700000000001</c:v>
                </c:pt>
                <c:pt idx="40">
                  <c:v>63.509500000000003</c:v>
                </c:pt>
                <c:pt idx="41">
                  <c:v>63.475200000000001</c:v>
                </c:pt>
                <c:pt idx="42">
                  <c:v>63.440899999999999</c:v>
                </c:pt>
                <c:pt idx="43">
                  <c:v>63.406700000000001</c:v>
                </c:pt>
                <c:pt idx="44">
                  <c:v>63.372399999999999</c:v>
                </c:pt>
                <c:pt idx="45">
                  <c:v>63.338200000000001</c:v>
                </c:pt>
                <c:pt idx="46">
                  <c:v>63.303899999999999</c:v>
                </c:pt>
                <c:pt idx="47">
                  <c:v>63.269599999999997</c:v>
                </c:pt>
                <c:pt idx="48">
                  <c:v>63.235399999999998</c:v>
                </c:pt>
                <c:pt idx="49">
                  <c:v>63.201099999999997</c:v>
                </c:pt>
                <c:pt idx="50">
                  <c:v>63.166899999999998</c:v>
                </c:pt>
                <c:pt idx="51">
                  <c:v>63.132599999999996</c:v>
                </c:pt>
                <c:pt idx="52">
                  <c:v>63.098300000000002</c:v>
                </c:pt>
                <c:pt idx="53">
                  <c:v>63.064100000000003</c:v>
                </c:pt>
                <c:pt idx="54">
                  <c:v>63.029800000000002</c:v>
                </c:pt>
                <c:pt idx="55">
                  <c:v>62.9955</c:v>
                </c:pt>
                <c:pt idx="56">
                  <c:v>62.961300000000001</c:v>
                </c:pt>
                <c:pt idx="57">
                  <c:v>62.927</c:v>
                </c:pt>
                <c:pt idx="58">
                  <c:v>62.892800000000001</c:v>
                </c:pt>
                <c:pt idx="59">
                  <c:v>62.858499999999999</c:v>
                </c:pt>
                <c:pt idx="60">
                  <c:v>62.824199999999998</c:v>
                </c:pt>
                <c:pt idx="61">
                  <c:v>62.79</c:v>
                </c:pt>
                <c:pt idx="62">
                  <c:v>62.755699999999997</c:v>
                </c:pt>
                <c:pt idx="63">
                  <c:v>62.721499999999999</c:v>
                </c:pt>
                <c:pt idx="64">
                  <c:v>62.687199999999997</c:v>
                </c:pt>
                <c:pt idx="65">
                  <c:v>62.652900000000002</c:v>
                </c:pt>
                <c:pt idx="66">
                  <c:v>62.618699999999997</c:v>
                </c:pt>
                <c:pt idx="67">
                  <c:v>62.584400000000002</c:v>
                </c:pt>
                <c:pt idx="68">
                  <c:v>62.5501</c:v>
                </c:pt>
                <c:pt idx="69">
                  <c:v>62.515900000000002</c:v>
                </c:pt>
                <c:pt idx="70">
                  <c:v>62.4816</c:v>
                </c:pt>
                <c:pt idx="71">
                  <c:v>62.447400000000002</c:v>
                </c:pt>
                <c:pt idx="72">
                  <c:v>62.4131</c:v>
                </c:pt>
                <c:pt idx="73">
                  <c:v>62.378799999999998</c:v>
                </c:pt>
                <c:pt idx="74">
                  <c:v>62.3446</c:v>
                </c:pt>
                <c:pt idx="75">
                  <c:v>62.310299999999998</c:v>
                </c:pt>
                <c:pt idx="76">
                  <c:v>62.2761</c:v>
                </c:pt>
                <c:pt idx="77">
                  <c:v>62.241799999999998</c:v>
                </c:pt>
                <c:pt idx="78">
                  <c:v>62.207500000000003</c:v>
                </c:pt>
                <c:pt idx="79">
                  <c:v>62.173299999999998</c:v>
                </c:pt>
                <c:pt idx="80">
                  <c:v>62.139000000000003</c:v>
                </c:pt>
                <c:pt idx="81">
                  <c:v>62.104700000000001</c:v>
                </c:pt>
                <c:pt idx="82">
                  <c:v>62.070500000000003</c:v>
                </c:pt>
                <c:pt idx="83">
                  <c:v>62.036200000000001</c:v>
                </c:pt>
                <c:pt idx="84">
                  <c:v>62.002000000000002</c:v>
                </c:pt>
                <c:pt idx="85">
                  <c:v>61.967700000000001</c:v>
                </c:pt>
                <c:pt idx="86">
                  <c:v>61.933399999999999</c:v>
                </c:pt>
                <c:pt idx="87">
                  <c:v>61.8992</c:v>
                </c:pt>
                <c:pt idx="88">
                  <c:v>61.864899999999999</c:v>
                </c:pt>
                <c:pt idx="89">
                  <c:v>61.8307</c:v>
                </c:pt>
                <c:pt idx="90">
                  <c:v>61.796399999999998</c:v>
                </c:pt>
                <c:pt idx="91">
                  <c:v>61.762099999999997</c:v>
                </c:pt>
                <c:pt idx="92">
                  <c:v>61.727899999999998</c:v>
                </c:pt>
                <c:pt idx="93">
                  <c:v>61.693600000000004</c:v>
                </c:pt>
                <c:pt idx="94">
                  <c:v>61.659300000000002</c:v>
                </c:pt>
                <c:pt idx="95">
                  <c:v>61.625100000000003</c:v>
                </c:pt>
                <c:pt idx="96">
                  <c:v>61.590800000000002</c:v>
                </c:pt>
                <c:pt idx="97">
                  <c:v>61.556600000000003</c:v>
                </c:pt>
                <c:pt idx="98">
                  <c:v>61.522300000000001</c:v>
                </c:pt>
                <c:pt idx="99">
                  <c:v>61.488</c:v>
                </c:pt>
                <c:pt idx="100">
                  <c:v>61.453800000000001</c:v>
                </c:pt>
                <c:pt idx="101">
                  <c:v>61.419499999999999</c:v>
                </c:pt>
                <c:pt idx="102">
                  <c:v>61.385300000000001</c:v>
                </c:pt>
                <c:pt idx="103">
                  <c:v>61.350999999999999</c:v>
                </c:pt>
                <c:pt idx="104">
                  <c:v>61.316699999999997</c:v>
                </c:pt>
                <c:pt idx="105">
                  <c:v>61.282499999999999</c:v>
                </c:pt>
                <c:pt idx="106">
                  <c:v>61.248199999999997</c:v>
                </c:pt>
                <c:pt idx="107">
                  <c:v>61.213900000000002</c:v>
                </c:pt>
                <c:pt idx="108">
                  <c:v>61.179699999999997</c:v>
                </c:pt>
                <c:pt idx="109">
                  <c:v>61.145400000000002</c:v>
                </c:pt>
                <c:pt idx="110">
                  <c:v>61.111199999999997</c:v>
                </c:pt>
                <c:pt idx="111">
                  <c:v>61.076900000000002</c:v>
                </c:pt>
                <c:pt idx="112">
                  <c:v>61.0426</c:v>
                </c:pt>
                <c:pt idx="113">
                  <c:v>61.008400000000002</c:v>
                </c:pt>
                <c:pt idx="114">
                  <c:v>60.9741</c:v>
                </c:pt>
                <c:pt idx="115">
                  <c:v>60.939900000000002</c:v>
                </c:pt>
                <c:pt idx="116">
                  <c:v>60.9056</c:v>
                </c:pt>
                <c:pt idx="117">
                  <c:v>60.871299999999998</c:v>
                </c:pt>
                <c:pt idx="118">
                  <c:v>60.8371</c:v>
                </c:pt>
                <c:pt idx="119">
                  <c:v>60.802799999999998</c:v>
                </c:pt>
                <c:pt idx="120">
                  <c:v>60.768500000000003</c:v>
                </c:pt>
                <c:pt idx="121">
                  <c:v>60.734299999999998</c:v>
                </c:pt>
                <c:pt idx="122">
                  <c:v>60.7</c:v>
                </c:pt>
                <c:pt idx="123">
                  <c:v>60.665799999999997</c:v>
                </c:pt>
                <c:pt idx="124">
                  <c:v>60.631500000000003</c:v>
                </c:pt>
                <c:pt idx="125">
                  <c:v>60.597200000000001</c:v>
                </c:pt>
                <c:pt idx="126">
                  <c:v>60.563000000000002</c:v>
                </c:pt>
                <c:pt idx="127">
                  <c:v>60.528700000000001</c:v>
                </c:pt>
                <c:pt idx="128">
                  <c:v>60.494500000000002</c:v>
                </c:pt>
                <c:pt idx="129">
                  <c:v>60.4602</c:v>
                </c:pt>
                <c:pt idx="130">
                  <c:v>60.425899999999999</c:v>
                </c:pt>
                <c:pt idx="131">
                  <c:v>60.3917</c:v>
                </c:pt>
                <c:pt idx="132">
                  <c:v>60.357399999999998</c:v>
                </c:pt>
                <c:pt idx="133">
                  <c:v>60.323099999999997</c:v>
                </c:pt>
                <c:pt idx="134">
                  <c:v>60.288899999999998</c:v>
                </c:pt>
                <c:pt idx="135">
                  <c:v>60.254600000000003</c:v>
                </c:pt>
                <c:pt idx="136">
                  <c:v>60.220399999999998</c:v>
                </c:pt>
                <c:pt idx="137">
                  <c:v>60.186100000000003</c:v>
                </c:pt>
                <c:pt idx="138">
                  <c:v>60.151800000000001</c:v>
                </c:pt>
                <c:pt idx="139">
                  <c:v>60.117600000000003</c:v>
                </c:pt>
                <c:pt idx="140">
                  <c:v>60.083300000000001</c:v>
                </c:pt>
                <c:pt idx="141">
                  <c:v>60.049100000000003</c:v>
                </c:pt>
                <c:pt idx="142">
                  <c:v>60.014800000000001</c:v>
                </c:pt>
                <c:pt idx="143">
                  <c:v>59.980499999999999</c:v>
                </c:pt>
                <c:pt idx="144">
                  <c:v>59.946300000000001</c:v>
                </c:pt>
                <c:pt idx="145">
                  <c:v>59.911999999999999</c:v>
                </c:pt>
                <c:pt idx="146">
                  <c:v>59.877699999999997</c:v>
                </c:pt>
                <c:pt idx="147">
                  <c:v>59.843499999999999</c:v>
                </c:pt>
                <c:pt idx="148">
                  <c:v>59.809199999999997</c:v>
                </c:pt>
                <c:pt idx="149">
                  <c:v>59.774999999999999</c:v>
                </c:pt>
                <c:pt idx="150">
                  <c:v>59.740699999999997</c:v>
                </c:pt>
                <c:pt idx="151">
                  <c:v>59.706400000000002</c:v>
                </c:pt>
                <c:pt idx="152">
                  <c:v>59.672199999999997</c:v>
                </c:pt>
                <c:pt idx="153">
                  <c:v>59.637900000000002</c:v>
                </c:pt>
                <c:pt idx="154">
                  <c:v>59.603700000000003</c:v>
                </c:pt>
                <c:pt idx="155">
                  <c:v>59.569400000000002</c:v>
                </c:pt>
                <c:pt idx="156">
                  <c:v>59.5351</c:v>
                </c:pt>
                <c:pt idx="157">
                  <c:v>59.500900000000001</c:v>
                </c:pt>
                <c:pt idx="158">
                  <c:v>59.4666</c:v>
                </c:pt>
                <c:pt idx="159">
                  <c:v>59.432299999999998</c:v>
                </c:pt>
                <c:pt idx="160">
                  <c:v>59.398099999999999</c:v>
                </c:pt>
                <c:pt idx="161">
                  <c:v>59.363799999999998</c:v>
                </c:pt>
                <c:pt idx="162">
                  <c:v>59.329599999999999</c:v>
                </c:pt>
                <c:pt idx="163">
                  <c:v>59.295299999999997</c:v>
                </c:pt>
                <c:pt idx="164">
                  <c:v>59.261000000000003</c:v>
                </c:pt>
                <c:pt idx="165">
                  <c:v>59.226799999999997</c:v>
                </c:pt>
                <c:pt idx="166">
                  <c:v>59.192500000000003</c:v>
                </c:pt>
                <c:pt idx="167">
                  <c:v>59.158299999999997</c:v>
                </c:pt>
                <c:pt idx="168">
                  <c:v>59.124000000000002</c:v>
                </c:pt>
                <c:pt idx="169">
                  <c:v>59.089700000000001</c:v>
                </c:pt>
                <c:pt idx="170">
                  <c:v>59.055500000000002</c:v>
                </c:pt>
                <c:pt idx="171">
                  <c:v>59.0212</c:v>
                </c:pt>
                <c:pt idx="172">
                  <c:v>58.986899999999999</c:v>
                </c:pt>
                <c:pt idx="173">
                  <c:v>58.9527</c:v>
                </c:pt>
                <c:pt idx="174">
                  <c:v>58.918399999999998</c:v>
                </c:pt>
                <c:pt idx="175">
                  <c:v>58.8842</c:v>
                </c:pt>
                <c:pt idx="176">
                  <c:v>58.849899999999998</c:v>
                </c:pt>
                <c:pt idx="177">
                  <c:v>58.815600000000003</c:v>
                </c:pt>
                <c:pt idx="178">
                  <c:v>58.781399999999998</c:v>
                </c:pt>
                <c:pt idx="179">
                  <c:v>58.747100000000003</c:v>
                </c:pt>
                <c:pt idx="180">
                  <c:v>58.712899999999998</c:v>
                </c:pt>
                <c:pt idx="181">
                  <c:v>58.678600000000003</c:v>
                </c:pt>
                <c:pt idx="182">
                  <c:v>58.644300000000001</c:v>
                </c:pt>
                <c:pt idx="183">
                  <c:v>58.610100000000003</c:v>
                </c:pt>
                <c:pt idx="184">
                  <c:v>58.575800000000001</c:v>
                </c:pt>
                <c:pt idx="185">
                  <c:v>58.541499999999999</c:v>
                </c:pt>
                <c:pt idx="186">
                  <c:v>58.507300000000001</c:v>
                </c:pt>
                <c:pt idx="187">
                  <c:v>58.472999999999999</c:v>
                </c:pt>
                <c:pt idx="188">
                  <c:v>58.438800000000001</c:v>
                </c:pt>
                <c:pt idx="189">
                  <c:v>58.404499999999999</c:v>
                </c:pt>
                <c:pt idx="190">
                  <c:v>58.370199999999997</c:v>
                </c:pt>
                <c:pt idx="191">
                  <c:v>58.335999999999999</c:v>
                </c:pt>
                <c:pt idx="192">
                  <c:v>58.301699999999997</c:v>
                </c:pt>
                <c:pt idx="193">
                  <c:v>58.267499999999998</c:v>
                </c:pt>
                <c:pt idx="194">
                  <c:v>58.233199999999997</c:v>
                </c:pt>
                <c:pt idx="195">
                  <c:v>58.198900000000002</c:v>
                </c:pt>
                <c:pt idx="196">
                  <c:v>58.164700000000003</c:v>
                </c:pt>
                <c:pt idx="197">
                  <c:v>58.130400000000002</c:v>
                </c:pt>
                <c:pt idx="198">
                  <c:v>58.0961</c:v>
                </c:pt>
                <c:pt idx="199">
                  <c:v>58.061900000000001</c:v>
                </c:pt>
                <c:pt idx="200">
                  <c:v>58.0276</c:v>
                </c:pt>
                <c:pt idx="201">
                  <c:v>57.993400000000001</c:v>
                </c:pt>
                <c:pt idx="202">
                  <c:v>57.959099999999999</c:v>
                </c:pt>
                <c:pt idx="203">
                  <c:v>57.924799999999998</c:v>
                </c:pt>
                <c:pt idx="204">
                  <c:v>57.890599999999999</c:v>
                </c:pt>
                <c:pt idx="205">
                  <c:v>57.856299999999997</c:v>
                </c:pt>
                <c:pt idx="206">
                  <c:v>57.822099999999999</c:v>
                </c:pt>
                <c:pt idx="207">
                  <c:v>57.787799999999997</c:v>
                </c:pt>
                <c:pt idx="208">
                  <c:v>57.753500000000003</c:v>
                </c:pt>
                <c:pt idx="209">
                  <c:v>57.719299999999997</c:v>
                </c:pt>
                <c:pt idx="210">
                  <c:v>57.685000000000002</c:v>
                </c:pt>
                <c:pt idx="211">
                  <c:v>57.650700000000001</c:v>
                </c:pt>
                <c:pt idx="212">
                  <c:v>57.616500000000002</c:v>
                </c:pt>
                <c:pt idx="213">
                  <c:v>57.5822</c:v>
                </c:pt>
                <c:pt idx="214">
                  <c:v>57.548000000000002</c:v>
                </c:pt>
                <c:pt idx="215">
                  <c:v>57.5137</c:v>
                </c:pt>
                <c:pt idx="216">
                  <c:v>57.479399999999998</c:v>
                </c:pt>
                <c:pt idx="217">
                  <c:v>57.4452</c:v>
                </c:pt>
                <c:pt idx="218">
                  <c:v>57.410899999999998</c:v>
                </c:pt>
                <c:pt idx="219">
                  <c:v>57.3767</c:v>
                </c:pt>
                <c:pt idx="220">
                  <c:v>57.342399999999998</c:v>
                </c:pt>
                <c:pt idx="221">
                  <c:v>57.308100000000003</c:v>
                </c:pt>
                <c:pt idx="222">
                  <c:v>57.273899999999998</c:v>
                </c:pt>
                <c:pt idx="223">
                  <c:v>57.239600000000003</c:v>
                </c:pt>
                <c:pt idx="224">
                  <c:v>57.205300000000001</c:v>
                </c:pt>
                <c:pt idx="225">
                  <c:v>57.171100000000003</c:v>
                </c:pt>
                <c:pt idx="226">
                  <c:v>57.136800000000001</c:v>
                </c:pt>
                <c:pt idx="227">
                  <c:v>57.102600000000002</c:v>
                </c:pt>
                <c:pt idx="228">
                  <c:v>57.068300000000001</c:v>
                </c:pt>
                <c:pt idx="229">
                  <c:v>57.033999999999999</c:v>
                </c:pt>
                <c:pt idx="230">
                  <c:v>56.9998</c:v>
                </c:pt>
                <c:pt idx="231">
                  <c:v>56.965499999999999</c:v>
                </c:pt>
                <c:pt idx="232">
                  <c:v>56.9313</c:v>
                </c:pt>
                <c:pt idx="233">
                  <c:v>56.896999999999998</c:v>
                </c:pt>
                <c:pt idx="234">
                  <c:v>56.862699999999997</c:v>
                </c:pt>
                <c:pt idx="235">
                  <c:v>56.828499999999998</c:v>
                </c:pt>
                <c:pt idx="236">
                  <c:v>56.794199999999996</c:v>
                </c:pt>
                <c:pt idx="237">
                  <c:v>56.759900000000002</c:v>
                </c:pt>
                <c:pt idx="238">
                  <c:v>56.725700000000003</c:v>
                </c:pt>
                <c:pt idx="239">
                  <c:v>56.691400000000002</c:v>
                </c:pt>
                <c:pt idx="240">
                  <c:v>56.657200000000003</c:v>
                </c:pt>
                <c:pt idx="241">
                  <c:v>56.622900000000001</c:v>
                </c:pt>
                <c:pt idx="242">
                  <c:v>56.5886</c:v>
                </c:pt>
                <c:pt idx="243">
                  <c:v>56.554400000000001</c:v>
                </c:pt>
                <c:pt idx="244">
                  <c:v>56.520099999999999</c:v>
                </c:pt>
                <c:pt idx="245">
                  <c:v>56.485900000000001</c:v>
                </c:pt>
                <c:pt idx="246">
                  <c:v>56.451599999999999</c:v>
                </c:pt>
                <c:pt idx="247">
                  <c:v>56.417299999999997</c:v>
                </c:pt>
                <c:pt idx="248">
                  <c:v>56.383099999999999</c:v>
                </c:pt>
                <c:pt idx="249">
                  <c:v>56.348799999999997</c:v>
                </c:pt>
                <c:pt idx="250">
                  <c:v>56.314500000000002</c:v>
                </c:pt>
                <c:pt idx="251">
                  <c:v>56.280299999999997</c:v>
                </c:pt>
                <c:pt idx="252">
                  <c:v>56.246000000000002</c:v>
                </c:pt>
                <c:pt idx="253">
                  <c:v>56.211799999999997</c:v>
                </c:pt>
                <c:pt idx="254">
                  <c:v>56.177500000000002</c:v>
                </c:pt>
                <c:pt idx="255">
                  <c:v>56.1432</c:v>
                </c:pt>
                <c:pt idx="256">
                  <c:v>56.109000000000002</c:v>
                </c:pt>
                <c:pt idx="257">
                  <c:v>56.0747</c:v>
                </c:pt>
                <c:pt idx="258">
                  <c:v>56.040500000000002</c:v>
                </c:pt>
                <c:pt idx="259">
                  <c:v>56.0062</c:v>
                </c:pt>
                <c:pt idx="260">
                  <c:v>55.971899999999998</c:v>
                </c:pt>
                <c:pt idx="261">
                  <c:v>55.9377</c:v>
                </c:pt>
                <c:pt idx="262">
                  <c:v>55.903399999999998</c:v>
                </c:pt>
                <c:pt idx="263">
                  <c:v>55.869100000000003</c:v>
                </c:pt>
                <c:pt idx="264">
                  <c:v>55.834899999999998</c:v>
                </c:pt>
                <c:pt idx="265">
                  <c:v>55.800600000000003</c:v>
                </c:pt>
                <c:pt idx="266">
                  <c:v>55.766399999999997</c:v>
                </c:pt>
                <c:pt idx="267">
                  <c:v>55.732100000000003</c:v>
                </c:pt>
                <c:pt idx="268">
                  <c:v>55.697800000000001</c:v>
                </c:pt>
                <c:pt idx="269">
                  <c:v>55.663600000000002</c:v>
                </c:pt>
                <c:pt idx="270">
                  <c:v>55.629300000000001</c:v>
                </c:pt>
                <c:pt idx="271">
                  <c:v>55.595100000000002</c:v>
                </c:pt>
                <c:pt idx="272">
                  <c:v>55.5608</c:v>
                </c:pt>
                <c:pt idx="273">
                  <c:v>55.526499999999999</c:v>
                </c:pt>
                <c:pt idx="274">
                  <c:v>55.4923</c:v>
                </c:pt>
                <c:pt idx="275">
                  <c:v>55.457999999999998</c:v>
                </c:pt>
                <c:pt idx="276">
                  <c:v>55.423699999999997</c:v>
                </c:pt>
                <c:pt idx="277">
                  <c:v>55.389499999999998</c:v>
                </c:pt>
                <c:pt idx="278">
                  <c:v>55.355200000000004</c:v>
                </c:pt>
                <c:pt idx="279">
                  <c:v>55.320999999999998</c:v>
                </c:pt>
                <c:pt idx="280">
                  <c:v>55.286700000000003</c:v>
                </c:pt>
                <c:pt idx="281">
                  <c:v>55.252400000000002</c:v>
                </c:pt>
                <c:pt idx="282">
                  <c:v>55.218200000000003</c:v>
                </c:pt>
                <c:pt idx="283">
                  <c:v>55.183900000000001</c:v>
                </c:pt>
                <c:pt idx="284">
                  <c:v>55.149700000000003</c:v>
                </c:pt>
                <c:pt idx="285">
                  <c:v>55.115400000000001</c:v>
                </c:pt>
                <c:pt idx="286">
                  <c:v>55.081099999999999</c:v>
                </c:pt>
                <c:pt idx="287">
                  <c:v>55.046900000000001</c:v>
                </c:pt>
                <c:pt idx="288">
                  <c:v>55.012599999999999</c:v>
                </c:pt>
                <c:pt idx="289">
                  <c:v>54.978299999999997</c:v>
                </c:pt>
                <c:pt idx="290">
                  <c:v>54.944099999999999</c:v>
                </c:pt>
                <c:pt idx="291">
                  <c:v>54.909799999999997</c:v>
                </c:pt>
                <c:pt idx="292">
                  <c:v>54.875599999999999</c:v>
                </c:pt>
                <c:pt idx="293">
                  <c:v>54.841299999999997</c:v>
                </c:pt>
                <c:pt idx="294">
                  <c:v>54.807000000000002</c:v>
                </c:pt>
                <c:pt idx="295">
                  <c:v>54.772799999999997</c:v>
                </c:pt>
                <c:pt idx="296">
                  <c:v>54.738500000000002</c:v>
                </c:pt>
                <c:pt idx="297">
                  <c:v>54.704300000000003</c:v>
                </c:pt>
                <c:pt idx="298">
                  <c:v>54.67</c:v>
                </c:pt>
                <c:pt idx="299">
                  <c:v>54.6357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F48-B54F-AA6B-F3358CB8DBB3}"/>
            </c:ext>
          </c:extLst>
        </c:ser>
        <c:ser>
          <c:idx val="1"/>
          <c:order val="1"/>
          <c:tx>
            <c:strRef>
              <c:f>Simulation!$D$1</c:f>
              <c:strCache>
                <c:ptCount val="1"/>
                <c:pt idx="0">
                  <c:v>P50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Simulation!$D$2:$D$301</c:f>
              <c:numCache>
                <c:formatCode>General</c:formatCode>
                <c:ptCount val="300"/>
                <c:pt idx="0">
                  <c:v>68.294700000000006</c:v>
                </c:pt>
                <c:pt idx="1">
                  <c:v>67.801400000000001</c:v>
                </c:pt>
                <c:pt idx="2">
                  <c:v>67.715999999999994</c:v>
                </c:pt>
                <c:pt idx="3">
                  <c:v>67.0428</c:v>
                </c:pt>
                <c:pt idx="4">
                  <c:v>66.609099999999998</c:v>
                </c:pt>
                <c:pt idx="5">
                  <c:v>66.600399999999993</c:v>
                </c:pt>
                <c:pt idx="6">
                  <c:v>66.359899999999996</c:v>
                </c:pt>
                <c:pt idx="7">
                  <c:v>66.120599999999996</c:v>
                </c:pt>
                <c:pt idx="8">
                  <c:v>65.930499999999995</c:v>
                </c:pt>
                <c:pt idx="9">
                  <c:v>65.783900000000003</c:v>
                </c:pt>
                <c:pt idx="10">
                  <c:v>65.383499999999998</c:v>
                </c:pt>
                <c:pt idx="11">
                  <c:v>65.496399999999994</c:v>
                </c:pt>
                <c:pt idx="12">
                  <c:v>65.425899999999999</c:v>
                </c:pt>
                <c:pt idx="13">
                  <c:v>65.316800000000001</c:v>
                </c:pt>
                <c:pt idx="14">
                  <c:v>65.312399999999997</c:v>
                </c:pt>
                <c:pt idx="15">
                  <c:v>65.4709</c:v>
                </c:pt>
                <c:pt idx="16">
                  <c:v>65.074100000000001</c:v>
                </c:pt>
                <c:pt idx="17">
                  <c:v>65.384500000000003</c:v>
                </c:pt>
                <c:pt idx="18">
                  <c:v>65.383700000000005</c:v>
                </c:pt>
                <c:pt idx="19">
                  <c:v>64.921000000000006</c:v>
                </c:pt>
                <c:pt idx="20">
                  <c:v>64.671899999999994</c:v>
                </c:pt>
                <c:pt idx="21">
                  <c:v>64.665899999999993</c:v>
                </c:pt>
                <c:pt idx="22">
                  <c:v>64.580600000000004</c:v>
                </c:pt>
                <c:pt idx="23">
                  <c:v>64.753</c:v>
                </c:pt>
                <c:pt idx="24">
                  <c:v>64.5184</c:v>
                </c:pt>
                <c:pt idx="25">
                  <c:v>63.940199999999997</c:v>
                </c:pt>
                <c:pt idx="26">
                  <c:v>64.051199999999994</c:v>
                </c:pt>
                <c:pt idx="27">
                  <c:v>63.356000000000002</c:v>
                </c:pt>
                <c:pt idx="28">
                  <c:v>63.492600000000003</c:v>
                </c:pt>
                <c:pt idx="29">
                  <c:v>63.8812</c:v>
                </c:pt>
                <c:pt idx="30">
                  <c:v>63.822800000000001</c:v>
                </c:pt>
                <c:pt idx="31">
                  <c:v>63.611600000000003</c:v>
                </c:pt>
                <c:pt idx="32">
                  <c:v>63.688200000000002</c:v>
                </c:pt>
                <c:pt idx="33">
                  <c:v>63.705100000000002</c:v>
                </c:pt>
                <c:pt idx="34">
                  <c:v>63.259900000000002</c:v>
                </c:pt>
                <c:pt idx="35">
                  <c:v>63.463799999999999</c:v>
                </c:pt>
                <c:pt idx="36">
                  <c:v>63.579099999999997</c:v>
                </c:pt>
                <c:pt idx="37">
                  <c:v>63.822000000000003</c:v>
                </c:pt>
                <c:pt idx="38">
                  <c:v>63.89</c:v>
                </c:pt>
                <c:pt idx="39">
                  <c:v>64.002600000000001</c:v>
                </c:pt>
                <c:pt idx="40">
                  <c:v>63.587200000000003</c:v>
                </c:pt>
                <c:pt idx="41">
                  <c:v>63.627299999999998</c:v>
                </c:pt>
                <c:pt idx="42">
                  <c:v>63.357300000000002</c:v>
                </c:pt>
                <c:pt idx="43">
                  <c:v>62.892000000000003</c:v>
                </c:pt>
                <c:pt idx="44">
                  <c:v>63.613100000000003</c:v>
                </c:pt>
                <c:pt idx="45">
                  <c:v>63.198</c:v>
                </c:pt>
                <c:pt idx="46">
                  <c:v>63.062399999999997</c:v>
                </c:pt>
                <c:pt idx="47">
                  <c:v>62.844999999999999</c:v>
                </c:pt>
                <c:pt idx="48">
                  <c:v>62.6145</c:v>
                </c:pt>
                <c:pt idx="49">
                  <c:v>63.1053</c:v>
                </c:pt>
                <c:pt idx="50">
                  <c:v>62.860199999999999</c:v>
                </c:pt>
                <c:pt idx="51">
                  <c:v>62.910299999999999</c:v>
                </c:pt>
                <c:pt idx="52">
                  <c:v>62.301600000000001</c:v>
                </c:pt>
                <c:pt idx="53">
                  <c:v>62.481200000000001</c:v>
                </c:pt>
                <c:pt idx="54">
                  <c:v>62.362000000000002</c:v>
                </c:pt>
                <c:pt idx="55">
                  <c:v>62.566400000000002</c:v>
                </c:pt>
                <c:pt idx="56">
                  <c:v>62.761299999999999</c:v>
                </c:pt>
                <c:pt idx="57">
                  <c:v>63.337400000000002</c:v>
                </c:pt>
                <c:pt idx="58">
                  <c:v>62.783299999999997</c:v>
                </c:pt>
                <c:pt idx="59">
                  <c:v>62.422600000000003</c:v>
                </c:pt>
                <c:pt idx="60">
                  <c:v>62.588099999999997</c:v>
                </c:pt>
                <c:pt idx="61">
                  <c:v>62.356499999999997</c:v>
                </c:pt>
                <c:pt idx="62">
                  <c:v>62.613300000000002</c:v>
                </c:pt>
                <c:pt idx="63">
                  <c:v>62.583500000000001</c:v>
                </c:pt>
                <c:pt idx="64">
                  <c:v>63.014600000000002</c:v>
                </c:pt>
                <c:pt idx="65">
                  <c:v>62.804200000000002</c:v>
                </c:pt>
                <c:pt idx="66">
                  <c:v>62.8996</c:v>
                </c:pt>
                <c:pt idx="67">
                  <c:v>62.928100000000001</c:v>
                </c:pt>
                <c:pt idx="68">
                  <c:v>62.620800000000003</c:v>
                </c:pt>
                <c:pt idx="69">
                  <c:v>62.820099999999996</c:v>
                </c:pt>
                <c:pt idx="70">
                  <c:v>63.287399999999998</c:v>
                </c:pt>
                <c:pt idx="71">
                  <c:v>63.168700000000001</c:v>
                </c:pt>
                <c:pt idx="72">
                  <c:v>62.891599999999997</c:v>
                </c:pt>
                <c:pt idx="73">
                  <c:v>62.721299999999999</c:v>
                </c:pt>
                <c:pt idx="74">
                  <c:v>62.930500000000002</c:v>
                </c:pt>
                <c:pt idx="75">
                  <c:v>62.6355</c:v>
                </c:pt>
                <c:pt idx="76">
                  <c:v>62.648899999999998</c:v>
                </c:pt>
                <c:pt idx="77">
                  <c:v>62.814100000000003</c:v>
                </c:pt>
                <c:pt idx="78">
                  <c:v>63.0745</c:v>
                </c:pt>
                <c:pt idx="79">
                  <c:v>62.987400000000001</c:v>
                </c:pt>
                <c:pt idx="80">
                  <c:v>62.477699999999999</c:v>
                </c:pt>
                <c:pt idx="81">
                  <c:v>62.520099999999999</c:v>
                </c:pt>
                <c:pt idx="82">
                  <c:v>62.274299999999997</c:v>
                </c:pt>
                <c:pt idx="83">
                  <c:v>62.398000000000003</c:v>
                </c:pt>
                <c:pt idx="84">
                  <c:v>62.176699999999997</c:v>
                </c:pt>
                <c:pt idx="85">
                  <c:v>62.078299999999999</c:v>
                </c:pt>
                <c:pt idx="86">
                  <c:v>61.882800000000003</c:v>
                </c:pt>
                <c:pt idx="87">
                  <c:v>61.758800000000001</c:v>
                </c:pt>
                <c:pt idx="88">
                  <c:v>62.489800000000002</c:v>
                </c:pt>
                <c:pt idx="89">
                  <c:v>62.011600000000001</c:v>
                </c:pt>
                <c:pt idx="90">
                  <c:v>61.820099999999996</c:v>
                </c:pt>
                <c:pt idx="91">
                  <c:v>61.529000000000003</c:v>
                </c:pt>
                <c:pt idx="92">
                  <c:v>61.644199999999998</c:v>
                </c:pt>
                <c:pt idx="93">
                  <c:v>61.483800000000002</c:v>
                </c:pt>
                <c:pt idx="94">
                  <c:v>61.343000000000004</c:v>
                </c:pt>
                <c:pt idx="95">
                  <c:v>60.9542</c:v>
                </c:pt>
                <c:pt idx="96">
                  <c:v>60.433999999999997</c:v>
                </c:pt>
                <c:pt idx="97">
                  <c:v>60.3001</c:v>
                </c:pt>
                <c:pt idx="98">
                  <c:v>60.472999999999999</c:v>
                </c:pt>
                <c:pt idx="99">
                  <c:v>60.869599999999998</c:v>
                </c:pt>
                <c:pt idx="100">
                  <c:v>60.967199999999998</c:v>
                </c:pt>
                <c:pt idx="101">
                  <c:v>60.7791</c:v>
                </c:pt>
                <c:pt idx="102">
                  <c:v>61.364400000000003</c:v>
                </c:pt>
                <c:pt idx="103">
                  <c:v>61.255400000000002</c:v>
                </c:pt>
                <c:pt idx="104">
                  <c:v>61.037399999999998</c:v>
                </c:pt>
                <c:pt idx="105">
                  <c:v>61.084000000000003</c:v>
                </c:pt>
                <c:pt idx="106">
                  <c:v>61.1586</c:v>
                </c:pt>
                <c:pt idx="107">
                  <c:v>61.577399999999997</c:v>
                </c:pt>
                <c:pt idx="108">
                  <c:v>61.240200000000002</c:v>
                </c:pt>
                <c:pt idx="109">
                  <c:v>61.502299999999998</c:v>
                </c:pt>
                <c:pt idx="110">
                  <c:v>60.835599999999999</c:v>
                </c:pt>
                <c:pt idx="111">
                  <c:v>61.0535</c:v>
                </c:pt>
                <c:pt idx="112">
                  <c:v>60.529499999999999</c:v>
                </c:pt>
                <c:pt idx="113">
                  <c:v>60.994</c:v>
                </c:pt>
                <c:pt idx="114">
                  <c:v>60.7776</c:v>
                </c:pt>
                <c:pt idx="115">
                  <c:v>60.989199999999997</c:v>
                </c:pt>
                <c:pt idx="116">
                  <c:v>60.859000000000002</c:v>
                </c:pt>
                <c:pt idx="117">
                  <c:v>60.968400000000003</c:v>
                </c:pt>
                <c:pt idx="118">
                  <c:v>60.726399999999998</c:v>
                </c:pt>
                <c:pt idx="119">
                  <c:v>60.670499999999997</c:v>
                </c:pt>
                <c:pt idx="120">
                  <c:v>61.146299999999997</c:v>
                </c:pt>
                <c:pt idx="121">
                  <c:v>61.206400000000002</c:v>
                </c:pt>
                <c:pt idx="122">
                  <c:v>61.753700000000002</c:v>
                </c:pt>
                <c:pt idx="123">
                  <c:v>61.686599999999999</c:v>
                </c:pt>
                <c:pt idx="124">
                  <c:v>60.947600000000001</c:v>
                </c:pt>
                <c:pt idx="125">
                  <c:v>60.886899999999997</c:v>
                </c:pt>
                <c:pt idx="126">
                  <c:v>60.445799999999998</c:v>
                </c:pt>
                <c:pt idx="127">
                  <c:v>60.150300000000001</c:v>
                </c:pt>
                <c:pt idx="128">
                  <c:v>60.156999999999996</c:v>
                </c:pt>
                <c:pt idx="129">
                  <c:v>60.278799999999997</c:v>
                </c:pt>
                <c:pt idx="130">
                  <c:v>59.587400000000002</c:v>
                </c:pt>
                <c:pt idx="131">
                  <c:v>59.313600000000001</c:v>
                </c:pt>
                <c:pt idx="132">
                  <c:v>59.377499999999998</c:v>
                </c:pt>
                <c:pt idx="133">
                  <c:v>59.407899999999998</c:v>
                </c:pt>
                <c:pt idx="134">
                  <c:v>59.741799999999998</c:v>
                </c:pt>
                <c:pt idx="135">
                  <c:v>59.462400000000002</c:v>
                </c:pt>
                <c:pt idx="136">
                  <c:v>59.789299999999997</c:v>
                </c:pt>
                <c:pt idx="137">
                  <c:v>59.872399999999999</c:v>
                </c:pt>
                <c:pt idx="138">
                  <c:v>59.916400000000003</c:v>
                </c:pt>
                <c:pt idx="139">
                  <c:v>60.414400000000001</c:v>
                </c:pt>
                <c:pt idx="140">
                  <c:v>60.186</c:v>
                </c:pt>
                <c:pt idx="141">
                  <c:v>60.031100000000002</c:v>
                </c:pt>
                <c:pt idx="142">
                  <c:v>60.125399999999999</c:v>
                </c:pt>
                <c:pt idx="143">
                  <c:v>59.919600000000003</c:v>
                </c:pt>
                <c:pt idx="144">
                  <c:v>59.594900000000003</c:v>
                </c:pt>
                <c:pt idx="145">
                  <c:v>59.667400000000001</c:v>
                </c:pt>
                <c:pt idx="146">
                  <c:v>59.491300000000003</c:v>
                </c:pt>
                <c:pt idx="147">
                  <c:v>59.798499999999997</c:v>
                </c:pt>
                <c:pt idx="148">
                  <c:v>60.2316</c:v>
                </c:pt>
                <c:pt idx="149">
                  <c:v>60.200200000000002</c:v>
                </c:pt>
                <c:pt idx="150">
                  <c:v>59.999000000000002</c:v>
                </c:pt>
                <c:pt idx="151">
                  <c:v>59.941400000000002</c:v>
                </c:pt>
                <c:pt idx="152">
                  <c:v>60.151600000000002</c:v>
                </c:pt>
                <c:pt idx="153">
                  <c:v>60.090600000000002</c:v>
                </c:pt>
                <c:pt idx="154">
                  <c:v>59.853000000000002</c:v>
                </c:pt>
                <c:pt idx="155">
                  <c:v>59.837600000000002</c:v>
                </c:pt>
                <c:pt idx="156">
                  <c:v>59.904000000000003</c:v>
                </c:pt>
                <c:pt idx="157">
                  <c:v>60.064399999999999</c:v>
                </c:pt>
                <c:pt idx="158">
                  <c:v>60.2468</c:v>
                </c:pt>
                <c:pt idx="159">
                  <c:v>59.739600000000003</c:v>
                </c:pt>
                <c:pt idx="160">
                  <c:v>59.525199999999998</c:v>
                </c:pt>
                <c:pt idx="161">
                  <c:v>59.8279</c:v>
                </c:pt>
                <c:pt idx="162">
                  <c:v>59.814599999999999</c:v>
                </c:pt>
                <c:pt idx="163">
                  <c:v>59.204599999999999</c:v>
                </c:pt>
                <c:pt idx="164">
                  <c:v>59.776600000000002</c:v>
                </c:pt>
                <c:pt idx="165">
                  <c:v>59.235399999999998</c:v>
                </c:pt>
                <c:pt idx="166">
                  <c:v>59.460599999999999</c:v>
                </c:pt>
                <c:pt idx="167">
                  <c:v>59.320799999999998</c:v>
                </c:pt>
                <c:pt idx="168">
                  <c:v>59.476599999999998</c:v>
                </c:pt>
                <c:pt idx="169">
                  <c:v>59.312100000000001</c:v>
                </c:pt>
                <c:pt idx="170">
                  <c:v>59.968200000000003</c:v>
                </c:pt>
                <c:pt idx="171">
                  <c:v>59.154899999999998</c:v>
                </c:pt>
                <c:pt idx="172">
                  <c:v>59.2273</c:v>
                </c:pt>
                <c:pt idx="173">
                  <c:v>58.9161</c:v>
                </c:pt>
                <c:pt idx="174">
                  <c:v>58.901699999999998</c:v>
                </c:pt>
                <c:pt idx="175">
                  <c:v>58.7956</c:v>
                </c:pt>
                <c:pt idx="176">
                  <c:v>58.636499999999998</c:v>
                </c:pt>
                <c:pt idx="177">
                  <c:v>58.411799999999999</c:v>
                </c:pt>
                <c:pt idx="178">
                  <c:v>59.124600000000001</c:v>
                </c:pt>
                <c:pt idx="179">
                  <c:v>58.524299999999997</c:v>
                </c:pt>
                <c:pt idx="180">
                  <c:v>58.806399999999996</c:v>
                </c:pt>
                <c:pt idx="181">
                  <c:v>58.637</c:v>
                </c:pt>
                <c:pt idx="182">
                  <c:v>58.421100000000003</c:v>
                </c:pt>
                <c:pt idx="183">
                  <c:v>58.748800000000003</c:v>
                </c:pt>
                <c:pt idx="184">
                  <c:v>58.416600000000003</c:v>
                </c:pt>
                <c:pt idx="185">
                  <c:v>58.813800000000001</c:v>
                </c:pt>
                <c:pt idx="186">
                  <c:v>59.0899</c:v>
                </c:pt>
                <c:pt idx="187">
                  <c:v>59.006</c:v>
                </c:pt>
                <c:pt idx="188">
                  <c:v>59.099899999999998</c:v>
                </c:pt>
                <c:pt idx="189">
                  <c:v>58.677100000000003</c:v>
                </c:pt>
                <c:pt idx="190">
                  <c:v>58.001899999999999</c:v>
                </c:pt>
                <c:pt idx="191">
                  <c:v>58.121000000000002</c:v>
                </c:pt>
                <c:pt idx="192">
                  <c:v>58.175899999999999</c:v>
                </c:pt>
                <c:pt idx="193">
                  <c:v>58.313699999999997</c:v>
                </c:pt>
                <c:pt idx="194">
                  <c:v>58.316499999999998</c:v>
                </c:pt>
                <c:pt idx="195">
                  <c:v>59.061999999999998</c:v>
                </c:pt>
                <c:pt idx="196">
                  <c:v>58.623699999999999</c:v>
                </c:pt>
                <c:pt idx="197">
                  <c:v>58.728400000000001</c:v>
                </c:pt>
                <c:pt idx="198">
                  <c:v>58.811399999999999</c:v>
                </c:pt>
                <c:pt idx="199">
                  <c:v>58.820300000000003</c:v>
                </c:pt>
                <c:pt idx="200">
                  <c:v>59.194299999999998</c:v>
                </c:pt>
                <c:pt idx="201">
                  <c:v>58.099200000000003</c:v>
                </c:pt>
                <c:pt idx="202">
                  <c:v>57.761600000000001</c:v>
                </c:pt>
                <c:pt idx="203">
                  <c:v>58.112400000000001</c:v>
                </c:pt>
                <c:pt idx="204">
                  <c:v>58.2211</c:v>
                </c:pt>
                <c:pt idx="205">
                  <c:v>57.723199999999999</c:v>
                </c:pt>
                <c:pt idx="206">
                  <c:v>57.688400000000001</c:v>
                </c:pt>
                <c:pt idx="207">
                  <c:v>57.740200000000002</c:v>
                </c:pt>
                <c:pt idx="208">
                  <c:v>57.661700000000003</c:v>
                </c:pt>
                <c:pt idx="209">
                  <c:v>57.849299999999999</c:v>
                </c:pt>
                <c:pt idx="210">
                  <c:v>57.866100000000003</c:v>
                </c:pt>
                <c:pt idx="211">
                  <c:v>57.361600000000003</c:v>
                </c:pt>
                <c:pt idx="212">
                  <c:v>57.889800000000001</c:v>
                </c:pt>
                <c:pt idx="213">
                  <c:v>57.627899999999997</c:v>
                </c:pt>
                <c:pt idx="214">
                  <c:v>57.475099999999998</c:v>
                </c:pt>
                <c:pt idx="215">
                  <c:v>57.366199999999999</c:v>
                </c:pt>
                <c:pt idx="216">
                  <c:v>57.380899999999997</c:v>
                </c:pt>
                <c:pt idx="217">
                  <c:v>57.518000000000001</c:v>
                </c:pt>
                <c:pt idx="218">
                  <c:v>57.335099999999997</c:v>
                </c:pt>
                <c:pt idx="219">
                  <c:v>57.778300000000002</c:v>
                </c:pt>
                <c:pt idx="220">
                  <c:v>57.755600000000001</c:v>
                </c:pt>
                <c:pt idx="221">
                  <c:v>57.5916</c:v>
                </c:pt>
                <c:pt idx="222">
                  <c:v>57.982799999999997</c:v>
                </c:pt>
                <c:pt idx="223">
                  <c:v>58.2971</c:v>
                </c:pt>
                <c:pt idx="224">
                  <c:v>58.331000000000003</c:v>
                </c:pt>
                <c:pt idx="225">
                  <c:v>58.040999999999997</c:v>
                </c:pt>
                <c:pt idx="226">
                  <c:v>57.454799999999999</c:v>
                </c:pt>
                <c:pt idx="227">
                  <c:v>57.5411</c:v>
                </c:pt>
                <c:pt idx="228">
                  <c:v>57.635800000000003</c:v>
                </c:pt>
                <c:pt idx="229">
                  <c:v>57.844799999999999</c:v>
                </c:pt>
                <c:pt idx="230">
                  <c:v>57.862699999999997</c:v>
                </c:pt>
                <c:pt idx="231">
                  <c:v>57.587800000000001</c:v>
                </c:pt>
                <c:pt idx="232">
                  <c:v>57.799300000000002</c:v>
                </c:pt>
                <c:pt idx="233">
                  <c:v>57.183799999999998</c:v>
                </c:pt>
                <c:pt idx="234">
                  <c:v>57.244700000000002</c:v>
                </c:pt>
                <c:pt idx="235">
                  <c:v>57.238900000000001</c:v>
                </c:pt>
                <c:pt idx="236">
                  <c:v>57.369300000000003</c:v>
                </c:pt>
                <c:pt idx="237">
                  <c:v>57.975200000000001</c:v>
                </c:pt>
                <c:pt idx="238">
                  <c:v>57.563200000000002</c:v>
                </c:pt>
                <c:pt idx="239">
                  <c:v>57.431699999999999</c:v>
                </c:pt>
                <c:pt idx="240">
                  <c:v>57.059800000000003</c:v>
                </c:pt>
                <c:pt idx="241">
                  <c:v>57.019500000000001</c:v>
                </c:pt>
                <c:pt idx="242">
                  <c:v>57.063699999999997</c:v>
                </c:pt>
                <c:pt idx="243">
                  <c:v>57.352400000000003</c:v>
                </c:pt>
                <c:pt idx="244">
                  <c:v>57.4925</c:v>
                </c:pt>
                <c:pt idx="245">
                  <c:v>56.979799999999997</c:v>
                </c:pt>
                <c:pt idx="246">
                  <c:v>57.054400000000001</c:v>
                </c:pt>
                <c:pt idx="247">
                  <c:v>56.621000000000002</c:v>
                </c:pt>
                <c:pt idx="248">
                  <c:v>56.545400000000001</c:v>
                </c:pt>
                <c:pt idx="249">
                  <c:v>56.317799999999998</c:v>
                </c:pt>
                <c:pt idx="250">
                  <c:v>56.343299999999999</c:v>
                </c:pt>
                <c:pt idx="251">
                  <c:v>56.133899999999997</c:v>
                </c:pt>
                <c:pt idx="252">
                  <c:v>56.307299999999998</c:v>
                </c:pt>
                <c:pt idx="253">
                  <c:v>56.3294</c:v>
                </c:pt>
                <c:pt idx="254">
                  <c:v>56.040100000000002</c:v>
                </c:pt>
                <c:pt idx="255">
                  <c:v>55.600900000000003</c:v>
                </c:pt>
                <c:pt idx="256">
                  <c:v>55.866799999999998</c:v>
                </c:pt>
                <c:pt idx="257">
                  <c:v>56.117699999999999</c:v>
                </c:pt>
                <c:pt idx="258">
                  <c:v>56.387900000000002</c:v>
                </c:pt>
                <c:pt idx="259">
                  <c:v>56.37</c:v>
                </c:pt>
                <c:pt idx="260">
                  <c:v>56.283799999999999</c:v>
                </c:pt>
                <c:pt idx="261">
                  <c:v>56.153399999999998</c:v>
                </c:pt>
                <c:pt idx="262">
                  <c:v>55.9422</c:v>
                </c:pt>
                <c:pt idx="263">
                  <c:v>56.049100000000003</c:v>
                </c:pt>
                <c:pt idx="264">
                  <c:v>56.027000000000001</c:v>
                </c:pt>
                <c:pt idx="265">
                  <c:v>56.292099999999998</c:v>
                </c:pt>
                <c:pt idx="266">
                  <c:v>56.020099999999999</c:v>
                </c:pt>
                <c:pt idx="267">
                  <c:v>55.575099999999999</c:v>
                </c:pt>
                <c:pt idx="268">
                  <c:v>55.430799999999998</c:v>
                </c:pt>
                <c:pt idx="269">
                  <c:v>55.918999999999997</c:v>
                </c:pt>
                <c:pt idx="270">
                  <c:v>55.1798</c:v>
                </c:pt>
                <c:pt idx="271">
                  <c:v>55.441099999999999</c:v>
                </c:pt>
                <c:pt idx="272">
                  <c:v>55.448999999999998</c:v>
                </c:pt>
                <c:pt idx="273">
                  <c:v>54.765999999999998</c:v>
                </c:pt>
                <c:pt idx="274">
                  <c:v>54.488</c:v>
                </c:pt>
                <c:pt idx="275">
                  <c:v>54.8748</c:v>
                </c:pt>
                <c:pt idx="276">
                  <c:v>54.854999999999997</c:v>
                </c:pt>
                <c:pt idx="277">
                  <c:v>54.994700000000002</c:v>
                </c:pt>
                <c:pt idx="278">
                  <c:v>55.0124</c:v>
                </c:pt>
                <c:pt idx="279">
                  <c:v>55.299900000000001</c:v>
                </c:pt>
                <c:pt idx="280">
                  <c:v>55.047499999999999</c:v>
                </c:pt>
                <c:pt idx="281">
                  <c:v>54.958300000000001</c:v>
                </c:pt>
                <c:pt idx="282">
                  <c:v>55.636099999999999</c:v>
                </c:pt>
                <c:pt idx="283">
                  <c:v>55.528500000000001</c:v>
                </c:pt>
                <c:pt idx="284">
                  <c:v>55.348599999999998</c:v>
                </c:pt>
                <c:pt idx="285">
                  <c:v>54.8767</c:v>
                </c:pt>
                <c:pt idx="286">
                  <c:v>54.9223</c:v>
                </c:pt>
                <c:pt idx="287">
                  <c:v>55.137</c:v>
                </c:pt>
                <c:pt idx="288">
                  <c:v>55.7804</c:v>
                </c:pt>
                <c:pt idx="289">
                  <c:v>55.0518</c:v>
                </c:pt>
                <c:pt idx="290">
                  <c:v>55.185499999999998</c:v>
                </c:pt>
                <c:pt idx="291">
                  <c:v>55.273200000000003</c:v>
                </c:pt>
                <c:pt idx="292">
                  <c:v>54.8977</c:v>
                </c:pt>
                <c:pt idx="293">
                  <c:v>55.2318</c:v>
                </c:pt>
                <c:pt idx="294">
                  <c:v>55.400799999999997</c:v>
                </c:pt>
                <c:pt idx="295">
                  <c:v>55.449399999999997</c:v>
                </c:pt>
                <c:pt idx="296">
                  <c:v>55.0685</c:v>
                </c:pt>
                <c:pt idx="297">
                  <c:v>55.167099999999998</c:v>
                </c:pt>
                <c:pt idx="298">
                  <c:v>55.203600000000002</c:v>
                </c:pt>
                <c:pt idx="299">
                  <c:v>54.787700000000001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F48-B54F-AA6B-F3358CB8DBB3}"/>
            </c:ext>
          </c:extLst>
        </c:ser>
        <c:ser>
          <c:idx val="2"/>
          <c:order val="2"/>
          <c:tx>
            <c:strRef>
              <c:f>Simulation!$F$1</c:f>
              <c:strCache>
                <c:ptCount val="1"/>
                <c:pt idx="0">
                  <c:v>P90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Simulation!$F$2:$F$301</c:f>
              <c:numCache>
                <c:formatCode>General</c:formatCode>
                <c:ptCount val="300"/>
                <c:pt idx="0">
                  <c:v>68.294700000000006</c:v>
                </c:pt>
                <c:pt idx="1">
                  <c:v>88.792000000000002</c:v>
                </c:pt>
                <c:pt idx="2">
                  <c:v>95.421899999999994</c:v>
                </c:pt>
                <c:pt idx="3">
                  <c:v>99.405100000000004</c:v>
                </c:pt>
                <c:pt idx="4">
                  <c:v>101.8293</c:v>
                </c:pt>
                <c:pt idx="5">
                  <c:v>103.20610000000001</c:v>
                </c:pt>
                <c:pt idx="6">
                  <c:v>104.5352</c:v>
                </c:pt>
                <c:pt idx="7">
                  <c:v>105.3618</c:v>
                </c:pt>
                <c:pt idx="8">
                  <c:v>106.68219999999999</c:v>
                </c:pt>
                <c:pt idx="9">
                  <c:v>106.2259</c:v>
                </c:pt>
                <c:pt idx="10">
                  <c:v>106.8023</c:v>
                </c:pt>
                <c:pt idx="11">
                  <c:v>107.48390000000001</c:v>
                </c:pt>
                <c:pt idx="12">
                  <c:v>107.7007</c:v>
                </c:pt>
                <c:pt idx="13">
                  <c:v>107.16670000000001</c:v>
                </c:pt>
                <c:pt idx="14">
                  <c:v>106.9542</c:v>
                </c:pt>
                <c:pt idx="15">
                  <c:v>107.1016</c:v>
                </c:pt>
                <c:pt idx="16">
                  <c:v>106.71169999999999</c:v>
                </c:pt>
                <c:pt idx="17">
                  <c:v>106.69750000000001</c:v>
                </c:pt>
                <c:pt idx="18">
                  <c:v>107.0715</c:v>
                </c:pt>
                <c:pt idx="19">
                  <c:v>106.3661</c:v>
                </c:pt>
                <c:pt idx="20">
                  <c:v>106.0552</c:v>
                </c:pt>
                <c:pt idx="21">
                  <c:v>106.54049999999999</c:v>
                </c:pt>
                <c:pt idx="22">
                  <c:v>106.2385</c:v>
                </c:pt>
                <c:pt idx="23">
                  <c:v>107.02119999999999</c:v>
                </c:pt>
                <c:pt idx="24">
                  <c:v>106.5809</c:v>
                </c:pt>
                <c:pt idx="25">
                  <c:v>106.9217</c:v>
                </c:pt>
                <c:pt idx="26">
                  <c:v>106.31789999999999</c:v>
                </c:pt>
                <c:pt idx="27">
                  <c:v>106.5489</c:v>
                </c:pt>
                <c:pt idx="28">
                  <c:v>107.00709999999999</c:v>
                </c:pt>
                <c:pt idx="29">
                  <c:v>106.4804</c:v>
                </c:pt>
                <c:pt idx="30">
                  <c:v>106.7461</c:v>
                </c:pt>
                <c:pt idx="31">
                  <c:v>106.28489999999999</c:v>
                </c:pt>
                <c:pt idx="32">
                  <c:v>105.93040000000001</c:v>
                </c:pt>
                <c:pt idx="33">
                  <c:v>106.3858</c:v>
                </c:pt>
                <c:pt idx="34">
                  <c:v>106.3125</c:v>
                </c:pt>
                <c:pt idx="35">
                  <c:v>106.08240000000001</c:v>
                </c:pt>
                <c:pt idx="36">
                  <c:v>106.5273</c:v>
                </c:pt>
                <c:pt idx="37">
                  <c:v>106.0641</c:v>
                </c:pt>
                <c:pt idx="38">
                  <c:v>106.3878</c:v>
                </c:pt>
                <c:pt idx="39">
                  <c:v>107.0149</c:v>
                </c:pt>
                <c:pt idx="40">
                  <c:v>106.5256</c:v>
                </c:pt>
                <c:pt idx="41">
                  <c:v>105.9055</c:v>
                </c:pt>
                <c:pt idx="42">
                  <c:v>105.6174</c:v>
                </c:pt>
                <c:pt idx="43">
                  <c:v>106.7486</c:v>
                </c:pt>
                <c:pt idx="44">
                  <c:v>106.6917</c:v>
                </c:pt>
                <c:pt idx="45">
                  <c:v>105.99630000000001</c:v>
                </c:pt>
                <c:pt idx="46">
                  <c:v>106.3837</c:v>
                </c:pt>
                <c:pt idx="47">
                  <c:v>105.53789999999999</c:v>
                </c:pt>
                <c:pt idx="48">
                  <c:v>105.8738</c:v>
                </c:pt>
                <c:pt idx="49">
                  <c:v>105.42019999999999</c:v>
                </c:pt>
                <c:pt idx="50">
                  <c:v>105.9263</c:v>
                </c:pt>
                <c:pt idx="51">
                  <c:v>105.9239</c:v>
                </c:pt>
                <c:pt idx="52">
                  <c:v>107.0939</c:v>
                </c:pt>
                <c:pt idx="53">
                  <c:v>106.59399999999999</c:v>
                </c:pt>
                <c:pt idx="54">
                  <c:v>106.0158</c:v>
                </c:pt>
                <c:pt idx="55">
                  <c:v>105.8965</c:v>
                </c:pt>
                <c:pt idx="56">
                  <c:v>105.88639999999999</c:v>
                </c:pt>
                <c:pt idx="57">
                  <c:v>105.34910000000001</c:v>
                </c:pt>
                <c:pt idx="58">
                  <c:v>105.0819</c:v>
                </c:pt>
                <c:pt idx="59">
                  <c:v>104.7962</c:v>
                </c:pt>
                <c:pt idx="60">
                  <c:v>104.6194</c:v>
                </c:pt>
                <c:pt idx="61">
                  <c:v>104.5851</c:v>
                </c:pt>
                <c:pt idx="62">
                  <c:v>104.42870000000001</c:v>
                </c:pt>
                <c:pt idx="63">
                  <c:v>105.0498</c:v>
                </c:pt>
                <c:pt idx="64">
                  <c:v>105.01730000000001</c:v>
                </c:pt>
                <c:pt idx="65">
                  <c:v>104.7948</c:v>
                </c:pt>
                <c:pt idx="66">
                  <c:v>105.1039</c:v>
                </c:pt>
                <c:pt idx="67">
                  <c:v>104.6435</c:v>
                </c:pt>
                <c:pt idx="68">
                  <c:v>105.58459999999999</c:v>
                </c:pt>
                <c:pt idx="69">
                  <c:v>105.0303</c:v>
                </c:pt>
                <c:pt idx="70">
                  <c:v>104.81950000000001</c:v>
                </c:pt>
                <c:pt idx="71">
                  <c:v>104.794</c:v>
                </c:pt>
                <c:pt idx="72">
                  <c:v>104.23560000000001</c:v>
                </c:pt>
                <c:pt idx="73">
                  <c:v>105.1266</c:v>
                </c:pt>
                <c:pt idx="74">
                  <c:v>104.3575</c:v>
                </c:pt>
                <c:pt idx="75">
                  <c:v>104.0579</c:v>
                </c:pt>
                <c:pt idx="76">
                  <c:v>104.74509999999999</c:v>
                </c:pt>
                <c:pt idx="77">
                  <c:v>105.3045</c:v>
                </c:pt>
                <c:pt idx="78">
                  <c:v>104.739</c:v>
                </c:pt>
                <c:pt idx="79">
                  <c:v>104.8005</c:v>
                </c:pt>
                <c:pt idx="80">
                  <c:v>105.56</c:v>
                </c:pt>
                <c:pt idx="81">
                  <c:v>105.27549999999999</c:v>
                </c:pt>
                <c:pt idx="82">
                  <c:v>105.35850000000001</c:v>
                </c:pt>
                <c:pt idx="83">
                  <c:v>104.9301</c:v>
                </c:pt>
                <c:pt idx="84">
                  <c:v>104.19370000000001</c:v>
                </c:pt>
                <c:pt idx="85">
                  <c:v>104.4503</c:v>
                </c:pt>
                <c:pt idx="86">
                  <c:v>104.4059</c:v>
                </c:pt>
                <c:pt idx="87">
                  <c:v>104.6636</c:v>
                </c:pt>
                <c:pt idx="88">
                  <c:v>103.9323</c:v>
                </c:pt>
                <c:pt idx="89">
                  <c:v>104.3646</c:v>
                </c:pt>
                <c:pt idx="90">
                  <c:v>104.11669999999999</c:v>
                </c:pt>
                <c:pt idx="91">
                  <c:v>103.1152</c:v>
                </c:pt>
                <c:pt idx="92">
                  <c:v>103.5711</c:v>
                </c:pt>
                <c:pt idx="93">
                  <c:v>103.7415</c:v>
                </c:pt>
                <c:pt idx="94">
                  <c:v>103.0638</c:v>
                </c:pt>
                <c:pt idx="95">
                  <c:v>103.24379999999999</c:v>
                </c:pt>
                <c:pt idx="96">
                  <c:v>103.4725</c:v>
                </c:pt>
                <c:pt idx="97">
                  <c:v>104.0874</c:v>
                </c:pt>
                <c:pt idx="98">
                  <c:v>103.7557</c:v>
                </c:pt>
                <c:pt idx="99">
                  <c:v>103.3719</c:v>
                </c:pt>
                <c:pt idx="100">
                  <c:v>102.8931</c:v>
                </c:pt>
                <c:pt idx="101">
                  <c:v>103.48</c:v>
                </c:pt>
                <c:pt idx="102">
                  <c:v>103.4362</c:v>
                </c:pt>
                <c:pt idx="103">
                  <c:v>103.6602</c:v>
                </c:pt>
                <c:pt idx="104">
                  <c:v>103.876</c:v>
                </c:pt>
                <c:pt idx="105">
                  <c:v>103.3539</c:v>
                </c:pt>
                <c:pt idx="106">
                  <c:v>104.0643</c:v>
                </c:pt>
                <c:pt idx="107">
                  <c:v>103.729</c:v>
                </c:pt>
                <c:pt idx="108">
                  <c:v>103.124</c:v>
                </c:pt>
                <c:pt idx="109">
                  <c:v>104.1474</c:v>
                </c:pt>
                <c:pt idx="110">
                  <c:v>103.8365</c:v>
                </c:pt>
                <c:pt idx="111">
                  <c:v>103.62779999999999</c:v>
                </c:pt>
                <c:pt idx="112">
                  <c:v>103.6986</c:v>
                </c:pt>
                <c:pt idx="113">
                  <c:v>104.1523</c:v>
                </c:pt>
                <c:pt idx="114">
                  <c:v>103.7169</c:v>
                </c:pt>
                <c:pt idx="115">
                  <c:v>102.9686</c:v>
                </c:pt>
                <c:pt idx="116">
                  <c:v>104.0425</c:v>
                </c:pt>
                <c:pt idx="117">
                  <c:v>103.405</c:v>
                </c:pt>
                <c:pt idx="118">
                  <c:v>104.0852</c:v>
                </c:pt>
                <c:pt idx="119">
                  <c:v>102.6712</c:v>
                </c:pt>
                <c:pt idx="120">
                  <c:v>102.8569</c:v>
                </c:pt>
                <c:pt idx="121">
                  <c:v>103.6764</c:v>
                </c:pt>
                <c:pt idx="122">
                  <c:v>102.9127</c:v>
                </c:pt>
                <c:pt idx="123">
                  <c:v>103.0419</c:v>
                </c:pt>
                <c:pt idx="124">
                  <c:v>102.3314</c:v>
                </c:pt>
                <c:pt idx="125">
                  <c:v>102.20659999999999</c:v>
                </c:pt>
                <c:pt idx="126">
                  <c:v>102.40049999999999</c:v>
                </c:pt>
                <c:pt idx="127">
                  <c:v>103.4308</c:v>
                </c:pt>
                <c:pt idx="128">
                  <c:v>102.1999</c:v>
                </c:pt>
                <c:pt idx="129">
                  <c:v>102.2739</c:v>
                </c:pt>
                <c:pt idx="130">
                  <c:v>102.51300000000001</c:v>
                </c:pt>
                <c:pt idx="131">
                  <c:v>102.4083</c:v>
                </c:pt>
                <c:pt idx="132">
                  <c:v>103.0194</c:v>
                </c:pt>
                <c:pt idx="133">
                  <c:v>102.6127</c:v>
                </c:pt>
                <c:pt idx="134">
                  <c:v>103.1204</c:v>
                </c:pt>
                <c:pt idx="135">
                  <c:v>102.2724</c:v>
                </c:pt>
                <c:pt idx="136">
                  <c:v>102.1324</c:v>
                </c:pt>
                <c:pt idx="137">
                  <c:v>102.39409999999999</c:v>
                </c:pt>
                <c:pt idx="138">
                  <c:v>101.65049999999999</c:v>
                </c:pt>
                <c:pt idx="139">
                  <c:v>101.8997</c:v>
                </c:pt>
                <c:pt idx="140">
                  <c:v>102.251</c:v>
                </c:pt>
                <c:pt idx="141">
                  <c:v>102.3168</c:v>
                </c:pt>
                <c:pt idx="142">
                  <c:v>103.2574</c:v>
                </c:pt>
                <c:pt idx="143">
                  <c:v>102.6332</c:v>
                </c:pt>
                <c:pt idx="144">
                  <c:v>102.9134</c:v>
                </c:pt>
                <c:pt idx="145">
                  <c:v>102.5651</c:v>
                </c:pt>
                <c:pt idx="146">
                  <c:v>102.9928</c:v>
                </c:pt>
                <c:pt idx="147">
                  <c:v>102.6515</c:v>
                </c:pt>
                <c:pt idx="148">
                  <c:v>101.60129999999999</c:v>
                </c:pt>
                <c:pt idx="149">
                  <c:v>102.0462</c:v>
                </c:pt>
                <c:pt idx="150">
                  <c:v>102.43300000000001</c:v>
                </c:pt>
                <c:pt idx="151">
                  <c:v>101.99169999999999</c:v>
                </c:pt>
                <c:pt idx="152">
                  <c:v>101.5997</c:v>
                </c:pt>
                <c:pt idx="153">
                  <c:v>101.5175</c:v>
                </c:pt>
                <c:pt idx="154">
                  <c:v>101.81180000000001</c:v>
                </c:pt>
                <c:pt idx="155">
                  <c:v>101.7285</c:v>
                </c:pt>
                <c:pt idx="156">
                  <c:v>101.84310000000001</c:v>
                </c:pt>
                <c:pt idx="157">
                  <c:v>102.3386</c:v>
                </c:pt>
                <c:pt idx="158">
                  <c:v>102.0985</c:v>
                </c:pt>
                <c:pt idx="159">
                  <c:v>102.76649999999999</c:v>
                </c:pt>
                <c:pt idx="160">
                  <c:v>102.9953</c:v>
                </c:pt>
                <c:pt idx="161">
                  <c:v>102.5698</c:v>
                </c:pt>
                <c:pt idx="162">
                  <c:v>101.4092</c:v>
                </c:pt>
                <c:pt idx="163">
                  <c:v>102.29349999999999</c:v>
                </c:pt>
                <c:pt idx="164">
                  <c:v>102.44159999999999</c:v>
                </c:pt>
                <c:pt idx="165">
                  <c:v>102.24160000000001</c:v>
                </c:pt>
                <c:pt idx="166">
                  <c:v>102.7966</c:v>
                </c:pt>
                <c:pt idx="167">
                  <c:v>102.2007</c:v>
                </c:pt>
                <c:pt idx="168">
                  <c:v>101.8429</c:v>
                </c:pt>
                <c:pt idx="169">
                  <c:v>101.6437</c:v>
                </c:pt>
                <c:pt idx="170">
                  <c:v>101.09010000000001</c:v>
                </c:pt>
                <c:pt idx="171">
                  <c:v>101.45059999999999</c:v>
                </c:pt>
                <c:pt idx="172">
                  <c:v>101.36409999999999</c:v>
                </c:pt>
                <c:pt idx="173">
                  <c:v>101.1601</c:v>
                </c:pt>
                <c:pt idx="174">
                  <c:v>101.69970000000001</c:v>
                </c:pt>
                <c:pt idx="175">
                  <c:v>101.75579999999999</c:v>
                </c:pt>
                <c:pt idx="176">
                  <c:v>101.642</c:v>
                </c:pt>
                <c:pt idx="177">
                  <c:v>101.24079999999999</c:v>
                </c:pt>
                <c:pt idx="178">
                  <c:v>101.84010000000001</c:v>
                </c:pt>
                <c:pt idx="179">
                  <c:v>102.12479999999999</c:v>
                </c:pt>
                <c:pt idx="180">
                  <c:v>102.17870000000001</c:v>
                </c:pt>
                <c:pt idx="181">
                  <c:v>101.43729999999999</c:v>
                </c:pt>
                <c:pt idx="182">
                  <c:v>101.8087</c:v>
                </c:pt>
                <c:pt idx="183">
                  <c:v>101.7594</c:v>
                </c:pt>
                <c:pt idx="184">
                  <c:v>100.8886</c:v>
                </c:pt>
                <c:pt idx="185">
                  <c:v>101.7694</c:v>
                </c:pt>
                <c:pt idx="186">
                  <c:v>101.6969</c:v>
                </c:pt>
                <c:pt idx="187">
                  <c:v>100.7578</c:v>
                </c:pt>
                <c:pt idx="188">
                  <c:v>100.8995</c:v>
                </c:pt>
                <c:pt idx="189">
                  <c:v>101.2963</c:v>
                </c:pt>
                <c:pt idx="190">
                  <c:v>101.434</c:v>
                </c:pt>
                <c:pt idx="191">
                  <c:v>101.25190000000001</c:v>
                </c:pt>
                <c:pt idx="192">
                  <c:v>101.35380000000001</c:v>
                </c:pt>
                <c:pt idx="193">
                  <c:v>101.0924</c:v>
                </c:pt>
                <c:pt idx="194">
                  <c:v>100.7328</c:v>
                </c:pt>
                <c:pt idx="195">
                  <c:v>101.4028</c:v>
                </c:pt>
                <c:pt idx="196">
                  <c:v>100.315</c:v>
                </c:pt>
                <c:pt idx="197">
                  <c:v>100.7097</c:v>
                </c:pt>
                <c:pt idx="198">
                  <c:v>99.936599999999999</c:v>
                </c:pt>
                <c:pt idx="199">
                  <c:v>100.5244</c:v>
                </c:pt>
                <c:pt idx="200">
                  <c:v>100.52979999999999</c:v>
                </c:pt>
                <c:pt idx="201">
                  <c:v>100.56270000000001</c:v>
                </c:pt>
                <c:pt idx="202">
                  <c:v>101.26730000000001</c:v>
                </c:pt>
                <c:pt idx="203">
                  <c:v>100.318</c:v>
                </c:pt>
                <c:pt idx="204">
                  <c:v>101.14660000000001</c:v>
                </c:pt>
                <c:pt idx="205">
                  <c:v>100.39790000000001</c:v>
                </c:pt>
                <c:pt idx="206">
                  <c:v>100.2668</c:v>
                </c:pt>
                <c:pt idx="207">
                  <c:v>100.4824</c:v>
                </c:pt>
                <c:pt idx="208">
                  <c:v>100.1611</c:v>
                </c:pt>
                <c:pt idx="209">
                  <c:v>100.7315</c:v>
                </c:pt>
                <c:pt idx="210">
                  <c:v>100.955</c:v>
                </c:pt>
                <c:pt idx="211">
                  <c:v>100.3673</c:v>
                </c:pt>
                <c:pt idx="212">
                  <c:v>100.2337</c:v>
                </c:pt>
                <c:pt idx="213">
                  <c:v>100.1961</c:v>
                </c:pt>
                <c:pt idx="214">
                  <c:v>99.870500000000007</c:v>
                </c:pt>
                <c:pt idx="215">
                  <c:v>99.554400000000001</c:v>
                </c:pt>
                <c:pt idx="216">
                  <c:v>99.727900000000005</c:v>
                </c:pt>
                <c:pt idx="217">
                  <c:v>100.1896</c:v>
                </c:pt>
                <c:pt idx="218">
                  <c:v>99.789100000000005</c:v>
                </c:pt>
                <c:pt idx="219">
                  <c:v>100.845</c:v>
                </c:pt>
                <c:pt idx="220">
                  <c:v>100.55240000000001</c:v>
                </c:pt>
                <c:pt idx="221">
                  <c:v>100.7236</c:v>
                </c:pt>
                <c:pt idx="222">
                  <c:v>100.83150000000001</c:v>
                </c:pt>
                <c:pt idx="223">
                  <c:v>99.891400000000004</c:v>
                </c:pt>
                <c:pt idx="224">
                  <c:v>100.8745</c:v>
                </c:pt>
                <c:pt idx="225">
                  <c:v>100.49169999999999</c:v>
                </c:pt>
                <c:pt idx="226">
                  <c:v>100.3511</c:v>
                </c:pt>
                <c:pt idx="227">
                  <c:v>100.3754</c:v>
                </c:pt>
                <c:pt idx="228">
                  <c:v>100.0886</c:v>
                </c:pt>
                <c:pt idx="229">
                  <c:v>100.55289999999999</c:v>
                </c:pt>
                <c:pt idx="230">
                  <c:v>99.490899999999996</c:v>
                </c:pt>
                <c:pt idx="231">
                  <c:v>100.2533</c:v>
                </c:pt>
                <c:pt idx="232">
                  <c:v>99.635000000000005</c:v>
                </c:pt>
                <c:pt idx="233">
                  <c:v>99.327799999999996</c:v>
                </c:pt>
                <c:pt idx="234">
                  <c:v>100.0309</c:v>
                </c:pt>
                <c:pt idx="235">
                  <c:v>99.275700000000001</c:v>
                </c:pt>
                <c:pt idx="236">
                  <c:v>99.905799999999999</c:v>
                </c:pt>
                <c:pt idx="237">
                  <c:v>99.717399999999998</c:v>
                </c:pt>
                <c:pt idx="238">
                  <c:v>99.501800000000003</c:v>
                </c:pt>
                <c:pt idx="239">
                  <c:v>100.2013</c:v>
                </c:pt>
                <c:pt idx="240">
                  <c:v>99.924599999999998</c:v>
                </c:pt>
                <c:pt idx="241">
                  <c:v>99.6434</c:v>
                </c:pt>
                <c:pt idx="242">
                  <c:v>100.2641</c:v>
                </c:pt>
                <c:pt idx="243">
                  <c:v>99.823700000000002</c:v>
                </c:pt>
                <c:pt idx="244">
                  <c:v>99.422300000000007</c:v>
                </c:pt>
                <c:pt idx="245">
                  <c:v>100.1323</c:v>
                </c:pt>
                <c:pt idx="246">
                  <c:v>99.182299999999998</c:v>
                </c:pt>
                <c:pt idx="247">
                  <c:v>98.911799999999999</c:v>
                </c:pt>
                <c:pt idx="248">
                  <c:v>98.702699999999993</c:v>
                </c:pt>
                <c:pt idx="249">
                  <c:v>98.417500000000004</c:v>
                </c:pt>
                <c:pt idx="250">
                  <c:v>99.028000000000006</c:v>
                </c:pt>
                <c:pt idx="251">
                  <c:v>99.036799999999999</c:v>
                </c:pt>
                <c:pt idx="252">
                  <c:v>99.232799999999997</c:v>
                </c:pt>
                <c:pt idx="253">
                  <c:v>98.9131</c:v>
                </c:pt>
                <c:pt idx="254">
                  <c:v>99.431899999999999</c:v>
                </c:pt>
                <c:pt idx="255">
                  <c:v>99.149299999999997</c:v>
                </c:pt>
                <c:pt idx="256">
                  <c:v>99.001199999999997</c:v>
                </c:pt>
                <c:pt idx="257">
                  <c:v>98.410899999999998</c:v>
                </c:pt>
                <c:pt idx="258">
                  <c:v>98.407200000000003</c:v>
                </c:pt>
                <c:pt idx="259">
                  <c:v>98.131100000000004</c:v>
                </c:pt>
                <c:pt idx="260">
                  <c:v>98.128500000000003</c:v>
                </c:pt>
                <c:pt idx="261">
                  <c:v>98.080600000000004</c:v>
                </c:pt>
                <c:pt idx="262">
                  <c:v>97.723500000000001</c:v>
                </c:pt>
                <c:pt idx="263">
                  <c:v>98.469200000000001</c:v>
                </c:pt>
                <c:pt idx="264">
                  <c:v>97.911600000000007</c:v>
                </c:pt>
                <c:pt idx="265">
                  <c:v>98.0792</c:v>
                </c:pt>
                <c:pt idx="266">
                  <c:v>98.495800000000003</c:v>
                </c:pt>
                <c:pt idx="267">
                  <c:v>98.351200000000006</c:v>
                </c:pt>
                <c:pt idx="268">
                  <c:v>97.255099999999999</c:v>
                </c:pt>
                <c:pt idx="269">
                  <c:v>97.260800000000003</c:v>
                </c:pt>
                <c:pt idx="270">
                  <c:v>97.0364</c:v>
                </c:pt>
                <c:pt idx="271">
                  <c:v>97.063800000000001</c:v>
                </c:pt>
                <c:pt idx="272">
                  <c:v>96.849900000000005</c:v>
                </c:pt>
                <c:pt idx="273">
                  <c:v>96.576599999999999</c:v>
                </c:pt>
                <c:pt idx="274">
                  <c:v>97.297300000000007</c:v>
                </c:pt>
                <c:pt idx="275">
                  <c:v>97.022900000000007</c:v>
                </c:pt>
                <c:pt idx="276">
                  <c:v>96.806799999999996</c:v>
                </c:pt>
                <c:pt idx="277">
                  <c:v>97.090900000000005</c:v>
                </c:pt>
                <c:pt idx="278">
                  <c:v>97.3078</c:v>
                </c:pt>
                <c:pt idx="279">
                  <c:v>98.006799999999998</c:v>
                </c:pt>
                <c:pt idx="280">
                  <c:v>97.8</c:v>
                </c:pt>
                <c:pt idx="281">
                  <c:v>97.215900000000005</c:v>
                </c:pt>
                <c:pt idx="282">
                  <c:v>97.407399999999996</c:v>
                </c:pt>
                <c:pt idx="283">
                  <c:v>97</c:v>
                </c:pt>
                <c:pt idx="284">
                  <c:v>97.294799999999995</c:v>
                </c:pt>
                <c:pt idx="285">
                  <c:v>98.680199999999999</c:v>
                </c:pt>
                <c:pt idx="286">
                  <c:v>97.782399999999996</c:v>
                </c:pt>
                <c:pt idx="287">
                  <c:v>97.395799999999994</c:v>
                </c:pt>
                <c:pt idx="288">
                  <c:v>97.242599999999996</c:v>
                </c:pt>
                <c:pt idx="289">
                  <c:v>97.208399999999997</c:v>
                </c:pt>
                <c:pt idx="290">
                  <c:v>97.206599999999995</c:v>
                </c:pt>
                <c:pt idx="291">
                  <c:v>97.394599999999997</c:v>
                </c:pt>
                <c:pt idx="292">
                  <c:v>98.322400000000002</c:v>
                </c:pt>
                <c:pt idx="293">
                  <c:v>97.313299999999998</c:v>
                </c:pt>
                <c:pt idx="294">
                  <c:v>97.4803</c:v>
                </c:pt>
                <c:pt idx="295">
                  <c:v>98.040599999999998</c:v>
                </c:pt>
                <c:pt idx="296">
                  <c:v>97.702799999999996</c:v>
                </c:pt>
                <c:pt idx="297">
                  <c:v>97.2149</c:v>
                </c:pt>
                <c:pt idx="298">
                  <c:v>97.247100000000003</c:v>
                </c:pt>
                <c:pt idx="299">
                  <c:v>97.016499999999994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4F48-B54F-AA6B-F3358CB8DBB3}"/>
            </c:ext>
          </c:extLst>
        </c:ser>
        <c:ser>
          <c:idx val="3"/>
          <c:order val="3"/>
          <c:tx>
            <c:strRef>
              <c:f>Simulation!$I$1</c:f>
              <c:strCache>
                <c:ptCount val="1"/>
                <c:pt idx="0">
                  <c:v>P1</c:v>
                </c:pt>
              </c:strCache>
            </c:strRef>
          </c:tx>
          <c:spPr>
            <a:ln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Simulation!$I$2:$I$301</c:f>
              <c:numCache>
                <c:formatCode>General</c:formatCode>
                <c:ptCount val="300"/>
                <c:pt idx="0">
                  <c:v>68.294700000000006</c:v>
                </c:pt>
                <c:pt idx="1">
                  <c:v>29.904399999999999</c:v>
                </c:pt>
                <c:pt idx="2">
                  <c:v>16.7822</c:v>
                </c:pt>
                <c:pt idx="3">
                  <c:v>8.3993000000000002</c:v>
                </c:pt>
                <c:pt idx="4">
                  <c:v>1.8517999999999999</c:v>
                </c:pt>
                <c:pt idx="5">
                  <c:v>-0.58720000000000006</c:v>
                </c:pt>
                <c:pt idx="6">
                  <c:v>-3.1092</c:v>
                </c:pt>
                <c:pt idx="7">
                  <c:v>-3.7242999999999999</c:v>
                </c:pt>
                <c:pt idx="8">
                  <c:v>-6.282</c:v>
                </c:pt>
                <c:pt idx="9">
                  <c:v>-7.1670999999999996</c:v>
                </c:pt>
                <c:pt idx="10">
                  <c:v>-9.9291</c:v>
                </c:pt>
                <c:pt idx="11">
                  <c:v>-10.276999999999999</c:v>
                </c:pt>
                <c:pt idx="12">
                  <c:v>-10.3538</c:v>
                </c:pt>
                <c:pt idx="13">
                  <c:v>-10.622400000000001</c:v>
                </c:pt>
                <c:pt idx="14">
                  <c:v>-11.728199999999999</c:v>
                </c:pt>
                <c:pt idx="15">
                  <c:v>-10.784700000000001</c:v>
                </c:pt>
                <c:pt idx="16">
                  <c:v>-10.3581</c:v>
                </c:pt>
                <c:pt idx="17">
                  <c:v>-10.783799999999999</c:v>
                </c:pt>
                <c:pt idx="18">
                  <c:v>-10.436</c:v>
                </c:pt>
                <c:pt idx="19">
                  <c:v>-12.1113</c:v>
                </c:pt>
                <c:pt idx="20">
                  <c:v>-13.504</c:v>
                </c:pt>
                <c:pt idx="21">
                  <c:v>-13.9411</c:v>
                </c:pt>
                <c:pt idx="22">
                  <c:v>-13.647500000000001</c:v>
                </c:pt>
                <c:pt idx="23">
                  <c:v>-12.8962</c:v>
                </c:pt>
                <c:pt idx="24">
                  <c:v>-12.7455</c:v>
                </c:pt>
                <c:pt idx="25">
                  <c:v>-14.4254</c:v>
                </c:pt>
                <c:pt idx="26">
                  <c:v>-13.498100000000001</c:v>
                </c:pt>
                <c:pt idx="27">
                  <c:v>-13.906000000000001</c:v>
                </c:pt>
                <c:pt idx="28">
                  <c:v>-13.088100000000001</c:v>
                </c:pt>
                <c:pt idx="29">
                  <c:v>-13.6127</c:v>
                </c:pt>
                <c:pt idx="30">
                  <c:v>-14.2719</c:v>
                </c:pt>
                <c:pt idx="31">
                  <c:v>-14.798500000000001</c:v>
                </c:pt>
                <c:pt idx="32">
                  <c:v>-13.538500000000001</c:v>
                </c:pt>
                <c:pt idx="33">
                  <c:v>-11.889900000000001</c:v>
                </c:pt>
                <c:pt idx="34">
                  <c:v>-12.8583</c:v>
                </c:pt>
                <c:pt idx="35">
                  <c:v>-13.456300000000001</c:v>
                </c:pt>
                <c:pt idx="36">
                  <c:v>-12.6991</c:v>
                </c:pt>
                <c:pt idx="37">
                  <c:v>-13.132999999999999</c:v>
                </c:pt>
                <c:pt idx="38">
                  <c:v>-13.748699999999999</c:v>
                </c:pt>
                <c:pt idx="39">
                  <c:v>-10.923299999999999</c:v>
                </c:pt>
                <c:pt idx="40">
                  <c:v>-11.792199999999999</c:v>
                </c:pt>
                <c:pt idx="41">
                  <c:v>-12.793900000000001</c:v>
                </c:pt>
                <c:pt idx="42">
                  <c:v>-12.7378</c:v>
                </c:pt>
                <c:pt idx="43">
                  <c:v>-13.1998</c:v>
                </c:pt>
                <c:pt idx="44">
                  <c:v>-13.6732</c:v>
                </c:pt>
                <c:pt idx="45">
                  <c:v>-11.345700000000001</c:v>
                </c:pt>
                <c:pt idx="46">
                  <c:v>-13.978</c:v>
                </c:pt>
                <c:pt idx="47">
                  <c:v>-11.7179</c:v>
                </c:pt>
                <c:pt idx="48">
                  <c:v>-15.3363</c:v>
                </c:pt>
                <c:pt idx="49">
                  <c:v>-13.8474</c:v>
                </c:pt>
                <c:pt idx="50">
                  <c:v>-14.554600000000001</c:v>
                </c:pt>
                <c:pt idx="51">
                  <c:v>-13.6883</c:v>
                </c:pt>
                <c:pt idx="52">
                  <c:v>-14.742100000000001</c:v>
                </c:pt>
                <c:pt idx="53">
                  <c:v>-15.0685</c:v>
                </c:pt>
                <c:pt idx="54">
                  <c:v>-15.131</c:v>
                </c:pt>
                <c:pt idx="55">
                  <c:v>-15.072900000000001</c:v>
                </c:pt>
                <c:pt idx="56">
                  <c:v>-15.904400000000001</c:v>
                </c:pt>
                <c:pt idx="57">
                  <c:v>-12.8935</c:v>
                </c:pt>
                <c:pt idx="58">
                  <c:v>-13.5031</c:v>
                </c:pt>
                <c:pt idx="59">
                  <c:v>-14.852</c:v>
                </c:pt>
                <c:pt idx="60">
                  <c:v>-14.4422</c:v>
                </c:pt>
                <c:pt idx="61">
                  <c:v>-14.311299999999999</c:v>
                </c:pt>
                <c:pt idx="62">
                  <c:v>-14.1129</c:v>
                </c:pt>
                <c:pt idx="63">
                  <c:v>-15.600199999999999</c:v>
                </c:pt>
                <c:pt idx="64">
                  <c:v>-14.6386</c:v>
                </c:pt>
                <c:pt idx="65">
                  <c:v>-14.2339</c:v>
                </c:pt>
                <c:pt idx="66">
                  <c:v>-13.939</c:v>
                </c:pt>
                <c:pt idx="67">
                  <c:v>-13.5924</c:v>
                </c:pt>
                <c:pt idx="68">
                  <c:v>-14.416399999999999</c:v>
                </c:pt>
                <c:pt idx="69">
                  <c:v>-12.809699999999999</c:v>
                </c:pt>
                <c:pt idx="70">
                  <c:v>-12.5524</c:v>
                </c:pt>
                <c:pt idx="71">
                  <c:v>-14.5814</c:v>
                </c:pt>
                <c:pt idx="72">
                  <c:v>-14.459099999999999</c:v>
                </c:pt>
                <c:pt idx="73">
                  <c:v>-14.246700000000001</c:v>
                </c:pt>
                <c:pt idx="74">
                  <c:v>-13.198700000000001</c:v>
                </c:pt>
                <c:pt idx="75">
                  <c:v>-13.7272</c:v>
                </c:pt>
                <c:pt idx="76">
                  <c:v>-14.894299999999999</c:v>
                </c:pt>
                <c:pt idx="77">
                  <c:v>-14.1244</c:v>
                </c:pt>
                <c:pt idx="78">
                  <c:v>-14.9331</c:v>
                </c:pt>
                <c:pt idx="79">
                  <c:v>-14.484299999999999</c:v>
                </c:pt>
                <c:pt idx="80">
                  <c:v>-13.9704</c:v>
                </c:pt>
                <c:pt idx="81">
                  <c:v>-13.4672</c:v>
                </c:pt>
                <c:pt idx="82">
                  <c:v>-11.973000000000001</c:v>
                </c:pt>
                <c:pt idx="83">
                  <c:v>-14.044600000000001</c:v>
                </c:pt>
                <c:pt idx="84">
                  <c:v>-14.858700000000001</c:v>
                </c:pt>
                <c:pt idx="85">
                  <c:v>-17.5259</c:v>
                </c:pt>
                <c:pt idx="86">
                  <c:v>-16.604500000000002</c:v>
                </c:pt>
                <c:pt idx="87">
                  <c:v>-15.8719</c:v>
                </c:pt>
                <c:pt idx="88">
                  <c:v>-14.683</c:v>
                </c:pt>
                <c:pt idx="89">
                  <c:v>-15.2051</c:v>
                </c:pt>
                <c:pt idx="90">
                  <c:v>-14.3461</c:v>
                </c:pt>
                <c:pt idx="91">
                  <c:v>-13.7967</c:v>
                </c:pt>
                <c:pt idx="92">
                  <c:v>-14.792999999999999</c:v>
                </c:pt>
                <c:pt idx="93">
                  <c:v>-12.9876</c:v>
                </c:pt>
                <c:pt idx="94">
                  <c:v>-16.6783</c:v>
                </c:pt>
                <c:pt idx="95">
                  <c:v>-17.8401</c:v>
                </c:pt>
                <c:pt idx="96">
                  <c:v>-16.38</c:v>
                </c:pt>
                <c:pt idx="97">
                  <c:v>-14.069699999999999</c:v>
                </c:pt>
                <c:pt idx="98">
                  <c:v>-14.218400000000001</c:v>
                </c:pt>
                <c:pt idx="99">
                  <c:v>-14.901899999999999</c:v>
                </c:pt>
                <c:pt idx="100">
                  <c:v>-16.207899999999999</c:v>
                </c:pt>
                <c:pt idx="101">
                  <c:v>-15.758599999999999</c:v>
                </c:pt>
                <c:pt idx="102">
                  <c:v>-15.114800000000001</c:v>
                </c:pt>
                <c:pt idx="103">
                  <c:v>-16.111499999999999</c:v>
                </c:pt>
                <c:pt idx="104">
                  <c:v>-17.392700000000001</c:v>
                </c:pt>
                <c:pt idx="105">
                  <c:v>-14.813000000000001</c:v>
                </c:pt>
                <c:pt idx="106">
                  <c:v>-16.495899999999999</c:v>
                </c:pt>
                <c:pt idx="107">
                  <c:v>-15.9916</c:v>
                </c:pt>
                <c:pt idx="108">
                  <c:v>-15.6677</c:v>
                </c:pt>
                <c:pt idx="109">
                  <c:v>-15.3741</c:v>
                </c:pt>
                <c:pt idx="110">
                  <c:v>-16.553699999999999</c:v>
                </c:pt>
                <c:pt idx="111">
                  <c:v>-16.214200000000002</c:v>
                </c:pt>
                <c:pt idx="112">
                  <c:v>-15.9712</c:v>
                </c:pt>
                <c:pt idx="113">
                  <c:v>-16.410299999999999</c:v>
                </c:pt>
                <c:pt idx="114">
                  <c:v>-15.899100000000001</c:v>
                </c:pt>
                <c:pt idx="115">
                  <c:v>-19.121200000000002</c:v>
                </c:pt>
                <c:pt idx="116">
                  <c:v>-16.9329</c:v>
                </c:pt>
                <c:pt idx="117">
                  <c:v>-16.0822</c:v>
                </c:pt>
                <c:pt idx="118">
                  <c:v>-16.359400000000001</c:v>
                </c:pt>
                <c:pt idx="119">
                  <c:v>-17.661999999999999</c:v>
                </c:pt>
                <c:pt idx="120">
                  <c:v>-14.7202</c:v>
                </c:pt>
                <c:pt idx="121">
                  <c:v>-14.688499999999999</c:v>
                </c:pt>
                <c:pt idx="122">
                  <c:v>-17.2074</c:v>
                </c:pt>
                <c:pt idx="123">
                  <c:v>-16.354800000000001</c:v>
                </c:pt>
                <c:pt idx="124">
                  <c:v>-15.916399999999999</c:v>
                </c:pt>
                <c:pt idx="125">
                  <c:v>-17.090699999999998</c:v>
                </c:pt>
                <c:pt idx="126">
                  <c:v>-17.619299999999999</c:v>
                </c:pt>
                <c:pt idx="127">
                  <c:v>-17.385300000000001</c:v>
                </c:pt>
                <c:pt idx="128">
                  <c:v>-16.589500000000001</c:v>
                </c:pt>
                <c:pt idx="129">
                  <c:v>-17.134499999999999</c:v>
                </c:pt>
                <c:pt idx="130">
                  <c:v>-16.1617</c:v>
                </c:pt>
                <c:pt idx="131">
                  <c:v>-18.368500000000001</c:v>
                </c:pt>
                <c:pt idx="132">
                  <c:v>-16.144200000000001</c:v>
                </c:pt>
                <c:pt idx="133">
                  <c:v>-16.664000000000001</c:v>
                </c:pt>
                <c:pt idx="134">
                  <c:v>-17.2591</c:v>
                </c:pt>
                <c:pt idx="135">
                  <c:v>-17.153700000000001</c:v>
                </c:pt>
                <c:pt idx="136">
                  <c:v>-17.505700000000001</c:v>
                </c:pt>
                <c:pt idx="137">
                  <c:v>-17.065999999999999</c:v>
                </c:pt>
                <c:pt idx="138">
                  <c:v>-17.163499999999999</c:v>
                </c:pt>
                <c:pt idx="139">
                  <c:v>-18.004300000000001</c:v>
                </c:pt>
                <c:pt idx="140">
                  <c:v>-16.977399999999999</c:v>
                </c:pt>
                <c:pt idx="141">
                  <c:v>-17.2578</c:v>
                </c:pt>
                <c:pt idx="142">
                  <c:v>-14.4405</c:v>
                </c:pt>
                <c:pt idx="143">
                  <c:v>-16.2683</c:v>
                </c:pt>
                <c:pt idx="144">
                  <c:v>-15.579700000000001</c:v>
                </c:pt>
                <c:pt idx="145">
                  <c:v>-18.049800000000001</c:v>
                </c:pt>
                <c:pt idx="146">
                  <c:v>-16.027100000000001</c:v>
                </c:pt>
                <c:pt idx="147">
                  <c:v>-16.786799999999999</c:v>
                </c:pt>
                <c:pt idx="148">
                  <c:v>-16.519300000000001</c:v>
                </c:pt>
                <c:pt idx="149">
                  <c:v>-16.265899999999998</c:v>
                </c:pt>
                <c:pt idx="150">
                  <c:v>-17.402699999999999</c:v>
                </c:pt>
                <c:pt idx="151">
                  <c:v>-19.355499999999999</c:v>
                </c:pt>
                <c:pt idx="152">
                  <c:v>-16.6891</c:v>
                </c:pt>
                <c:pt idx="153">
                  <c:v>-16.014500000000002</c:v>
                </c:pt>
                <c:pt idx="154">
                  <c:v>-16.781400000000001</c:v>
                </c:pt>
                <c:pt idx="155">
                  <c:v>-14.247999999999999</c:v>
                </c:pt>
                <c:pt idx="156">
                  <c:v>-16.882000000000001</c:v>
                </c:pt>
                <c:pt idx="157">
                  <c:v>-16.5929</c:v>
                </c:pt>
                <c:pt idx="158">
                  <c:v>-18.084499999999998</c:v>
                </c:pt>
                <c:pt idx="159">
                  <c:v>-17.139099999999999</c:v>
                </c:pt>
                <c:pt idx="160">
                  <c:v>-17.9604</c:v>
                </c:pt>
                <c:pt idx="161">
                  <c:v>-14.891999999999999</c:v>
                </c:pt>
                <c:pt idx="162">
                  <c:v>-16.716000000000001</c:v>
                </c:pt>
                <c:pt idx="163">
                  <c:v>-16.325600000000001</c:v>
                </c:pt>
                <c:pt idx="164">
                  <c:v>-16.284600000000001</c:v>
                </c:pt>
                <c:pt idx="165">
                  <c:v>-18.9238</c:v>
                </c:pt>
                <c:pt idx="166">
                  <c:v>-18.526</c:v>
                </c:pt>
                <c:pt idx="167">
                  <c:v>-17.8521</c:v>
                </c:pt>
                <c:pt idx="168">
                  <c:v>-17.174700000000001</c:v>
                </c:pt>
                <c:pt idx="169">
                  <c:v>-16.756399999999999</c:v>
                </c:pt>
                <c:pt idx="170">
                  <c:v>-18.9239</c:v>
                </c:pt>
                <c:pt idx="171">
                  <c:v>-18.308399999999999</c:v>
                </c:pt>
                <c:pt idx="172">
                  <c:v>-17.3916</c:v>
                </c:pt>
                <c:pt idx="173">
                  <c:v>-16.803999999999998</c:v>
                </c:pt>
                <c:pt idx="174">
                  <c:v>-16.976299999999998</c:v>
                </c:pt>
                <c:pt idx="175">
                  <c:v>-18.064499999999999</c:v>
                </c:pt>
                <c:pt idx="176">
                  <c:v>-18.1587</c:v>
                </c:pt>
                <c:pt idx="177">
                  <c:v>-17.826499999999999</c:v>
                </c:pt>
                <c:pt idx="178">
                  <c:v>-18.7103</c:v>
                </c:pt>
                <c:pt idx="179">
                  <c:v>-15.448600000000001</c:v>
                </c:pt>
                <c:pt idx="180">
                  <c:v>-18.7454</c:v>
                </c:pt>
                <c:pt idx="181">
                  <c:v>-20.336500000000001</c:v>
                </c:pt>
                <c:pt idx="182">
                  <c:v>-18.9252</c:v>
                </c:pt>
                <c:pt idx="183">
                  <c:v>-19.575399999999998</c:v>
                </c:pt>
                <c:pt idx="184">
                  <c:v>-19.1358</c:v>
                </c:pt>
                <c:pt idx="185">
                  <c:v>-18.389600000000002</c:v>
                </c:pt>
                <c:pt idx="186">
                  <c:v>-16.8718</c:v>
                </c:pt>
                <c:pt idx="187">
                  <c:v>-15.5593</c:v>
                </c:pt>
                <c:pt idx="188">
                  <c:v>-15.9483</c:v>
                </c:pt>
                <c:pt idx="189">
                  <c:v>-16.099599999999999</c:v>
                </c:pt>
                <c:pt idx="190">
                  <c:v>-16.348600000000001</c:v>
                </c:pt>
                <c:pt idx="191">
                  <c:v>-17.384599999999999</c:v>
                </c:pt>
                <c:pt idx="192">
                  <c:v>-16.6051</c:v>
                </c:pt>
                <c:pt idx="193">
                  <c:v>-17.899100000000001</c:v>
                </c:pt>
                <c:pt idx="194">
                  <c:v>-16.925699999999999</c:v>
                </c:pt>
                <c:pt idx="195">
                  <c:v>-18.071100000000001</c:v>
                </c:pt>
                <c:pt idx="196">
                  <c:v>-17.4038</c:v>
                </c:pt>
                <c:pt idx="197">
                  <c:v>-18.041599999999999</c:v>
                </c:pt>
                <c:pt idx="198">
                  <c:v>-17.633400000000002</c:v>
                </c:pt>
                <c:pt idx="199">
                  <c:v>-17.7789</c:v>
                </c:pt>
                <c:pt idx="200">
                  <c:v>-17.724799999999998</c:v>
                </c:pt>
                <c:pt idx="201">
                  <c:v>-17.967500000000001</c:v>
                </c:pt>
                <c:pt idx="202">
                  <c:v>-17.124300000000002</c:v>
                </c:pt>
                <c:pt idx="203">
                  <c:v>-18.203700000000001</c:v>
                </c:pt>
                <c:pt idx="204">
                  <c:v>-17.694800000000001</c:v>
                </c:pt>
                <c:pt idx="205">
                  <c:v>-17.1401</c:v>
                </c:pt>
                <c:pt idx="206">
                  <c:v>-18.300799999999999</c:v>
                </c:pt>
                <c:pt idx="207">
                  <c:v>-18.218399999999999</c:v>
                </c:pt>
                <c:pt idx="208">
                  <c:v>-16.9313</c:v>
                </c:pt>
                <c:pt idx="209">
                  <c:v>-18.604600000000001</c:v>
                </c:pt>
                <c:pt idx="210">
                  <c:v>-17.496400000000001</c:v>
                </c:pt>
                <c:pt idx="211">
                  <c:v>-17.353200000000001</c:v>
                </c:pt>
                <c:pt idx="212">
                  <c:v>-17.677399999999999</c:v>
                </c:pt>
                <c:pt idx="213">
                  <c:v>-16.098600000000001</c:v>
                </c:pt>
                <c:pt idx="214">
                  <c:v>-17.7699</c:v>
                </c:pt>
                <c:pt idx="215">
                  <c:v>-18.800899999999999</c:v>
                </c:pt>
                <c:pt idx="216">
                  <c:v>-19.770199999999999</c:v>
                </c:pt>
                <c:pt idx="217">
                  <c:v>-19.703099999999999</c:v>
                </c:pt>
                <c:pt idx="218">
                  <c:v>-19.960599999999999</c:v>
                </c:pt>
                <c:pt idx="219">
                  <c:v>-19.046800000000001</c:v>
                </c:pt>
                <c:pt idx="220">
                  <c:v>-17.771100000000001</c:v>
                </c:pt>
                <c:pt idx="221">
                  <c:v>-18.825700000000001</c:v>
                </c:pt>
                <c:pt idx="222">
                  <c:v>-18.234100000000002</c:v>
                </c:pt>
                <c:pt idx="223">
                  <c:v>-19.758400000000002</c:v>
                </c:pt>
                <c:pt idx="224">
                  <c:v>-20.015699999999999</c:v>
                </c:pt>
                <c:pt idx="225">
                  <c:v>-19.678100000000001</c:v>
                </c:pt>
                <c:pt idx="226">
                  <c:v>-18.414400000000001</c:v>
                </c:pt>
                <c:pt idx="227">
                  <c:v>-17.879200000000001</c:v>
                </c:pt>
                <c:pt idx="228">
                  <c:v>-17.197199999999999</c:v>
                </c:pt>
                <c:pt idx="229">
                  <c:v>-19.5228</c:v>
                </c:pt>
                <c:pt idx="230">
                  <c:v>-17.334800000000001</c:v>
                </c:pt>
                <c:pt idx="231">
                  <c:v>-18.9572</c:v>
                </c:pt>
                <c:pt idx="232">
                  <c:v>-18.865300000000001</c:v>
                </c:pt>
                <c:pt idx="233">
                  <c:v>-17.145900000000001</c:v>
                </c:pt>
                <c:pt idx="234">
                  <c:v>-17.9178</c:v>
                </c:pt>
                <c:pt idx="235">
                  <c:v>-18.2806</c:v>
                </c:pt>
                <c:pt idx="236">
                  <c:v>-19.577000000000002</c:v>
                </c:pt>
                <c:pt idx="237">
                  <c:v>-19.3185</c:v>
                </c:pt>
                <c:pt idx="238">
                  <c:v>-20.639800000000001</c:v>
                </c:pt>
                <c:pt idx="239">
                  <c:v>-19.553100000000001</c:v>
                </c:pt>
                <c:pt idx="240">
                  <c:v>-18.9878</c:v>
                </c:pt>
                <c:pt idx="241">
                  <c:v>-18.323599999999999</c:v>
                </c:pt>
                <c:pt idx="242">
                  <c:v>-19.716000000000001</c:v>
                </c:pt>
                <c:pt idx="243">
                  <c:v>-19.682099999999998</c:v>
                </c:pt>
                <c:pt idx="244">
                  <c:v>-21.8307</c:v>
                </c:pt>
                <c:pt idx="245">
                  <c:v>-19.042899999999999</c:v>
                </c:pt>
                <c:pt idx="246">
                  <c:v>-19.404</c:v>
                </c:pt>
                <c:pt idx="247">
                  <c:v>-21.252700000000001</c:v>
                </c:pt>
                <c:pt idx="248">
                  <c:v>-20.4452</c:v>
                </c:pt>
                <c:pt idx="249">
                  <c:v>-19.484000000000002</c:v>
                </c:pt>
                <c:pt idx="250">
                  <c:v>-20.141200000000001</c:v>
                </c:pt>
                <c:pt idx="251">
                  <c:v>-18.296500000000002</c:v>
                </c:pt>
                <c:pt idx="252">
                  <c:v>-19.8691</c:v>
                </c:pt>
                <c:pt idx="253">
                  <c:v>-21.284300000000002</c:v>
                </c:pt>
                <c:pt idx="254">
                  <c:v>-19.895199999999999</c:v>
                </c:pt>
                <c:pt idx="255">
                  <c:v>-22.093</c:v>
                </c:pt>
                <c:pt idx="256">
                  <c:v>-20.2545</c:v>
                </c:pt>
                <c:pt idx="257">
                  <c:v>-18.61</c:v>
                </c:pt>
                <c:pt idx="258">
                  <c:v>-19.4603</c:v>
                </c:pt>
                <c:pt idx="259">
                  <c:v>-21.2194</c:v>
                </c:pt>
                <c:pt idx="260">
                  <c:v>-20.899000000000001</c:v>
                </c:pt>
                <c:pt idx="261">
                  <c:v>-21.126799999999999</c:v>
                </c:pt>
                <c:pt idx="262">
                  <c:v>-21.332599999999999</c:v>
                </c:pt>
                <c:pt idx="263">
                  <c:v>-19.827300000000001</c:v>
                </c:pt>
                <c:pt idx="264">
                  <c:v>-20.049399999999999</c:v>
                </c:pt>
                <c:pt idx="265">
                  <c:v>-18.419</c:v>
                </c:pt>
                <c:pt idx="266">
                  <c:v>-18.87</c:v>
                </c:pt>
                <c:pt idx="267">
                  <c:v>-19.613399999999999</c:v>
                </c:pt>
                <c:pt idx="268">
                  <c:v>-22.0198</c:v>
                </c:pt>
                <c:pt idx="269">
                  <c:v>-23.071300000000001</c:v>
                </c:pt>
                <c:pt idx="270">
                  <c:v>-21.671600000000002</c:v>
                </c:pt>
                <c:pt idx="271">
                  <c:v>-22.294</c:v>
                </c:pt>
                <c:pt idx="272">
                  <c:v>-22.080500000000001</c:v>
                </c:pt>
                <c:pt idx="273">
                  <c:v>-20.567499999999999</c:v>
                </c:pt>
                <c:pt idx="274">
                  <c:v>-22.7302</c:v>
                </c:pt>
                <c:pt idx="275">
                  <c:v>-22.1435</c:v>
                </c:pt>
                <c:pt idx="276">
                  <c:v>-22.362300000000001</c:v>
                </c:pt>
                <c:pt idx="277">
                  <c:v>-25.4892</c:v>
                </c:pt>
                <c:pt idx="278">
                  <c:v>-23.565000000000001</c:v>
                </c:pt>
                <c:pt idx="279">
                  <c:v>-23.048500000000001</c:v>
                </c:pt>
                <c:pt idx="280">
                  <c:v>-22.260100000000001</c:v>
                </c:pt>
                <c:pt idx="281">
                  <c:v>-21.223500000000001</c:v>
                </c:pt>
                <c:pt idx="282">
                  <c:v>-21.1982</c:v>
                </c:pt>
                <c:pt idx="283">
                  <c:v>-21.7029</c:v>
                </c:pt>
                <c:pt idx="284">
                  <c:v>-21.6966</c:v>
                </c:pt>
                <c:pt idx="285">
                  <c:v>-23.187899999999999</c:v>
                </c:pt>
                <c:pt idx="286">
                  <c:v>-23.2956</c:v>
                </c:pt>
                <c:pt idx="287">
                  <c:v>-23.188600000000001</c:v>
                </c:pt>
                <c:pt idx="288">
                  <c:v>-21.275200000000002</c:v>
                </c:pt>
                <c:pt idx="289">
                  <c:v>-22.515699999999999</c:v>
                </c:pt>
                <c:pt idx="290">
                  <c:v>-22.422000000000001</c:v>
                </c:pt>
                <c:pt idx="291">
                  <c:v>-20.835699999999999</c:v>
                </c:pt>
                <c:pt idx="292">
                  <c:v>-22.172599999999999</c:v>
                </c:pt>
                <c:pt idx="293">
                  <c:v>-21.653700000000001</c:v>
                </c:pt>
                <c:pt idx="294">
                  <c:v>-22.9984</c:v>
                </c:pt>
                <c:pt idx="295">
                  <c:v>-22.098800000000001</c:v>
                </c:pt>
                <c:pt idx="296">
                  <c:v>-21.165700000000001</c:v>
                </c:pt>
                <c:pt idx="297">
                  <c:v>-21.847300000000001</c:v>
                </c:pt>
                <c:pt idx="298">
                  <c:v>-21.403300000000002</c:v>
                </c:pt>
                <c:pt idx="299">
                  <c:v>-22.495999999999999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4F48-B54F-AA6B-F3358CB8DB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Capture Price (EUR/MWh)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P50/P90/P99 at Key Project Horizons — DK1 Primary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Simulation!$L$2</c:f>
              <c:strCache>
                <c:ptCount val="1"/>
                <c:pt idx="0">
                  <c:v>P50</c:v>
                </c:pt>
              </c:strCache>
            </c:strRef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Simulation!$L$3:$L$7</c:f>
              <c:numCache>
                <c:formatCode>General</c:formatCode>
                <c:ptCount val="5"/>
                <c:pt idx="0">
                  <c:v>62.42</c:v>
                </c:pt>
                <c:pt idx="1">
                  <c:v>60.67</c:v>
                </c:pt>
                <c:pt idx="2">
                  <c:v>58.52</c:v>
                </c:pt>
                <c:pt idx="3">
                  <c:v>57.43</c:v>
                </c:pt>
                <c:pt idx="4">
                  <c:v>54.79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93C-3945-AEFA-5350FC059403}"/>
            </c:ext>
          </c:extLst>
        </c:ser>
        <c:ser>
          <c:idx val="1"/>
          <c:order val="1"/>
          <c:tx>
            <c:strRef>
              <c:f>Simulation!$M$2</c:f>
              <c:strCache>
                <c:ptCount val="1"/>
                <c:pt idx="0">
                  <c:v>P90</c:v>
                </c:pt>
              </c:strCache>
            </c:strRef>
          </c:tx>
          <c:spPr>
            <a:solidFill>
              <a:srgbClr val="FF8C00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Simulation!$M$3:$M$7</c:f>
              <c:numCache>
                <c:formatCode>General</c:formatCode>
                <c:ptCount val="5"/>
                <c:pt idx="0">
                  <c:v>19.97</c:v>
                </c:pt>
                <c:pt idx="1">
                  <c:v>18.27</c:v>
                </c:pt>
                <c:pt idx="2">
                  <c:v>16.52</c:v>
                </c:pt>
                <c:pt idx="3">
                  <c:v>14.71</c:v>
                </c:pt>
                <c:pt idx="4">
                  <c:v>12.55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893C-3945-AEFA-5350FC059403}"/>
            </c:ext>
          </c:extLst>
        </c:ser>
        <c:ser>
          <c:idx val="2"/>
          <c:order val="2"/>
          <c:tx>
            <c:strRef>
              <c:f>Simulation!$N$2</c:f>
              <c:strCache>
                <c:ptCount val="1"/>
                <c:pt idx="0">
                  <c:v>P99</c:v>
                </c:pt>
              </c:strCache>
            </c:strRef>
          </c:tx>
          <c:spPr>
            <a:solidFill>
              <a:srgbClr val="C00000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Simulation!$N$3:$N$7</c:f>
              <c:numCache>
                <c:formatCode>General</c:formatCode>
                <c:ptCount val="5"/>
                <c:pt idx="0">
                  <c:v>-14.85</c:v>
                </c:pt>
                <c:pt idx="1">
                  <c:v>-17.66</c:v>
                </c:pt>
                <c:pt idx="2">
                  <c:v>-15.45</c:v>
                </c:pt>
                <c:pt idx="3">
                  <c:v>-19.55</c:v>
                </c:pt>
                <c:pt idx="4">
                  <c:v>-22.5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893C-3945-AEFA-5350FC0594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Project Year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Capture Price (EUR/MWh)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MC Simulation - DK1 P50/P90/P99 Capture Price Paths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Simulation!$C$1</c:f>
              <c:strCache>
                <c:ptCount val="1"/>
                <c:pt idx="0">
                  <c:v>mu_capture</c:v>
                </c:pt>
              </c:strCache>
            </c:strRef>
          </c:tx>
          <c:spPr>
            <a:ln>
              <a:solidFill>
                <a:srgbClr val="70AD47"/>
              </a:solidFill>
              <a:prstDash val="solid"/>
            </a:ln>
          </c:spPr>
          <c:marker>
            <c:symbol val="none"/>
          </c:marker>
          <c:val>
            <c:numRef>
              <c:f>Simulation!$C$2:$C$301</c:f>
              <c:numCache>
                <c:formatCode>General</c:formatCode>
                <c:ptCount val="300"/>
                <c:pt idx="0">
                  <c:v>64.879900000000006</c:v>
                </c:pt>
                <c:pt idx="1">
                  <c:v>64.845699999999994</c:v>
                </c:pt>
                <c:pt idx="2">
                  <c:v>64.811400000000006</c:v>
                </c:pt>
                <c:pt idx="3">
                  <c:v>64.777100000000004</c:v>
                </c:pt>
                <c:pt idx="4">
                  <c:v>64.742900000000006</c:v>
                </c:pt>
                <c:pt idx="5">
                  <c:v>64.708600000000004</c:v>
                </c:pt>
                <c:pt idx="6">
                  <c:v>64.674400000000006</c:v>
                </c:pt>
                <c:pt idx="7">
                  <c:v>64.640100000000004</c:v>
                </c:pt>
                <c:pt idx="8">
                  <c:v>64.605800000000002</c:v>
                </c:pt>
                <c:pt idx="9">
                  <c:v>64.571600000000004</c:v>
                </c:pt>
                <c:pt idx="10">
                  <c:v>64.537300000000002</c:v>
                </c:pt>
                <c:pt idx="11">
                  <c:v>64.503</c:v>
                </c:pt>
                <c:pt idx="12">
                  <c:v>64.468800000000002</c:v>
                </c:pt>
                <c:pt idx="13">
                  <c:v>64.4345</c:v>
                </c:pt>
                <c:pt idx="14">
                  <c:v>64.400300000000001</c:v>
                </c:pt>
                <c:pt idx="15">
                  <c:v>64.366</c:v>
                </c:pt>
                <c:pt idx="16">
                  <c:v>64.331699999999998</c:v>
                </c:pt>
                <c:pt idx="17">
                  <c:v>64.297499999999999</c:v>
                </c:pt>
                <c:pt idx="18">
                  <c:v>64.263199999999998</c:v>
                </c:pt>
                <c:pt idx="19">
                  <c:v>64.228999999999999</c:v>
                </c:pt>
                <c:pt idx="20">
                  <c:v>64.194699999999997</c:v>
                </c:pt>
                <c:pt idx="21">
                  <c:v>64.160399999999996</c:v>
                </c:pt>
                <c:pt idx="22">
                  <c:v>64.126199999999997</c:v>
                </c:pt>
                <c:pt idx="23">
                  <c:v>64.091899999999995</c:v>
                </c:pt>
                <c:pt idx="24">
                  <c:v>64.057599999999994</c:v>
                </c:pt>
                <c:pt idx="25">
                  <c:v>64.023399999999995</c:v>
                </c:pt>
                <c:pt idx="26">
                  <c:v>63.989100000000001</c:v>
                </c:pt>
                <c:pt idx="27">
                  <c:v>63.954900000000002</c:v>
                </c:pt>
                <c:pt idx="28">
                  <c:v>63.9206</c:v>
                </c:pt>
                <c:pt idx="29">
                  <c:v>63.886299999999999</c:v>
                </c:pt>
                <c:pt idx="30">
                  <c:v>63.8521</c:v>
                </c:pt>
                <c:pt idx="31">
                  <c:v>63.817799999999998</c:v>
                </c:pt>
                <c:pt idx="32">
                  <c:v>63.7836</c:v>
                </c:pt>
                <c:pt idx="33">
                  <c:v>63.749299999999998</c:v>
                </c:pt>
                <c:pt idx="34">
                  <c:v>63.715000000000003</c:v>
                </c:pt>
                <c:pt idx="35">
                  <c:v>63.680799999999998</c:v>
                </c:pt>
                <c:pt idx="36">
                  <c:v>63.646500000000003</c:v>
                </c:pt>
                <c:pt idx="37">
                  <c:v>63.612200000000001</c:v>
                </c:pt>
                <c:pt idx="38">
                  <c:v>63.578000000000003</c:v>
                </c:pt>
                <c:pt idx="39">
                  <c:v>63.543700000000001</c:v>
                </c:pt>
                <c:pt idx="40">
                  <c:v>63.509500000000003</c:v>
                </c:pt>
                <c:pt idx="41">
                  <c:v>63.475200000000001</c:v>
                </c:pt>
                <c:pt idx="42">
                  <c:v>63.440899999999999</c:v>
                </c:pt>
                <c:pt idx="43">
                  <c:v>63.406700000000001</c:v>
                </c:pt>
                <c:pt idx="44">
                  <c:v>63.372399999999999</c:v>
                </c:pt>
                <c:pt idx="45">
                  <c:v>63.338200000000001</c:v>
                </c:pt>
                <c:pt idx="46">
                  <c:v>63.303899999999999</c:v>
                </c:pt>
                <c:pt idx="47">
                  <c:v>63.269599999999997</c:v>
                </c:pt>
                <c:pt idx="48">
                  <c:v>63.235399999999998</c:v>
                </c:pt>
                <c:pt idx="49">
                  <c:v>63.201099999999997</c:v>
                </c:pt>
                <c:pt idx="50">
                  <c:v>63.166899999999998</c:v>
                </c:pt>
                <c:pt idx="51">
                  <c:v>63.132599999999996</c:v>
                </c:pt>
                <c:pt idx="52">
                  <c:v>63.098300000000002</c:v>
                </c:pt>
                <c:pt idx="53">
                  <c:v>63.064100000000003</c:v>
                </c:pt>
                <c:pt idx="54">
                  <c:v>63.029800000000002</c:v>
                </c:pt>
                <c:pt idx="55">
                  <c:v>62.9955</c:v>
                </c:pt>
                <c:pt idx="56">
                  <c:v>62.961300000000001</c:v>
                </c:pt>
                <c:pt idx="57">
                  <c:v>62.927</c:v>
                </c:pt>
                <c:pt idx="58">
                  <c:v>62.892800000000001</c:v>
                </c:pt>
                <c:pt idx="59">
                  <c:v>62.858499999999999</c:v>
                </c:pt>
                <c:pt idx="60">
                  <c:v>62.824199999999998</c:v>
                </c:pt>
                <c:pt idx="61">
                  <c:v>62.79</c:v>
                </c:pt>
                <c:pt idx="62">
                  <c:v>62.755699999999997</c:v>
                </c:pt>
                <c:pt idx="63">
                  <c:v>62.721499999999999</c:v>
                </c:pt>
                <c:pt idx="64">
                  <c:v>62.687199999999997</c:v>
                </c:pt>
                <c:pt idx="65">
                  <c:v>62.652900000000002</c:v>
                </c:pt>
                <c:pt idx="66">
                  <c:v>62.618699999999997</c:v>
                </c:pt>
                <c:pt idx="67">
                  <c:v>62.584400000000002</c:v>
                </c:pt>
                <c:pt idx="68">
                  <c:v>62.5501</c:v>
                </c:pt>
                <c:pt idx="69">
                  <c:v>62.515900000000002</c:v>
                </c:pt>
                <c:pt idx="70">
                  <c:v>62.4816</c:v>
                </c:pt>
                <c:pt idx="71">
                  <c:v>62.447400000000002</c:v>
                </c:pt>
                <c:pt idx="72">
                  <c:v>62.4131</c:v>
                </c:pt>
                <c:pt idx="73">
                  <c:v>62.378799999999998</c:v>
                </c:pt>
                <c:pt idx="74">
                  <c:v>62.3446</c:v>
                </c:pt>
                <c:pt idx="75">
                  <c:v>62.310299999999998</c:v>
                </c:pt>
                <c:pt idx="76">
                  <c:v>62.2761</c:v>
                </c:pt>
                <c:pt idx="77">
                  <c:v>62.241799999999998</c:v>
                </c:pt>
                <c:pt idx="78">
                  <c:v>62.207500000000003</c:v>
                </c:pt>
                <c:pt idx="79">
                  <c:v>62.173299999999998</c:v>
                </c:pt>
                <c:pt idx="80">
                  <c:v>62.139000000000003</c:v>
                </c:pt>
                <c:pt idx="81">
                  <c:v>62.104700000000001</c:v>
                </c:pt>
                <c:pt idx="82">
                  <c:v>62.070500000000003</c:v>
                </c:pt>
                <c:pt idx="83">
                  <c:v>62.036200000000001</c:v>
                </c:pt>
                <c:pt idx="84">
                  <c:v>62.002000000000002</c:v>
                </c:pt>
                <c:pt idx="85">
                  <c:v>61.967700000000001</c:v>
                </c:pt>
                <c:pt idx="86">
                  <c:v>61.933399999999999</c:v>
                </c:pt>
                <c:pt idx="87">
                  <c:v>61.8992</c:v>
                </c:pt>
                <c:pt idx="88">
                  <c:v>61.864899999999999</c:v>
                </c:pt>
                <c:pt idx="89">
                  <c:v>61.8307</c:v>
                </c:pt>
                <c:pt idx="90">
                  <c:v>61.796399999999998</c:v>
                </c:pt>
                <c:pt idx="91">
                  <c:v>61.762099999999997</c:v>
                </c:pt>
                <c:pt idx="92">
                  <c:v>61.727899999999998</c:v>
                </c:pt>
                <c:pt idx="93">
                  <c:v>61.693600000000004</c:v>
                </c:pt>
                <c:pt idx="94">
                  <c:v>61.659300000000002</c:v>
                </c:pt>
                <c:pt idx="95">
                  <c:v>61.625100000000003</c:v>
                </c:pt>
                <c:pt idx="96">
                  <c:v>61.590800000000002</c:v>
                </c:pt>
                <c:pt idx="97">
                  <c:v>61.556600000000003</c:v>
                </c:pt>
                <c:pt idx="98">
                  <c:v>61.522300000000001</c:v>
                </c:pt>
                <c:pt idx="99">
                  <c:v>61.488</c:v>
                </c:pt>
                <c:pt idx="100">
                  <c:v>61.453800000000001</c:v>
                </c:pt>
                <c:pt idx="101">
                  <c:v>61.419499999999999</c:v>
                </c:pt>
                <c:pt idx="102">
                  <c:v>61.385300000000001</c:v>
                </c:pt>
                <c:pt idx="103">
                  <c:v>61.350999999999999</c:v>
                </c:pt>
                <c:pt idx="104">
                  <c:v>61.316699999999997</c:v>
                </c:pt>
                <c:pt idx="105">
                  <c:v>61.282499999999999</c:v>
                </c:pt>
                <c:pt idx="106">
                  <c:v>61.248199999999997</c:v>
                </c:pt>
                <c:pt idx="107">
                  <c:v>61.213900000000002</c:v>
                </c:pt>
                <c:pt idx="108">
                  <c:v>61.179699999999997</c:v>
                </c:pt>
                <c:pt idx="109">
                  <c:v>61.145400000000002</c:v>
                </c:pt>
                <c:pt idx="110">
                  <c:v>61.111199999999997</c:v>
                </c:pt>
                <c:pt idx="111">
                  <c:v>61.076900000000002</c:v>
                </c:pt>
                <c:pt idx="112">
                  <c:v>61.0426</c:v>
                </c:pt>
                <c:pt idx="113">
                  <c:v>61.008400000000002</c:v>
                </c:pt>
                <c:pt idx="114">
                  <c:v>60.9741</c:v>
                </c:pt>
                <c:pt idx="115">
                  <c:v>60.939900000000002</c:v>
                </c:pt>
                <c:pt idx="116">
                  <c:v>60.9056</c:v>
                </c:pt>
                <c:pt idx="117">
                  <c:v>60.871299999999998</c:v>
                </c:pt>
                <c:pt idx="118">
                  <c:v>60.8371</c:v>
                </c:pt>
                <c:pt idx="119">
                  <c:v>60.802799999999998</c:v>
                </c:pt>
                <c:pt idx="120">
                  <c:v>60.768500000000003</c:v>
                </c:pt>
                <c:pt idx="121">
                  <c:v>60.734299999999998</c:v>
                </c:pt>
                <c:pt idx="122">
                  <c:v>60.7</c:v>
                </c:pt>
                <c:pt idx="123">
                  <c:v>60.665799999999997</c:v>
                </c:pt>
                <c:pt idx="124">
                  <c:v>60.631500000000003</c:v>
                </c:pt>
                <c:pt idx="125">
                  <c:v>60.597200000000001</c:v>
                </c:pt>
                <c:pt idx="126">
                  <c:v>60.563000000000002</c:v>
                </c:pt>
                <c:pt idx="127">
                  <c:v>60.528700000000001</c:v>
                </c:pt>
                <c:pt idx="128">
                  <c:v>60.494500000000002</c:v>
                </c:pt>
                <c:pt idx="129">
                  <c:v>60.4602</c:v>
                </c:pt>
                <c:pt idx="130">
                  <c:v>60.425899999999999</c:v>
                </c:pt>
                <c:pt idx="131">
                  <c:v>60.3917</c:v>
                </c:pt>
                <c:pt idx="132">
                  <c:v>60.357399999999998</c:v>
                </c:pt>
                <c:pt idx="133">
                  <c:v>60.323099999999997</c:v>
                </c:pt>
                <c:pt idx="134">
                  <c:v>60.288899999999998</c:v>
                </c:pt>
                <c:pt idx="135">
                  <c:v>60.254600000000003</c:v>
                </c:pt>
                <c:pt idx="136">
                  <c:v>60.220399999999998</c:v>
                </c:pt>
                <c:pt idx="137">
                  <c:v>60.186100000000003</c:v>
                </c:pt>
                <c:pt idx="138">
                  <c:v>60.151800000000001</c:v>
                </c:pt>
                <c:pt idx="139">
                  <c:v>60.117600000000003</c:v>
                </c:pt>
                <c:pt idx="140">
                  <c:v>60.083300000000001</c:v>
                </c:pt>
                <c:pt idx="141">
                  <c:v>60.049100000000003</c:v>
                </c:pt>
                <c:pt idx="142">
                  <c:v>60.014800000000001</c:v>
                </c:pt>
                <c:pt idx="143">
                  <c:v>59.980499999999999</c:v>
                </c:pt>
                <c:pt idx="144">
                  <c:v>59.946300000000001</c:v>
                </c:pt>
                <c:pt idx="145">
                  <c:v>59.911999999999999</c:v>
                </c:pt>
                <c:pt idx="146">
                  <c:v>59.877699999999997</c:v>
                </c:pt>
                <c:pt idx="147">
                  <c:v>59.843499999999999</c:v>
                </c:pt>
                <c:pt idx="148">
                  <c:v>59.809199999999997</c:v>
                </c:pt>
                <c:pt idx="149">
                  <c:v>59.774999999999999</c:v>
                </c:pt>
                <c:pt idx="150">
                  <c:v>59.740699999999997</c:v>
                </c:pt>
                <c:pt idx="151">
                  <c:v>59.706400000000002</c:v>
                </c:pt>
                <c:pt idx="152">
                  <c:v>59.672199999999997</c:v>
                </c:pt>
                <c:pt idx="153">
                  <c:v>59.637900000000002</c:v>
                </c:pt>
                <c:pt idx="154">
                  <c:v>59.603700000000003</c:v>
                </c:pt>
                <c:pt idx="155">
                  <c:v>59.569400000000002</c:v>
                </c:pt>
                <c:pt idx="156">
                  <c:v>59.5351</c:v>
                </c:pt>
                <c:pt idx="157">
                  <c:v>59.500900000000001</c:v>
                </c:pt>
                <c:pt idx="158">
                  <c:v>59.4666</c:v>
                </c:pt>
                <c:pt idx="159">
                  <c:v>59.432299999999998</c:v>
                </c:pt>
                <c:pt idx="160">
                  <c:v>59.398099999999999</c:v>
                </c:pt>
                <c:pt idx="161">
                  <c:v>59.363799999999998</c:v>
                </c:pt>
                <c:pt idx="162">
                  <c:v>59.329599999999999</c:v>
                </c:pt>
                <c:pt idx="163">
                  <c:v>59.295299999999997</c:v>
                </c:pt>
                <c:pt idx="164">
                  <c:v>59.261000000000003</c:v>
                </c:pt>
                <c:pt idx="165">
                  <c:v>59.226799999999997</c:v>
                </c:pt>
                <c:pt idx="166">
                  <c:v>59.192500000000003</c:v>
                </c:pt>
                <c:pt idx="167">
                  <c:v>59.158299999999997</c:v>
                </c:pt>
                <c:pt idx="168">
                  <c:v>59.124000000000002</c:v>
                </c:pt>
                <c:pt idx="169">
                  <c:v>59.089700000000001</c:v>
                </c:pt>
                <c:pt idx="170">
                  <c:v>59.055500000000002</c:v>
                </c:pt>
                <c:pt idx="171">
                  <c:v>59.0212</c:v>
                </c:pt>
                <c:pt idx="172">
                  <c:v>58.986899999999999</c:v>
                </c:pt>
                <c:pt idx="173">
                  <c:v>58.9527</c:v>
                </c:pt>
                <c:pt idx="174">
                  <c:v>58.918399999999998</c:v>
                </c:pt>
                <c:pt idx="175">
                  <c:v>58.8842</c:v>
                </c:pt>
                <c:pt idx="176">
                  <c:v>58.849899999999998</c:v>
                </c:pt>
                <c:pt idx="177">
                  <c:v>58.815600000000003</c:v>
                </c:pt>
                <c:pt idx="178">
                  <c:v>58.781399999999998</c:v>
                </c:pt>
                <c:pt idx="179">
                  <c:v>58.747100000000003</c:v>
                </c:pt>
                <c:pt idx="180">
                  <c:v>58.712899999999998</c:v>
                </c:pt>
                <c:pt idx="181">
                  <c:v>58.678600000000003</c:v>
                </c:pt>
                <c:pt idx="182">
                  <c:v>58.644300000000001</c:v>
                </c:pt>
                <c:pt idx="183">
                  <c:v>58.610100000000003</c:v>
                </c:pt>
                <c:pt idx="184">
                  <c:v>58.575800000000001</c:v>
                </c:pt>
                <c:pt idx="185">
                  <c:v>58.541499999999999</c:v>
                </c:pt>
                <c:pt idx="186">
                  <c:v>58.507300000000001</c:v>
                </c:pt>
                <c:pt idx="187">
                  <c:v>58.472999999999999</c:v>
                </c:pt>
                <c:pt idx="188">
                  <c:v>58.438800000000001</c:v>
                </c:pt>
                <c:pt idx="189">
                  <c:v>58.404499999999999</c:v>
                </c:pt>
                <c:pt idx="190">
                  <c:v>58.370199999999997</c:v>
                </c:pt>
                <c:pt idx="191">
                  <c:v>58.335999999999999</c:v>
                </c:pt>
                <c:pt idx="192">
                  <c:v>58.301699999999997</c:v>
                </c:pt>
                <c:pt idx="193">
                  <c:v>58.267499999999998</c:v>
                </c:pt>
                <c:pt idx="194">
                  <c:v>58.233199999999997</c:v>
                </c:pt>
                <c:pt idx="195">
                  <c:v>58.198900000000002</c:v>
                </c:pt>
                <c:pt idx="196">
                  <c:v>58.164700000000003</c:v>
                </c:pt>
                <c:pt idx="197">
                  <c:v>58.130400000000002</c:v>
                </c:pt>
                <c:pt idx="198">
                  <c:v>58.0961</c:v>
                </c:pt>
                <c:pt idx="199">
                  <c:v>58.061900000000001</c:v>
                </c:pt>
                <c:pt idx="200">
                  <c:v>58.0276</c:v>
                </c:pt>
                <c:pt idx="201">
                  <c:v>57.993400000000001</c:v>
                </c:pt>
                <c:pt idx="202">
                  <c:v>57.959099999999999</c:v>
                </c:pt>
                <c:pt idx="203">
                  <c:v>57.924799999999998</c:v>
                </c:pt>
                <c:pt idx="204">
                  <c:v>57.890599999999999</c:v>
                </c:pt>
                <c:pt idx="205">
                  <c:v>57.856299999999997</c:v>
                </c:pt>
                <c:pt idx="206">
                  <c:v>57.822099999999999</c:v>
                </c:pt>
                <c:pt idx="207">
                  <c:v>57.787799999999997</c:v>
                </c:pt>
                <c:pt idx="208">
                  <c:v>57.753500000000003</c:v>
                </c:pt>
                <c:pt idx="209">
                  <c:v>57.719299999999997</c:v>
                </c:pt>
                <c:pt idx="210">
                  <c:v>57.685000000000002</c:v>
                </c:pt>
                <c:pt idx="211">
                  <c:v>57.650700000000001</c:v>
                </c:pt>
                <c:pt idx="212">
                  <c:v>57.616500000000002</c:v>
                </c:pt>
                <c:pt idx="213">
                  <c:v>57.5822</c:v>
                </c:pt>
                <c:pt idx="214">
                  <c:v>57.548000000000002</c:v>
                </c:pt>
                <c:pt idx="215">
                  <c:v>57.5137</c:v>
                </c:pt>
                <c:pt idx="216">
                  <c:v>57.479399999999998</c:v>
                </c:pt>
                <c:pt idx="217">
                  <c:v>57.4452</c:v>
                </c:pt>
                <c:pt idx="218">
                  <c:v>57.410899999999998</c:v>
                </c:pt>
                <c:pt idx="219">
                  <c:v>57.3767</c:v>
                </c:pt>
                <c:pt idx="220">
                  <c:v>57.342399999999998</c:v>
                </c:pt>
                <c:pt idx="221">
                  <c:v>57.308100000000003</c:v>
                </c:pt>
                <c:pt idx="222">
                  <c:v>57.273899999999998</c:v>
                </c:pt>
                <c:pt idx="223">
                  <c:v>57.239600000000003</c:v>
                </c:pt>
                <c:pt idx="224">
                  <c:v>57.205300000000001</c:v>
                </c:pt>
                <c:pt idx="225">
                  <c:v>57.171100000000003</c:v>
                </c:pt>
                <c:pt idx="226">
                  <c:v>57.136800000000001</c:v>
                </c:pt>
                <c:pt idx="227">
                  <c:v>57.102600000000002</c:v>
                </c:pt>
                <c:pt idx="228">
                  <c:v>57.068300000000001</c:v>
                </c:pt>
                <c:pt idx="229">
                  <c:v>57.033999999999999</c:v>
                </c:pt>
                <c:pt idx="230">
                  <c:v>56.9998</c:v>
                </c:pt>
                <c:pt idx="231">
                  <c:v>56.965499999999999</c:v>
                </c:pt>
                <c:pt idx="232">
                  <c:v>56.9313</c:v>
                </c:pt>
                <c:pt idx="233">
                  <c:v>56.896999999999998</c:v>
                </c:pt>
                <c:pt idx="234">
                  <c:v>56.862699999999997</c:v>
                </c:pt>
                <c:pt idx="235">
                  <c:v>56.828499999999998</c:v>
                </c:pt>
                <c:pt idx="236">
                  <c:v>56.794199999999996</c:v>
                </c:pt>
                <c:pt idx="237">
                  <c:v>56.759900000000002</c:v>
                </c:pt>
                <c:pt idx="238">
                  <c:v>56.725700000000003</c:v>
                </c:pt>
                <c:pt idx="239">
                  <c:v>56.691400000000002</c:v>
                </c:pt>
                <c:pt idx="240">
                  <c:v>56.657200000000003</c:v>
                </c:pt>
                <c:pt idx="241">
                  <c:v>56.622900000000001</c:v>
                </c:pt>
                <c:pt idx="242">
                  <c:v>56.5886</c:v>
                </c:pt>
                <c:pt idx="243">
                  <c:v>56.554400000000001</c:v>
                </c:pt>
                <c:pt idx="244">
                  <c:v>56.520099999999999</c:v>
                </c:pt>
                <c:pt idx="245">
                  <c:v>56.485900000000001</c:v>
                </c:pt>
                <c:pt idx="246">
                  <c:v>56.451599999999999</c:v>
                </c:pt>
                <c:pt idx="247">
                  <c:v>56.417299999999997</c:v>
                </c:pt>
                <c:pt idx="248">
                  <c:v>56.383099999999999</c:v>
                </c:pt>
                <c:pt idx="249">
                  <c:v>56.348799999999997</c:v>
                </c:pt>
                <c:pt idx="250">
                  <c:v>56.314500000000002</c:v>
                </c:pt>
                <c:pt idx="251">
                  <c:v>56.280299999999997</c:v>
                </c:pt>
                <c:pt idx="252">
                  <c:v>56.246000000000002</c:v>
                </c:pt>
                <c:pt idx="253">
                  <c:v>56.211799999999997</c:v>
                </c:pt>
                <c:pt idx="254">
                  <c:v>56.177500000000002</c:v>
                </c:pt>
                <c:pt idx="255">
                  <c:v>56.1432</c:v>
                </c:pt>
                <c:pt idx="256">
                  <c:v>56.109000000000002</c:v>
                </c:pt>
                <c:pt idx="257">
                  <c:v>56.0747</c:v>
                </c:pt>
                <c:pt idx="258">
                  <c:v>56.040500000000002</c:v>
                </c:pt>
                <c:pt idx="259">
                  <c:v>56.0062</c:v>
                </c:pt>
                <c:pt idx="260">
                  <c:v>55.971899999999998</c:v>
                </c:pt>
                <c:pt idx="261">
                  <c:v>55.9377</c:v>
                </c:pt>
                <c:pt idx="262">
                  <c:v>55.903399999999998</c:v>
                </c:pt>
                <c:pt idx="263">
                  <c:v>55.869100000000003</c:v>
                </c:pt>
                <c:pt idx="264">
                  <c:v>55.834899999999998</c:v>
                </c:pt>
                <c:pt idx="265">
                  <c:v>55.800600000000003</c:v>
                </c:pt>
                <c:pt idx="266">
                  <c:v>55.766399999999997</c:v>
                </c:pt>
                <c:pt idx="267">
                  <c:v>55.732100000000003</c:v>
                </c:pt>
                <c:pt idx="268">
                  <c:v>55.697800000000001</c:v>
                </c:pt>
                <c:pt idx="269">
                  <c:v>55.663600000000002</c:v>
                </c:pt>
                <c:pt idx="270">
                  <c:v>55.629300000000001</c:v>
                </c:pt>
                <c:pt idx="271">
                  <c:v>55.595100000000002</c:v>
                </c:pt>
                <c:pt idx="272">
                  <c:v>55.5608</c:v>
                </c:pt>
                <c:pt idx="273">
                  <c:v>55.526499999999999</c:v>
                </c:pt>
                <c:pt idx="274">
                  <c:v>55.4923</c:v>
                </c:pt>
                <c:pt idx="275">
                  <c:v>55.457999999999998</c:v>
                </c:pt>
                <c:pt idx="276">
                  <c:v>55.423699999999997</c:v>
                </c:pt>
                <c:pt idx="277">
                  <c:v>55.389499999999998</c:v>
                </c:pt>
                <c:pt idx="278">
                  <c:v>55.355200000000004</c:v>
                </c:pt>
                <c:pt idx="279">
                  <c:v>55.320999999999998</c:v>
                </c:pt>
                <c:pt idx="280">
                  <c:v>55.286700000000003</c:v>
                </c:pt>
                <c:pt idx="281">
                  <c:v>55.252400000000002</c:v>
                </c:pt>
                <c:pt idx="282">
                  <c:v>55.218200000000003</c:v>
                </c:pt>
                <c:pt idx="283">
                  <c:v>55.183900000000001</c:v>
                </c:pt>
                <c:pt idx="284">
                  <c:v>55.149700000000003</c:v>
                </c:pt>
                <c:pt idx="285">
                  <c:v>55.115400000000001</c:v>
                </c:pt>
                <c:pt idx="286">
                  <c:v>55.081099999999999</c:v>
                </c:pt>
                <c:pt idx="287">
                  <c:v>55.046900000000001</c:v>
                </c:pt>
                <c:pt idx="288">
                  <c:v>55.012599999999999</c:v>
                </c:pt>
                <c:pt idx="289">
                  <c:v>54.978299999999997</c:v>
                </c:pt>
                <c:pt idx="290">
                  <c:v>54.944099999999999</c:v>
                </c:pt>
                <c:pt idx="291">
                  <c:v>54.909799999999997</c:v>
                </c:pt>
                <c:pt idx="292">
                  <c:v>54.875599999999999</c:v>
                </c:pt>
                <c:pt idx="293">
                  <c:v>54.841299999999997</c:v>
                </c:pt>
                <c:pt idx="294">
                  <c:v>54.807000000000002</c:v>
                </c:pt>
                <c:pt idx="295">
                  <c:v>54.772799999999997</c:v>
                </c:pt>
                <c:pt idx="296">
                  <c:v>54.738500000000002</c:v>
                </c:pt>
                <c:pt idx="297">
                  <c:v>54.704300000000003</c:v>
                </c:pt>
                <c:pt idx="298">
                  <c:v>54.67</c:v>
                </c:pt>
                <c:pt idx="299">
                  <c:v>54.6357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9A0-3248-9704-5BA5201CFA91}"/>
            </c:ext>
          </c:extLst>
        </c:ser>
        <c:ser>
          <c:idx val="1"/>
          <c:order val="1"/>
          <c:tx>
            <c:strRef>
              <c:f>Simulation!$D$1</c:f>
              <c:strCache>
                <c:ptCount val="1"/>
                <c:pt idx="0">
                  <c:v>P50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Simulation!$D$2:$D$301</c:f>
              <c:numCache>
                <c:formatCode>General</c:formatCode>
                <c:ptCount val="300"/>
                <c:pt idx="0">
                  <c:v>68.294700000000006</c:v>
                </c:pt>
                <c:pt idx="1">
                  <c:v>67.801400000000001</c:v>
                </c:pt>
                <c:pt idx="2">
                  <c:v>67.715999999999994</c:v>
                </c:pt>
                <c:pt idx="3">
                  <c:v>67.0428</c:v>
                </c:pt>
                <c:pt idx="4">
                  <c:v>66.609099999999998</c:v>
                </c:pt>
                <c:pt idx="5">
                  <c:v>66.600399999999993</c:v>
                </c:pt>
                <c:pt idx="6">
                  <c:v>66.359899999999996</c:v>
                </c:pt>
                <c:pt idx="7">
                  <c:v>66.120599999999996</c:v>
                </c:pt>
                <c:pt idx="8">
                  <c:v>65.930499999999995</c:v>
                </c:pt>
                <c:pt idx="9">
                  <c:v>65.783900000000003</c:v>
                </c:pt>
                <c:pt idx="10">
                  <c:v>65.383499999999998</c:v>
                </c:pt>
                <c:pt idx="11">
                  <c:v>65.496399999999994</c:v>
                </c:pt>
                <c:pt idx="12">
                  <c:v>65.425899999999999</c:v>
                </c:pt>
                <c:pt idx="13">
                  <c:v>65.316800000000001</c:v>
                </c:pt>
                <c:pt idx="14">
                  <c:v>65.312399999999997</c:v>
                </c:pt>
                <c:pt idx="15">
                  <c:v>65.4709</c:v>
                </c:pt>
                <c:pt idx="16">
                  <c:v>65.074100000000001</c:v>
                </c:pt>
                <c:pt idx="17">
                  <c:v>65.384500000000003</c:v>
                </c:pt>
                <c:pt idx="18">
                  <c:v>65.383700000000005</c:v>
                </c:pt>
                <c:pt idx="19">
                  <c:v>64.921000000000006</c:v>
                </c:pt>
                <c:pt idx="20">
                  <c:v>64.671899999999994</c:v>
                </c:pt>
                <c:pt idx="21">
                  <c:v>64.665899999999993</c:v>
                </c:pt>
                <c:pt idx="22">
                  <c:v>64.580600000000004</c:v>
                </c:pt>
                <c:pt idx="23">
                  <c:v>64.753</c:v>
                </c:pt>
                <c:pt idx="24">
                  <c:v>64.5184</c:v>
                </c:pt>
                <c:pt idx="25">
                  <c:v>63.940199999999997</c:v>
                </c:pt>
                <c:pt idx="26">
                  <c:v>64.051199999999994</c:v>
                </c:pt>
                <c:pt idx="27">
                  <c:v>63.356000000000002</c:v>
                </c:pt>
                <c:pt idx="28">
                  <c:v>63.492600000000003</c:v>
                </c:pt>
                <c:pt idx="29">
                  <c:v>63.8812</c:v>
                </c:pt>
                <c:pt idx="30">
                  <c:v>63.822800000000001</c:v>
                </c:pt>
                <c:pt idx="31">
                  <c:v>63.611600000000003</c:v>
                </c:pt>
                <c:pt idx="32">
                  <c:v>63.688200000000002</c:v>
                </c:pt>
                <c:pt idx="33">
                  <c:v>63.705100000000002</c:v>
                </c:pt>
                <c:pt idx="34">
                  <c:v>63.259900000000002</c:v>
                </c:pt>
                <c:pt idx="35">
                  <c:v>63.463799999999999</c:v>
                </c:pt>
                <c:pt idx="36">
                  <c:v>63.579099999999997</c:v>
                </c:pt>
                <c:pt idx="37">
                  <c:v>63.822000000000003</c:v>
                </c:pt>
                <c:pt idx="38">
                  <c:v>63.89</c:v>
                </c:pt>
                <c:pt idx="39">
                  <c:v>64.002600000000001</c:v>
                </c:pt>
                <c:pt idx="40">
                  <c:v>63.587200000000003</c:v>
                </c:pt>
                <c:pt idx="41">
                  <c:v>63.627299999999998</c:v>
                </c:pt>
                <c:pt idx="42">
                  <c:v>63.357300000000002</c:v>
                </c:pt>
                <c:pt idx="43">
                  <c:v>62.892000000000003</c:v>
                </c:pt>
                <c:pt idx="44">
                  <c:v>63.613100000000003</c:v>
                </c:pt>
                <c:pt idx="45">
                  <c:v>63.198</c:v>
                </c:pt>
                <c:pt idx="46">
                  <c:v>63.062399999999997</c:v>
                </c:pt>
                <c:pt idx="47">
                  <c:v>62.844999999999999</c:v>
                </c:pt>
                <c:pt idx="48">
                  <c:v>62.6145</c:v>
                </c:pt>
                <c:pt idx="49">
                  <c:v>63.1053</c:v>
                </c:pt>
                <c:pt idx="50">
                  <c:v>62.860199999999999</c:v>
                </c:pt>
                <c:pt idx="51">
                  <c:v>62.910299999999999</c:v>
                </c:pt>
                <c:pt idx="52">
                  <c:v>62.301600000000001</c:v>
                </c:pt>
                <c:pt idx="53">
                  <c:v>62.481200000000001</c:v>
                </c:pt>
                <c:pt idx="54">
                  <c:v>62.362000000000002</c:v>
                </c:pt>
                <c:pt idx="55">
                  <c:v>62.566400000000002</c:v>
                </c:pt>
                <c:pt idx="56">
                  <c:v>62.761299999999999</c:v>
                </c:pt>
                <c:pt idx="57">
                  <c:v>63.337400000000002</c:v>
                </c:pt>
                <c:pt idx="58">
                  <c:v>62.783299999999997</c:v>
                </c:pt>
                <c:pt idx="59">
                  <c:v>62.422600000000003</c:v>
                </c:pt>
                <c:pt idx="60">
                  <c:v>62.588099999999997</c:v>
                </c:pt>
                <c:pt idx="61">
                  <c:v>62.356499999999997</c:v>
                </c:pt>
                <c:pt idx="62">
                  <c:v>62.613300000000002</c:v>
                </c:pt>
                <c:pt idx="63">
                  <c:v>62.583500000000001</c:v>
                </c:pt>
                <c:pt idx="64">
                  <c:v>63.014600000000002</c:v>
                </c:pt>
                <c:pt idx="65">
                  <c:v>62.804200000000002</c:v>
                </c:pt>
                <c:pt idx="66">
                  <c:v>62.8996</c:v>
                </c:pt>
                <c:pt idx="67">
                  <c:v>62.928100000000001</c:v>
                </c:pt>
                <c:pt idx="68">
                  <c:v>62.620800000000003</c:v>
                </c:pt>
                <c:pt idx="69">
                  <c:v>62.820099999999996</c:v>
                </c:pt>
                <c:pt idx="70">
                  <c:v>63.287399999999998</c:v>
                </c:pt>
                <c:pt idx="71">
                  <c:v>63.168700000000001</c:v>
                </c:pt>
                <c:pt idx="72">
                  <c:v>62.891599999999997</c:v>
                </c:pt>
                <c:pt idx="73">
                  <c:v>62.721299999999999</c:v>
                </c:pt>
                <c:pt idx="74">
                  <c:v>62.930500000000002</c:v>
                </c:pt>
                <c:pt idx="75">
                  <c:v>62.6355</c:v>
                </c:pt>
                <c:pt idx="76">
                  <c:v>62.648899999999998</c:v>
                </c:pt>
                <c:pt idx="77">
                  <c:v>62.814100000000003</c:v>
                </c:pt>
                <c:pt idx="78">
                  <c:v>63.0745</c:v>
                </c:pt>
                <c:pt idx="79">
                  <c:v>62.987400000000001</c:v>
                </c:pt>
                <c:pt idx="80">
                  <c:v>62.477699999999999</c:v>
                </c:pt>
                <c:pt idx="81">
                  <c:v>62.520099999999999</c:v>
                </c:pt>
                <c:pt idx="82">
                  <c:v>62.274299999999997</c:v>
                </c:pt>
                <c:pt idx="83">
                  <c:v>62.398000000000003</c:v>
                </c:pt>
                <c:pt idx="84">
                  <c:v>62.176699999999997</c:v>
                </c:pt>
                <c:pt idx="85">
                  <c:v>62.078299999999999</c:v>
                </c:pt>
                <c:pt idx="86">
                  <c:v>61.882800000000003</c:v>
                </c:pt>
                <c:pt idx="87">
                  <c:v>61.758800000000001</c:v>
                </c:pt>
                <c:pt idx="88">
                  <c:v>62.489800000000002</c:v>
                </c:pt>
                <c:pt idx="89">
                  <c:v>62.011600000000001</c:v>
                </c:pt>
                <c:pt idx="90">
                  <c:v>61.820099999999996</c:v>
                </c:pt>
                <c:pt idx="91">
                  <c:v>61.529000000000003</c:v>
                </c:pt>
                <c:pt idx="92">
                  <c:v>61.644199999999998</c:v>
                </c:pt>
                <c:pt idx="93">
                  <c:v>61.483800000000002</c:v>
                </c:pt>
                <c:pt idx="94">
                  <c:v>61.343000000000004</c:v>
                </c:pt>
                <c:pt idx="95">
                  <c:v>60.9542</c:v>
                </c:pt>
                <c:pt idx="96">
                  <c:v>60.433999999999997</c:v>
                </c:pt>
                <c:pt idx="97">
                  <c:v>60.3001</c:v>
                </c:pt>
                <c:pt idx="98">
                  <c:v>60.472999999999999</c:v>
                </c:pt>
                <c:pt idx="99">
                  <c:v>60.869599999999998</c:v>
                </c:pt>
                <c:pt idx="100">
                  <c:v>60.967199999999998</c:v>
                </c:pt>
                <c:pt idx="101">
                  <c:v>60.7791</c:v>
                </c:pt>
                <c:pt idx="102">
                  <c:v>61.364400000000003</c:v>
                </c:pt>
                <c:pt idx="103">
                  <c:v>61.255400000000002</c:v>
                </c:pt>
                <c:pt idx="104">
                  <c:v>61.037399999999998</c:v>
                </c:pt>
                <c:pt idx="105">
                  <c:v>61.084000000000003</c:v>
                </c:pt>
                <c:pt idx="106">
                  <c:v>61.1586</c:v>
                </c:pt>
                <c:pt idx="107">
                  <c:v>61.577399999999997</c:v>
                </c:pt>
                <c:pt idx="108">
                  <c:v>61.240200000000002</c:v>
                </c:pt>
                <c:pt idx="109">
                  <c:v>61.502299999999998</c:v>
                </c:pt>
                <c:pt idx="110">
                  <c:v>60.835599999999999</c:v>
                </c:pt>
                <c:pt idx="111">
                  <c:v>61.0535</c:v>
                </c:pt>
                <c:pt idx="112">
                  <c:v>60.529499999999999</c:v>
                </c:pt>
                <c:pt idx="113">
                  <c:v>60.994</c:v>
                </c:pt>
                <c:pt idx="114">
                  <c:v>60.7776</c:v>
                </c:pt>
                <c:pt idx="115">
                  <c:v>60.989199999999997</c:v>
                </c:pt>
                <c:pt idx="116">
                  <c:v>60.859000000000002</c:v>
                </c:pt>
                <c:pt idx="117">
                  <c:v>60.968400000000003</c:v>
                </c:pt>
                <c:pt idx="118">
                  <c:v>60.726399999999998</c:v>
                </c:pt>
                <c:pt idx="119">
                  <c:v>60.670499999999997</c:v>
                </c:pt>
                <c:pt idx="120">
                  <c:v>61.146299999999997</c:v>
                </c:pt>
                <c:pt idx="121">
                  <c:v>61.206400000000002</c:v>
                </c:pt>
                <c:pt idx="122">
                  <c:v>61.753700000000002</c:v>
                </c:pt>
                <c:pt idx="123">
                  <c:v>61.686599999999999</c:v>
                </c:pt>
                <c:pt idx="124">
                  <c:v>60.947600000000001</c:v>
                </c:pt>
                <c:pt idx="125">
                  <c:v>60.886899999999997</c:v>
                </c:pt>
                <c:pt idx="126">
                  <c:v>60.445799999999998</c:v>
                </c:pt>
                <c:pt idx="127">
                  <c:v>60.150300000000001</c:v>
                </c:pt>
                <c:pt idx="128">
                  <c:v>60.156999999999996</c:v>
                </c:pt>
                <c:pt idx="129">
                  <c:v>60.278799999999997</c:v>
                </c:pt>
                <c:pt idx="130">
                  <c:v>59.587400000000002</c:v>
                </c:pt>
                <c:pt idx="131">
                  <c:v>59.313600000000001</c:v>
                </c:pt>
                <c:pt idx="132">
                  <c:v>59.377499999999998</c:v>
                </c:pt>
                <c:pt idx="133">
                  <c:v>59.407899999999998</c:v>
                </c:pt>
                <c:pt idx="134">
                  <c:v>59.741799999999998</c:v>
                </c:pt>
                <c:pt idx="135">
                  <c:v>59.462400000000002</c:v>
                </c:pt>
                <c:pt idx="136">
                  <c:v>59.789299999999997</c:v>
                </c:pt>
                <c:pt idx="137">
                  <c:v>59.872399999999999</c:v>
                </c:pt>
                <c:pt idx="138">
                  <c:v>59.916400000000003</c:v>
                </c:pt>
                <c:pt idx="139">
                  <c:v>60.414400000000001</c:v>
                </c:pt>
                <c:pt idx="140">
                  <c:v>60.186</c:v>
                </c:pt>
                <c:pt idx="141">
                  <c:v>60.031100000000002</c:v>
                </c:pt>
                <c:pt idx="142">
                  <c:v>60.125399999999999</c:v>
                </c:pt>
                <c:pt idx="143">
                  <c:v>59.919600000000003</c:v>
                </c:pt>
                <c:pt idx="144">
                  <c:v>59.594900000000003</c:v>
                </c:pt>
                <c:pt idx="145">
                  <c:v>59.667400000000001</c:v>
                </c:pt>
                <c:pt idx="146">
                  <c:v>59.491300000000003</c:v>
                </c:pt>
                <c:pt idx="147">
                  <c:v>59.798499999999997</c:v>
                </c:pt>
                <c:pt idx="148">
                  <c:v>60.2316</c:v>
                </c:pt>
                <c:pt idx="149">
                  <c:v>60.200200000000002</c:v>
                </c:pt>
                <c:pt idx="150">
                  <c:v>59.999000000000002</c:v>
                </c:pt>
                <c:pt idx="151">
                  <c:v>59.941400000000002</c:v>
                </c:pt>
                <c:pt idx="152">
                  <c:v>60.151600000000002</c:v>
                </c:pt>
                <c:pt idx="153">
                  <c:v>60.090600000000002</c:v>
                </c:pt>
                <c:pt idx="154">
                  <c:v>59.853000000000002</c:v>
                </c:pt>
                <c:pt idx="155">
                  <c:v>59.837600000000002</c:v>
                </c:pt>
                <c:pt idx="156">
                  <c:v>59.904000000000003</c:v>
                </c:pt>
                <c:pt idx="157">
                  <c:v>60.064399999999999</c:v>
                </c:pt>
                <c:pt idx="158">
                  <c:v>60.2468</c:v>
                </c:pt>
                <c:pt idx="159">
                  <c:v>59.739600000000003</c:v>
                </c:pt>
                <c:pt idx="160">
                  <c:v>59.525199999999998</c:v>
                </c:pt>
                <c:pt idx="161">
                  <c:v>59.8279</c:v>
                </c:pt>
                <c:pt idx="162">
                  <c:v>59.814599999999999</c:v>
                </c:pt>
                <c:pt idx="163">
                  <c:v>59.204599999999999</c:v>
                </c:pt>
                <c:pt idx="164">
                  <c:v>59.776600000000002</c:v>
                </c:pt>
                <c:pt idx="165">
                  <c:v>59.235399999999998</c:v>
                </c:pt>
                <c:pt idx="166">
                  <c:v>59.460599999999999</c:v>
                </c:pt>
                <c:pt idx="167">
                  <c:v>59.320799999999998</c:v>
                </c:pt>
                <c:pt idx="168">
                  <c:v>59.476599999999998</c:v>
                </c:pt>
                <c:pt idx="169">
                  <c:v>59.312100000000001</c:v>
                </c:pt>
                <c:pt idx="170">
                  <c:v>59.968200000000003</c:v>
                </c:pt>
                <c:pt idx="171">
                  <c:v>59.154899999999998</c:v>
                </c:pt>
                <c:pt idx="172">
                  <c:v>59.2273</c:v>
                </c:pt>
                <c:pt idx="173">
                  <c:v>58.9161</c:v>
                </c:pt>
                <c:pt idx="174">
                  <c:v>58.901699999999998</c:v>
                </c:pt>
                <c:pt idx="175">
                  <c:v>58.7956</c:v>
                </c:pt>
                <c:pt idx="176">
                  <c:v>58.636499999999998</c:v>
                </c:pt>
                <c:pt idx="177">
                  <c:v>58.411799999999999</c:v>
                </c:pt>
                <c:pt idx="178">
                  <c:v>59.124600000000001</c:v>
                </c:pt>
                <c:pt idx="179">
                  <c:v>58.524299999999997</c:v>
                </c:pt>
                <c:pt idx="180">
                  <c:v>58.806399999999996</c:v>
                </c:pt>
                <c:pt idx="181">
                  <c:v>58.637</c:v>
                </c:pt>
                <c:pt idx="182">
                  <c:v>58.421100000000003</c:v>
                </c:pt>
                <c:pt idx="183">
                  <c:v>58.748800000000003</c:v>
                </c:pt>
                <c:pt idx="184">
                  <c:v>58.416600000000003</c:v>
                </c:pt>
                <c:pt idx="185">
                  <c:v>58.813800000000001</c:v>
                </c:pt>
                <c:pt idx="186">
                  <c:v>59.0899</c:v>
                </c:pt>
                <c:pt idx="187">
                  <c:v>59.006</c:v>
                </c:pt>
                <c:pt idx="188">
                  <c:v>59.099899999999998</c:v>
                </c:pt>
                <c:pt idx="189">
                  <c:v>58.677100000000003</c:v>
                </c:pt>
                <c:pt idx="190">
                  <c:v>58.001899999999999</c:v>
                </c:pt>
                <c:pt idx="191">
                  <c:v>58.121000000000002</c:v>
                </c:pt>
                <c:pt idx="192">
                  <c:v>58.175899999999999</c:v>
                </c:pt>
                <c:pt idx="193">
                  <c:v>58.313699999999997</c:v>
                </c:pt>
                <c:pt idx="194">
                  <c:v>58.316499999999998</c:v>
                </c:pt>
                <c:pt idx="195">
                  <c:v>59.061999999999998</c:v>
                </c:pt>
                <c:pt idx="196">
                  <c:v>58.623699999999999</c:v>
                </c:pt>
                <c:pt idx="197">
                  <c:v>58.728400000000001</c:v>
                </c:pt>
                <c:pt idx="198">
                  <c:v>58.811399999999999</c:v>
                </c:pt>
                <c:pt idx="199">
                  <c:v>58.820300000000003</c:v>
                </c:pt>
                <c:pt idx="200">
                  <c:v>59.194299999999998</c:v>
                </c:pt>
                <c:pt idx="201">
                  <c:v>58.099200000000003</c:v>
                </c:pt>
                <c:pt idx="202">
                  <c:v>57.761600000000001</c:v>
                </c:pt>
                <c:pt idx="203">
                  <c:v>58.112400000000001</c:v>
                </c:pt>
                <c:pt idx="204">
                  <c:v>58.2211</c:v>
                </c:pt>
                <c:pt idx="205">
                  <c:v>57.723199999999999</c:v>
                </c:pt>
                <c:pt idx="206">
                  <c:v>57.688400000000001</c:v>
                </c:pt>
                <c:pt idx="207">
                  <c:v>57.740200000000002</c:v>
                </c:pt>
                <c:pt idx="208">
                  <c:v>57.661700000000003</c:v>
                </c:pt>
                <c:pt idx="209">
                  <c:v>57.849299999999999</c:v>
                </c:pt>
                <c:pt idx="210">
                  <c:v>57.866100000000003</c:v>
                </c:pt>
                <c:pt idx="211">
                  <c:v>57.361600000000003</c:v>
                </c:pt>
                <c:pt idx="212">
                  <c:v>57.889800000000001</c:v>
                </c:pt>
                <c:pt idx="213">
                  <c:v>57.627899999999997</c:v>
                </c:pt>
                <c:pt idx="214">
                  <c:v>57.475099999999998</c:v>
                </c:pt>
                <c:pt idx="215">
                  <c:v>57.366199999999999</c:v>
                </c:pt>
                <c:pt idx="216">
                  <c:v>57.380899999999997</c:v>
                </c:pt>
                <c:pt idx="217">
                  <c:v>57.518000000000001</c:v>
                </c:pt>
                <c:pt idx="218">
                  <c:v>57.335099999999997</c:v>
                </c:pt>
                <c:pt idx="219">
                  <c:v>57.778300000000002</c:v>
                </c:pt>
                <c:pt idx="220">
                  <c:v>57.755600000000001</c:v>
                </c:pt>
                <c:pt idx="221">
                  <c:v>57.5916</c:v>
                </c:pt>
                <c:pt idx="222">
                  <c:v>57.982799999999997</c:v>
                </c:pt>
                <c:pt idx="223">
                  <c:v>58.2971</c:v>
                </c:pt>
                <c:pt idx="224">
                  <c:v>58.331000000000003</c:v>
                </c:pt>
                <c:pt idx="225">
                  <c:v>58.040999999999997</c:v>
                </c:pt>
                <c:pt idx="226">
                  <c:v>57.454799999999999</c:v>
                </c:pt>
                <c:pt idx="227">
                  <c:v>57.5411</c:v>
                </c:pt>
                <c:pt idx="228">
                  <c:v>57.635800000000003</c:v>
                </c:pt>
                <c:pt idx="229">
                  <c:v>57.844799999999999</c:v>
                </c:pt>
                <c:pt idx="230">
                  <c:v>57.862699999999997</c:v>
                </c:pt>
                <c:pt idx="231">
                  <c:v>57.587800000000001</c:v>
                </c:pt>
                <c:pt idx="232">
                  <c:v>57.799300000000002</c:v>
                </c:pt>
                <c:pt idx="233">
                  <c:v>57.183799999999998</c:v>
                </c:pt>
                <c:pt idx="234">
                  <c:v>57.244700000000002</c:v>
                </c:pt>
                <c:pt idx="235">
                  <c:v>57.238900000000001</c:v>
                </c:pt>
                <c:pt idx="236">
                  <c:v>57.369300000000003</c:v>
                </c:pt>
                <c:pt idx="237">
                  <c:v>57.975200000000001</c:v>
                </c:pt>
                <c:pt idx="238">
                  <c:v>57.563200000000002</c:v>
                </c:pt>
                <c:pt idx="239">
                  <c:v>57.431699999999999</c:v>
                </c:pt>
                <c:pt idx="240">
                  <c:v>57.059800000000003</c:v>
                </c:pt>
                <c:pt idx="241">
                  <c:v>57.019500000000001</c:v>
                </c:pt>
                <c:pt idx="242">
                  <c:v>57.063699999999997</c:v>
                </c:pt>
                <c:pt idx="243">
                  <c:v>57.352400000000003</c:v>
                </c:pt>
                <c:pt idx="244">
                  <c:v>57.4925</c:v>
                </c:pt>
                <c:pt idx="245">
                  <c:v>56.979799999999997</c:v>
                </c:pt>
                <c:pt idx="246">
                  <c:v>57.054400000000001</c:v>
                </c:pt>
                <c:pt idx="247">
                  <c:v>56.621000000000002</c:v>
                </c:pt>
                <c:pt idx="248">
                  <c:v>56.545400000000001</c:v>
                </c:pt>
                <c:pt idx="249">
                  <c:v>56.317799999999998</c:v>
                </c:pt>
                <c:pt idx="250">
                  <c:v>56.343299999999999</c:v>
                </c:pt>
                <c:pt idx="251">
                  <c:v>56.133899999999997</c:v>
                </c:pt>
                <c:pt idx="252">
                  <c:v>56.307299999999998</c:v>
                </c:pt>
                <c:pt idx="253">
                  <c:v>56.3294</c:v>
                </c:pt>
                <c:pt idx="254">
                  <c:v>56.040100000000002</c:v>
                </c:pt>
                <c:pt idx="255">
                  <c:v>55.600900000000003</c:v>
                </c:pt>
                <c:pt idx="256">
                  <c:v>55.866799999999998</c:v>
                </c:pt>
                <c:pt idx="257">
                  <c:v>56.117699999999999</c:v>
                </c:pt>
                <c:pt idx="258">
                  <c:v>56.387900000000002</c:v>
                </c:pt>
                <c:pt idx="259">
                  <c:v>56.37</c:v>
                </c:pt>
                <c:pt idx="260">
                  <c:v>56.283799999999999</c:v>
                </c:pt>
                <c:pt idx="261">
                  <c:v>56.153399999999998</c:v>
                </c:pt>
                <c:pt idx="262">
                  <c:v>55.9422</c:v>
                </c:pt>
                <c:pt idx="263">
                  <c:v>56.049100000000003</c:v>
                </c:pt>
                <c:pt idx="264">
                  <c:v>56.027000000000001</c:v>
                </c:pt>
                <c:pt idx="265">
                  <c:v>56.292099999999998</c:v>
                </c:pt>
                <c:pt idx="266">
                  <c:v>56.020099999999999</c:v>
                </c:pt>
                <c:pt idx="267">
                  <c:v>55.575099999999999</c:v>
                </c:pt>
                <c:pt idx="268">
                  <c:v>55.430799999999998</c:v>
                </c:pt>
                <c:pt idx="269">
                  <c:v>55.918999999999997</c:v>
                </c:pt>
                <c:pt idx="270">
                  <c:v>55.1798</c:v>
                </c:pt>
                <c:pt idx="271">
                  <c:v>55.441099999999999</c:v>
                </c:pt>
                <c:pt idx="272">
                  <c:v>55.448999999999998</c:v>
                </c:pt>
                <c:pt idx="273">
                  <c:v>54.765999999999998</c:v>
                </c:pt>
                <c:pt idx="274">
                  <c:v>54.488</c:v>
                </c:pt>
                <c:pt idx="275">
                  <c:v>54.8748</c:v>
                </c:pt>
                <c:pt idx="276">
                  <c:v>54.854999999999997</c:v>
                </c:pt>
                <c:pt idx="277">
                  <c:v>54.994700000000002</c:v>
                </c:pt>
                <c:pt idx="278">
                  <c:v>55.0124</c:v>
                </c:pt>
                <c:pt idx="279">
                  <c:v>55.299900000000001</c:v>
                </c:pt>
                <c:pt idx="280">
                  <c:v>55.047499999999999</c:v>
                </c:pt>
                <c:pt idx="281">
                  <c:v>54.958300000000001</c:v>
                </c:pt>
                <c:pt idx="282">
                  <c:v>55.636099999999999</c:v>
                </c:pt>
                <c:pt idx="283">
                  <c:v>55.528500000000001</c:v>
                </c:pt>
                <c:pt idx="284">
                  <c:v>55.348599999999998</c:v>
                </c:pt>
                <c:pt idx="285">
                  <c:v>54.8767</c:v>
                </c:pt>
                <c:pt idx="286">
                  <c:v>54.9223</c:v>
                </c:pt>
                <c:pt idx="287">
                  <c:v>55.137</c:v>
                </c:pt>
                <c:pt idx="288">
                  <c:v>55.7804</c:v>
                </c:pt>
                <c:pt idx="289">
                  <c:v>55.0518</c:v>
                </c:pt>
                <c:pt idx="290">
                  <c:v>55.185499999999998</c:v>
                </c:pt>
                <c:pt idx="291">
                  <c:v>55.273200000000003</c:v>
                </c:pt>
                <c:pt idx="292">
                  <c:v>54.8977</c:v>
                </c:pt>
                <c:pt idx="293">
                  <c:v>55.2318</c:v>
                </c:pt>
                <c:pt idx="294">
                  <c:v>55.400799999999997</c:v>
                </c:pt>
                <c:pt idx="295">
                  <c:v>55.449399999999997</c:v>
                </c:pt>
                <c:pt idx="296">
                  <c:v>55.0685</c:v>
                </c:pt>
                <c:pt idx="297">
                  <c:v>55.167099999999998</c:v>
                </c:pt>
                <c:pt idx="298">
                  <c:v>55.203600000000002</c:v>
                </c:pt>
                <c:pt idx="299">
                  <c:v>54.787700000000001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9A0-3248-9704-5BA5201CFA91}"/>
            </c:ext>
          </c:extLst>
        </c:ser>
        <c:ser>
          <c:idx val="2"/>
          <c:order val="2"/>
          <c:tx>
            <c:strRef>
              <c:f>Simulation!$F$1</c:f>
              <c:strCache>
                <c:ptCount val="1"/>
                <c:pt idx="0">
                  <c:v>P90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Simulation!$F$2:$F$301</c:f>
              <c:numCache>
                <c:formatCode>General</c:formatCode>
                <c:ptCount val="300"/>
                <c:pt idx="0">
                  <c:v>68.294700000000006</c:v>
                </c:pt>
                <c:pt idx="1">
                  <c:v>88.792000000000002</c:v>
                </c:pt>
                <c:pt idx="2">
                  <c:v>95.421899999999994</c:v>
                </c:pt>
                <c:pt idx="3">
                  <c:v>99.405100000000004</c:v>
                </c:pt>
                <c:pt idx="4">
                  <c:v>101.8293</c:v>
                </c:pt>
                <c:pt idx="5">
                  <c:v>103.20610000000001</c:v>
                </c:pt>
                <c:pt idx="6">
                  <c:v>104.5352</c:v>
                </c:pt>
                <c:pt idx="7">
                  <c:v>105.3618</c:v>
                </c:pt>
                <c:pt idx="8">
                  <c:v>106.68219999999999</c:v>
                </c:pt>
                <c:pt idx="9">
                  <c:v>106.2259</c:v>
                </c:pt>
                <c:pt idx="10">
                  <c:v>106.8023</c:v>
                </c:pt>
                <c:pt idx="11">
                  <c:v>107.48390000000001</c:v>
                </c:pt>
                <c:pt idx="12">
                  <c:v>107.7007</c:v>
                </c:pt>
                <c:pt idx="13">
                  <c:v>107.16670000000001</c:v>
                </c:pt>
                <c:pt idx="14">
                  <c:v>106.9542</c:v>
                </c:pt>
                <c:pt idx="15">
                  <c:v>107.1016</c:v>
                </c:pt>
                <c:pt idx="16">
                  <c:v>106.71169999999999</c:v>
                </c:pt>
                <c:pt idx="17">
                  <c:v>106.69750000000001</c:v>
                </c:pt>
                <c:pt idx="18">
                  <c:v>107.0715</c:v>
                </c:pt>
                <c:pt idx="19">
                  <c:v>106.3661</c:v>
                </c:pt>
                <c:pt idx="20">
                  <c:v>106.0552</c:v>
                </c:pt>
                <c:pt idx="21">
                  <c:v>106.54049999999999</c:v>
                </c:pt>
                <c:pt idx="22">
                  <c:v>106.2385</c:v>
                </c:pt>
                <c:pt idx="23">
                  <c:v>107.02119999999999</c:v>
                </c:pt>
                <c:pt idx="24">
                  <c:v>106.5809</c:v>
                </c:pt>
                <c:pt idx="25">
                  <c:v>106.9217</c:v>
                </c:pt>
                <c:pt idx="26">
                  <c:v>106.31789999999999</c:v>
                </c:pt>
                <c:pt idx="27">
                  <c:v>106.5489</c:v>
                </c:pt>
                <c:pt idx="28">
                  <c:v>107.00709999999999</c:v>
                </c:pt>
                <c:pt idx="29">
                  <c:v>106.4804</c:v>
                </c:pt>
                <c:pt idx="30">
                  <c:v>106.7461</c:v>
                </c:pt>
                <c:pt idx="31">
                  <c:v>106.28489999999999</c:v>
                </c:pt>
                <c:pt idx="32">
                  <c:v>105.93040000000001</c:v>
                </c:pt>
                <c:pt idx="33">
                  <c:v>106.3858</c:v>
                </c:pt>
                <c:pt idx="34">
                  <c:v>106.3125</c:v>
                </c:pt>
                <c:pt idx="35">
                  <c:v>106.08240000000001</c:v>
                </c:pt>
                <c:pt idx="36">
                  <c:v>106.5273</c:v>
                </c:pt>
                <c:pt idx="37">
                  <c:v>106.0641</c:v>
                </c:pt>
                <c:pt idx="38">
                  <c:v>106.3878</c:v>
                </c:pt>
                <c:pt idx="39">
                  <c:v>107.0149</c:v>
                </c:pt>
                <c:pt idx="40">
                  <c:v>106.5256</c:v>
                </c:pt>
                <c:pt idx="41">
                  <c:v>105.9055</c:v>
                </c:pt>
                <c:pt idx="42">
                  <c:v>105.6174</c:v>
                </c:pt>
                <c:pt idx="43">
                  <c:v>106.7486</c:v>
                </c:pt>
                <c:pt idx="44">
                  <c:v>106.6917</c:v>
                </c:pt>
                <c:pt idx="45">
                  <c:v>105.99630000000001</c:v>
                </c:pt>
                <c:pt idx="46">
                  <c:v>106.3837</c:v>
                </c:pt>
                <c:pt idx="47">
                  <c:v>105.53789999999999</c:v>
                </c:pt>
                <c:pt idx="48">
                  <c:v>105.8738</c:v>
                </c:pt>
                <c:pt idx="49">
                  <c:v>105.42019999999999</c:v>
                </c:pt>
                <c:pt idx="50">
                  <c:v>105.9263</c:v>
                </c:pt>
                <c:pt idx="51">
                  <c:v>105.9239</c:v>
                </c:pt>
                <c:pt idx="52">
                  <c:v>107.0939</c:v>
                </c:pt>
                <c:pt idx="53">
                  <c:v>106.59399999999999</c:v>
                </c:pt>
                <c:pt idx="54">
                  <c:v>106.0158</c:v>
                </c:pt>
                <c:pt idx="55">
                  <c:v>105.8965</c:v>
                </c:pt>
                <c:pt idx="56">
                  <c:v>105.88639999999999</c:v>
                </c:pt>
                <c:pt idx="57">
                  <c:v>105.34910000000001</c:v>
                </c:pt>
                <c:pt idx="58">
                  <c:v>105.0819</c:v>
                </c:pt>
                <c:pt idx="59">
                  <c:v>104.7962</c:v>
                </c:pt>
                <c:pt idx="60">
                  <c:v>104.6194</c:v>
                </c:pt>
                <c:pt idx="61">
                  <c:v>104.5851</c:v>
                </c:pt>
                <c:pt idx="62">
                  <c:v>104.42870000000001</c:v>
                </c:pt>
                <c:pt idx="63">
                  <c:v>105.0498</c:v>
                </c:pt>
                <c:pt idx="64">
                  <c:v>105.01730000000001</c:v>
                </c:pt>
                <c:pt idx="65">
                  <c:v>104.7948</c:v>
                </c:pt>
                <c:pt idx="66">
                  <c:v>105.1039</c:v>
                </c:pt>
                <c:pt idx="67">
                  <c:v>104.6435</c:v>
                </c:pt>
                <c:pt idx="68">
                  <c:v>105.58459999999999</c:v>
                </c:pt>
                <c:pt idx="69">
                  <c:v>105.0303</c:v>
                </c:pt>
                <c:pt idx="70">
                  <c:v>104.81950000000001</c:v>
                </c:pt>
                <c:pt idx="71">
                  <c:v>104.794</c:v>
                </c:pt>
                <c:pt idx="72">
                  <c:v>104.23560000000001</c:v>
                </c:pt>
                <c:pt idx="73">
                  <c:v>105.1266</c:v>
                </c:pt>
                <c:pt idx="74">
                  <c:v>104.3575</c:v>
                </c:pt>
                <c:pt idx="75">
                  <c:v>104.0579</c:v>
                </c:pt>
                <c:pt idx="76">
                  <c:v>104.74509999999999</c:v>
                </c:pt>
                <c:pt idx="77">
                  <c:v>105.3045</c:v>
                </c:pt>
                <c:pt idx="78">
                  <c:v>104.739</c:v>
                </c:pt>
                <c:pt idx="79">
                  <c:v>104.8005</c:v>
                </c:pt>
                <c:pt idx="80">
                  <c:v>105.56</c:v>
                </c:pt>
                <c:pt idx="81">
                  <c:v>105.27549999999999</c:v>
                </c:pt>
                <c:pt idx="82">
                  <c:v>105.35850000000001</c:v>
                </c:pt>
                <c:pt idx="83">
                  <c:v>104.9301</c:v>
                </c:pt>
                <c:pt idx="84">
                  <c:v>104.19370000000001</c:v>
                </c:pt>
                <c:pt idx="85">
                  <c:v>104.4503</c:v>
                </c:pt>
                <c:pt idx="86">
                  <c:v>104.4059</c:v>
                </c:pt>
                <c:pt idx="87">
                  <c:v>104.6636</c:v>
                </c:pt>
                <c:pt idx="88">
                  <c:v>103.9323</c:v>
                </c:pt>
                <c:pt idx="89">
                  <c:v>104.3646</c:v>
                </c:pt>
                <c:pt idx="90">
                  <c:v>104.11669999999999</c:v>
                </c:pt>
                <c:pt idx="91">
                  <c:v>103.1152</c:v>
                </c:pt>
                <c:pt idx="92">
                  <c:v>103.5711</c:v>
                </c:pt>
                <c:pt idx="93">
                  <c:v>103.7415</c:v>
                </c:pt>
                <c:pt idx="94">
                  <c:v>103.0638</c:v>
                </c:pt>
                <c:pt idx="95">
                  <c:v>103.24379999999999</c:v>
                </c:pt>
                <c:pt idx="96">
                  <c:v>103.4725</c:v>
                </c:pt>
                <c:pt idx="97">
                  <c:v>104.0874</c:v>
                </c:pt>
                <c:pt idx="98">
                  <c:v>103.7557</c:v>
                </c:pt>
                <c:pt idx="99">
                  <c:v>103.3719</c:v>
                </c:pt>
                <c:pt idx="100">
                  <c:v>102.8931</c:v>
                </c:pt>
                <c:pt idx="101">
                  <c:v>103.48</c:v>
                </c:pt>
                <c:pt idx="102">
                  <c:v>103.4362</c:v>
                </c:pt>
                <c:pt idx="103">
                  <c:v>103.6602</c:v>
                </c:pt>
                <c:pt idx="104">
                  <c:v>103.876</c:v>
                </c:pt>
                <c:pt idx="105">
                  <c:v>103.3539</c:v>
                </c:pt>
                <c:pt idx="106">
                  <c:v>104.0643</c:v>
                </c:pt>
                <c:pt idx="107">
                  <c:v>103.729</c:v>
                </c:pt>
                <c:pt idx="108">
                  <c:v>103.124</c:v>
                </c:pt>
                <c:pt idx="109">
                  <c:v>104.1474</c:v>
                </c:pt>
                <c:pt idx="110">
                  <c:v>103.8365</c:v>
                </c:pt>
                <c:pt idx="111">
                  <c:v>103.62779999999999</c:v>
                </c:pt>
                <c:pt idx="112">
                  <c:v>103.6986</c:v>
                </c:pt>
                <c:pt idx="113">
                  <c:v>104.1523</c:v>
                </c:pt>
                <c:pt idx="114">
                  <c:v>103.7169</c:v>
                </c:pt>
                <c:pt idx="115">
                  <c:v>102.9686</c:v>
                </c:pt>
                <c:pt idx="116">
                  <c:v>104.0425</c:v>
                </c:pt>
                <c:pt idx="117">
                  <c:v>103.405</c:v>
                </c:pt>
                <c:pt idx="118">
                  <c:v>104.0852</c:v>
                </c:pt>
                <c:pt idx="119">
                  <c:v>102.6712</c:v>
                </c:pt>
                <c:pt idx="120">
                  <c:v>102.8569</c:v>
                </c:pt>
                <c:pt idx="121">
                  <c:v>103.6764</c:v>
                </c:pt>
                <c:pt idx="122">
                  <c:v>102.9127</c:v>
                </c:pt>
                <c:pt idx="123">
                  <c:v>103.0419</c:v>
                </c:pt>
                <c:pt idx="124">
                  <c:v>102.3314</c:v>
                </c:pt>
                <c:pt idx="125">
                  <c:v>102.20659999999999</c:v>
                </c:pt>
                <c:pt idx="126">
                  <c:v>102.40049999999999</c:v>
                </c:pt>
                <c:pt idx="127">
                  <c:v>103.4308</c:v>
                </c:pt>
                <c:pt idx="128">
                  <c:v>102.1999</c:v>
                </c:pt>
                <c:pt idx="129">
                  <c:v>102.2739</c:v>
                </c:pt>
                <c:pt idx="130">
                  <c:v>102.51300000000001</c:v>
                </c:pt>
                <c:pt idx="131">
                  <c:v>102.4083</c:v>
                </c:pt>
                <c:pt idx="132">
                  <c:v>103.0194</c:v>
                </c:pt>
                <c:pt idx="133">
                  <c:v>102.6127</c:v>
                </c:pt>
                <c:pt idx="134">
                  <c:v>103.1204</c:v>
                </c:pt>
                <c:pt idx="135">
                  <c:v>102.2724</c:v>
                </c:pt>
                <c:pt idx="136">
                  <c:v>102.1324</c:v>
                </c:pt>
                <c:pt idx="137">
                  <c:v>102.39409999999999</c:v>
                </c:pt>
                <c:pt idx="138">
                  <c:v>101.65049999999999</c:v>
                </c:pt>
                <c:pt idx="139">
                  <c:v>101.8997</c:v>
                </c:pt>
                <c:pt idx="140">
                  <c:v>102.251</c:v>
                </c:pt>
                <c:pt idx="141">
                  <c:v>102.3168</c:v>
                </c:pt>
                <c:pt idx="142">
                  <c:v>103.2574</c:v>
                </c:pt>
                <c:pt idx="143">
                  <c:v>102.6332</c:v>
                </c:pt>
                <c:pt idx="144">
                  <c:v>102.9134</c:v>
                </c:pt>
                <c:pt idx="145">
                  <c:v>102.5651</c:v>
                </c:pt>
                <c:pt idx="146">
                  <c:v>102.9928</c:v>
                </c:pt>
                <c:pt idx="147">
                  <c:v>102.6515</c:v>
                </c:pt>
                <c:pt idx="148">
                  <c:v>101.60129999999999</c:v>
                </c:pt>
                <c:pt idx="149">
                  <c:v>102.0462</c:v>
                </c:pt>
                <c:pt idx="150">
                  <c:v>102.43300000000001</c:v>
                </c:pt>
                <c:pt idx="151">
                  <c:v>101.99169999999999</c:v>
                </c:pt>
                <c:pt idx="152">
                  <c:v>101.5997</c:v>
                </c:pt>
                <c:pt idx="153">
                  <c:v>101.5175</c:v>
                </c:pt>
                <c:pt idx="154">
                  <c:v>101.81180000000001</c:v>
                </c:pt>
                <c:pt idx="155">
                  <c:v>101.7285</c:v>
                </c:pt>
                <c:pt idx="156">
                  <c:v>101.84310000000001</c:v>
                </c:pt>
                <c:pt idx="157">
                  <c:v>102.3386</c:v>
                </c:pt>
                <c:pt idx="158">
                  <c:v>102.0985</c:v>
                </c:pt>
                <c:pt idx="159">
                  <c:v>102.76649999999999</c:v>
                </c:pt>
                <c:pt idx="160">
                  <c:v>102.9953</c:v>
                </c:pt>
                <c:pt idx="161">
                  <c:v>102.5698</c:v>
                </c:pt>
                <c:pt idx="162">
                  <c:v>101.4092</c:v>
                </c:pt>
                <c:pt idx="163">
                  <c:v>102.29349999999999</c:v>
                </c:pt>
                <c:pt idx="164">
                  <c:v>102.44159999999999</c:v>
                </c:pt>
                <c:pt idx="165">
                  <c:v>102.24160000000001</c:v>
                </c:pt>
                <c:pt idx="166">
                  <c:v>102.7966</c:v>
                </c:pt>
                <c:pt idx="167">
                  <c:v>102.2007</c:v>
                </c:pt>
                <c:pt idx="168">
                  <c:v>101.8429</c:v>
                </c:pt>
                <c:pt idx="169">
                  <c:v>101.6437</c:v>
                </c:pt>
                <c:pt idx="170">
                  <c:v>101.09010000000001</c:v>
                </c:pt>
                <c:pt idx="171">
                  <c:v>101.45059999999999</c:v>
                </c:pt>
                <c:pt idx="172">
                  <c:v>101.36409999999999</c:v>
                </c:pt>
                <c:pt idx="173">
                  <c:v>101.1601</c:v>
                </c:pt>
                <c:pt idx="174">
                  <c:v>101.69970000000001</c:v>
                </c:pt>
                <c:pt idx="175">
                  <c:v>101.75579999999999</c:v>
                </c:pt>
                <c:pt idx="176">
                  <c:v>101.642</c:v>
                </c:pt>
                <c:pt idx="177">
                  <c:v>101.24079999999999</c:v>
                </c:pt>
                <c:pt idx="178">
                  <c:v>101.84010000000001</c:v>
                </c:pt>
                <c:pt idx="179">
                  <c:v>102.12479999999999</c:v>
                </c:pt>
                <c:pt idx="180">
                  <c:v>102.17870000000001</c:v>
                </c:pt>
                <c:pt idx="181">
                  <c:v>101.43729999999999</c:v>
                </c:pt>
                <c:pt idx="182">
                  <c:v>101.8087</c:v>
                </c:pt>
                <c:pt idx="183">
                  <c:v>101.7594</c:v>
                </c:pt>
                <c:pt idx="184">
                  <c:v>100.8886</c:v>
                </c:pt>
                <c:pt idx="185">
                  <c:v>101.7694</c:v>
                </c:pt>
                <c:pt idx="186">
                  <c:v>101.6969</c:v>
                </c:pt>
                <c:pt idx="187">
                  <c:v>100.7578</c:v>
                </c:pt>
                <c:pt idx="188">
                  <c:v>100.8995</c:v>
                </c:pt>
                <c:pt idx="189">
                  <c:v>101.2963</c:v>
                </c:pt>
                <c:pt idx="190">
                  <c:v>101.434</c:v>
                </c:pt>
                <c:pt idx="191">
                  <c:v>101.25190000000001</c:v>
                </c:pt>
                <c:pt idx="192">
                  <c:v>101.35380000000001</c:v>
                </c:pt>
                <c:pt idx="193">
                  <c:v>101.0924</c:v>
                </c:pt>
                <c:pt idx="194">
                  <c:v>100.7328</c:v>
                </c:pt>
                <c:pt idx="195">
                  <c:v>101.4028</c:v>
                </c:pt>
                <c:pt idx="196">
                  <c:v>100.315</c:v>
                </c:pt>
                <c:pt idx="197">
                  <c:v>100.7097</c:v>
                </c:pt>
                <c:pt idx="198">
                  <c:v>99.936599999999999</c:v>
                </c:pt>
                <c:pt idx="199">
                  <c:v>100.5244</c:v>
                </c:pt>
                <c:pt idx="200">
                  <c:v>100.52979999999999</c:v>
                </c:pt>
                <c:pt idx="201">
                  <c:v>100.56270000000001</c:v>
                </c:pt>
                <c:pt idx="202">
                  <c:v>101.26730000000001</c:v>
                </c:pt>
                <c:pt idx="203">
                  <c:v>100.318</c:v>
                </c:pt>
                <c:pt idx="204">
                  <c:v>101.14660000000001</c:v>
                </c:pt>
                <c:pt idx="205">
                  <c:v>100.39790000000001</c:v>
                </c:pt>
                <c:pt idx="206">
                  <c:v>100.2668</c:v>
                </c:pt>
                <c:pt idx="207">
                  <c:v>100.4824</c:v>
                </c:pt>
                <c:pt idx="208">
                  <c:v>100.1611</c:v>
                </c:pt>
                <c:pt idx="209">
                  <c:v>100.7315</c:v>
                </c:pt>
                <c:pt idx="210">
                  <c:v>100.955</c:v>
                </c:pt>
                <c:pt idx="211">
                  <c:v>100.3673</c:v>
                </c:pt>
                <c:pt idx="212">
                  <c:v>100.2337</c:v>
                </c:pt>
                <c:pt idx="213">
                  <c:v>100.1961</c:v>
                </c:pt>
                <c:pt idx="214">
                  <c:v>99.870500000000007</c:v>
                </c:pt>
                <c:pt idx="215">
                  <c:v>99.554400000000001</c:v>
                </c:pt>
                <c:pt idx="216">
                  <c:v>99.727900000000005</c:v>
                </c:pt>
                <c:pt idx="217">
                  <c:v>100.1896</c:v>
                </c:pt>
                <c:pt idx="218">
                  <c:v>99.789100000000005</c:v>
                </c:pt>
                <c:pt idx="219">
                  <c:v>100.845</c:v>
                </c:pt>
                <c:pt idx="220">
                  <c:v>100.55240000000001</c:v>
                </c:pt>
                <c:pt idx="221">
                  <c:v>100.7236</c:v>
                </c:pt>
                <c:pt idx="222">
                  <c:v>100.83150000000001</c:v>
                </c:pt>
                <c:pt idx="223">
                  <c:v>99.891400000000004</c:v>
                </c:pt>
                <c:pt idx="224">
                  <c:v>100.8745</c:v>
                </c:pt>
                <c:pt idx="225">
                  <c:v>100.49169999999999</c:v>
                </c:pt>
                <c:pt idx="226">
                  <c:v>100.3511</c:v>
                </c:pt>
                <c:pt idx="227">
                  <c:v>100.3754</c:v>
                </c:pt>
                <c:pt idx="228">
                  <c:v>100.0886</c:v>
                </c:pt>
                <c:pt idx="229">
                  <c:v>100.55289999999999</c:v>
                </c:pt>
                <c:pt idx="230">
                  <c:v>99.490899999999996</c:v>
                </c:pt>
                <c:pt idx="231">
                  <c:v>100.2533</c:v>
                </c:pt>
                <c:pt idx="232">
                  <c:v>99.635000000000005</c:v>
                </c:pt>
                <c:pt idx="233">
                  <c:v>99.327799999999996</c:v>
                </c:pt>
                <c:pt idx="234">
                  <c:v>100.0309</c:v>
                </c:pt>
                <c:pt idx="235">
                  <c:v>99.275700000000001</c:v>
                </c:pt>
                <c:pt idx="236">
                  <c:v>99.905799999999999</c:v>
                </c:pt>
                <c:pt idx="237">
                  <c:v>99.717399999999998</c:v>
                </c:pt>
                <c:pt idx="238">
                  <c:v>99.501800000000003</c:v>
                </c:pt>
                <c:pt idx="239">
                  <c:v>100.2013</c:v>
                </c:pt>
                <c:pt idx="240">
                  <c:v>99.924599999999998</c:v>
                </c:pt>
                <c:pt idx="241">
                  <c:v>99.6434</c:v>
                </c:pt>
                <c:pt idx="242">
                  <c:v>100.2641</c:v>
                </c:pt>
                <c:pt idx="243">
                  <c:v>99.823700000000002</c:v>
                </c:pt>
                <c:pt idx="244">
                  <c:v>99.422300000000007</c:v>
                </c:pt>
                <c:pt idx="245">
                  <c:v>100.1323</c:v>
                </c:pt>
                <c:pt idx="246">
                  <c:v>99.182299999999998</c:v>
                </c:pt>
                <c:pt idx="247">
                  <c:v>98.911799999999999</c:v>
                </c:pt>
                <c:pt idx="248">
                  <c:v>98.702699999999993</c:v>
                </c:pt>
                <c:pt idx="249">
                  <c:v>98.417500000000004</c:v>
                </c:pt>
                <c:pt idx="250">
                  <c:v>99.028000000000006</c:v>
                </c:pt>
                <c:pt idx="251">
                  <c:v>99.036799999999999</c:v>
                </c:pt>
                <c:pt idx="252">
                  <c:v>99.232799999999997</c:v>
                </c:pt>
                <c:pt idx="253">
                  <c:v>98.9131</c:v>
                </c:pt>
                <c:pt idx="254">
                  <c:v>99.431899999999999</c:v>
                </c:pt>
                <c:pt idx="255">
                  <c:v>99.149299999999997</c:v>
                </c:pt>
                <c:pt idx="256">
                  <c:v>99.001199999999997</c:v>
                </c:pt>
                <c:pt idx="257">
                  <c:v>98.410899999999998</c:v>
                </c:pt>
                <c:pt idx="258">
                  <c:v>98.407200000000003</c:v>
                </c:pt>
                <c:pt idx="259">
                  <c:v>98.131100000000004</c:v>
                </c:pt>
                <c:pt idx="260">
                  <c:v>98.128500000000003</c:v>
                </c:pt>
                <c:pt idx="261">
                  <c:v>98.080600000000004</c:v>
                </c:pt>
                <c:pt idx="262">
                  <c:v>97.723500000000001</c:v>
                </c:pt>
                <c:pt idx="263">
                  <c:v>98.469200000000001</c:v>
                </c:pt>
                <c:pt idx="264">
                  <c:v>97.911600000000007</c:v>
                </c:pt>
                <c:pt idx="265">
                  <c:v>98.0792</c:v>
                </c:pt>
                <c:pt idx="266">
                  <c:v>98.495800000000003</c:v>
                </c:pt>
                <c:pt idx="267">
                  <c:v>98.351200000000006</c:v>
                </c:pt>
                <c:pt idx="268">
                  <c:v>97.255099999999999</c:v>
                </c:pt>
                <c:pt idx="269">
                  <c:v>97.260800000000003</c:v>
                </c:pt>
                <c:pt idx="270">
                  <c:v>97.0364</c:v>
                </c:pt>
                <c:pt idx="271">
                  <c:v>97.063800000000001</c:v>
                </c:pt>
                <c:pt idx="272">
                  <c:v>96.849900000000005</c:v>
                </c:pt>
                <c:pt idx="273">
                  <c:v>96.576599999999999</c:v>
                </c:pt>
                <c:pt idx="274">
                  <c:v>97.297300000000007</c:v>
                </c:pt>
                <c:pt idx="275">
                  <c:v>97.022900000000007</c:v>
                </c:pt>
                <c:pt idx="276">
                  <c:v>96.806799999999996</c:v>
                </c:pt>
                <c:pt idx="277">
                  <c:v>97.090900000000005</c:v>
                </c:pt>
                <c:pt idx="278">
                  <c:v>97.3078</c:v>
                </c:pt>
                <c:pt idx="279">
                  <c:v>98.006799999999998</c:v>
                </c:pt>
                <c:pt idx="280">
                  <c:v>97.8</c:v>
                </c:pt>
                <c:pt idx="281">
                  <c:v>97.215900000000005</c:v>
                </c:pt>
                <c:pt idx="282">
                  <c:v>97.407399999999996</c:v>
                </c:pt>
                <c:pt idx="283">
                  <c:v>97</c:v>
                </c:pt>
                <c:pt idx="284">
                  <c:v>97.294799999999995</c:v>
                </c:pt>
                <c:pt idx="285">
                  <c:v>98.680199999999999</c:v>
                </c:pt>
                <c:pt idx="286">
                  <c:v>97.782399999999996</c:v>
                </c:pt>
                <c:pt idx="287">
                  <c:v>97.395799999999994</c:v>
                </c:pt>
                <c:pt idx="288">
                  <c:v>97.242599999999996</c:v>
                </c:pt>
                <c:pt idx="289">
                  <c:v>97.208399999999997</c:v>
                </c:pt>
                <c:pt idx="290">
                  <c:v>97.206599999999995</c:v>
                </c:pt>
                <c:pt idx="291">
                  <c:v>97.394599999999997</c:v>
                </c:pt>
                <c:pt idx="292">
                  <c:v>98.322400000000002</c:v>
                </c:pt>
                <c:pt idx="293">
                  <c:v>97.313299999999998</c:v>
                </c:pt>
                <c:pt idx="294">
                  <c:v>97.4803</c:v>
                </c:pt>
                <c:pt idx="295">
                  <c:v>98.040599999999998</c:v>
                </c:pt>
                <c:pt idx="296">
                  <c:v>97.702799999999996</c:v>
                </c:pt>
                <c:pt idx="297">
                  <c:v>97.2149</c:v>
                </c:pt>
                <c:pt idx="298">
                  <c:v>97.247100000000003</c:v>
                </c:pt>
                <c:pt idx="299">
                  <c:v>97.016499999999994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9A0-3248-9704-5BA5201CFA91}"/>
            </c:ext>
          </c:extLst>
        </c:ser>
        <c:ser>
          <c:idx val="3"/>
          <c:order val="3"/>
          <c:tx>
            <c:strRef>
              <c:f>Simulation!$I$1</c:f>
              <c:strCache>
                <c:ptCount val="1"/>
                <c:pt idx="0">
                  <c:v>P1</c:v>
                </c:pt>
              </c:strCache>
            </c:strRef>
          </c:tx>
          <c:spPr>
            <a:ln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Simulation!$I$2:$I$301</c:f>
              <c:numCache>
                <c:formatCode>General</c:formatCode>
                <c:ptCount val="300"/>
                <c:pt idx="0">
                  <c:v>68.294700000000006</c:v>
                </c:pt>
                <c:pt idx="1">
                  <c:v>29.904399999999999</c:v>
                </c:pt>
                <c:pt idx="2">
                  <c:v>16.7822</c:v>
                </c:pt>
                <c:pt idx="3">
                  <c:v>8.3993000000000002</c:v>
                </c:pt>
                <c:pt idx="4">
                  <c:v>1.8517999999999999</c:v>
                </c:pt>
                <c:pt idx="5">
                  <c:v>-0.58720000000000006</c:v>
                </c:pt>
                <c:pt idx="6">
                  <c:v>-3.1092</c:v>
                </c:pt>
                <c:pt idx="7">
                  <c:v>-3.7242999999999999</c:v>
                </c:pt>
                <c:pt idx="8">
                  <c:v>-6.282</c:v>
                </c:pt>
                <c:pt idx="9">
                  <c:v>-7.1670999999999996</c:v>
                </c:pt>
                <c:pt idx="10">
                  <c:v>-9.9291</c:v>
                </c:pt>
                <c:pt idx="11">
                  <c:v>-10.276999999999999</c:v>
                </c:pt>
                <c:pt idx="12">
                  <c:v>-10.3538</c:v>
                </c:pt>
                <c:pt idx="13">
                  <c:v>-10.622400000000001</c:v>
                </c:pt>
                <c:pt idx="14">
                  <c:v>-11.728199999999999</c:v>
                </c:pt>
                <c:pt idx="15">
                  <c:v>-10.784700000000001</c:v>
                </c:pt>
                <c:pt idx="16">
                  <c:v>-10.3581</c:v>
                </c:pt>
                <c:pt idx="17">
                  <c:v>-10.783799999999999</c:v>
                </c:pt>
                <c:pt idx="18">
                  <c:v>-10.436</c:v>
                </c:pt>
                <c:pt idx="19">
                  <c:v>-12.1113</c:v>
                </c:pt>
                <c:pt idx="20">
                  <c:v>-13.504</c:v>
                </c:pt>
                <c:pt idx="21">
                  <c:v>-13.9411</c:v>
                </c:pt>
                <c:pt idx="22">
                  <c:v>-13.647500000000001</c:v>
                </c:pt>
                <c:pt idx="23">
                  <c:v>-12.8962</c:v>
                </c:pt>
                <c:pt idx="24">
                  <c:v>-12.7455</c:v>
                </c:pt>
                <c:pt idx="25">
                  <c:v>-14.4254</c:v>
                </c:pt>
                <c:pt idx="26">
                  <c:v>-13.498100000000001</c:v>
                </c:pt>
                <c:pt idx="27">
                  <c:v>-13.906000000000001</c:v>
                </c:pt>
                <c:pt idx="28">
                  <c:v>-13.088100000000001</c:v>
                </c:pt>
                <c:pt idx="29">
                  <c:v>-13.6127</c:v>
                </c:pt>
                <c:pt idx="30">
                  <c:v>-14.2719</c:v>
                </c:pt>
                <c:pt idx="31">
                  <c:v>-14.798500000000001</c:v>
                </c:pt>
                <c:pt idx="32">
                  <c:v>-13.538500000000001</c:v>
                </c:pt>
                <c:pt idx="33">
                  <c:v>-11.889900000000001</c:v>
                </c:pt>
                <c:pt idx="34">
                  <c:v>-12.8583</c:v>
                </c:pt>
                <c:pt idx="35">
                  <c:v>-13.456300000000001</c:v>
                </c:pt>
                <c:pt idx="36">
                  <c:v>-12.6991</c:v>
                </c:pt>
                <c:pt idx="37">
                  <c:v>-13.132999999999999</c:v>
                </c:pt>
                <c:pt idx="38">
                  <c:v>-13.748699999999999</c:v>
                </c:pt>
                <c:pt idx="39">
                  <c:v>-10.923299999999999</c:v>
                </c:pt>
                <c:pt idx="40">
                  <c:v>-11.792199999999999</c:v>
                </c:pt>
                <c:pt idx="41">
                  <c:v>-12.793900000000001</c:v>
                </c:pt>
                <c:pt idx="42">
                  <c:v>-12.7378</c:v>
                </c:pt>
                <c:pt idx="43">
                  <c:v>-13.1998</c:v>
                </c:pt>
                <c:pt idx="44">
                  <c:v>-13.6732</c:v>
                </c:pt>
                <c:pt idx="45">
                  <c:v>-11.345700000000001</c:v>
                </c:pt>
                <c:pt idx="46">
                  <c:v>-13.978</c:v>
                </c:pt>
                <c:pt idx="47">
                  <c:v>-11.7179</c:v>
                </c:pt>
                <c:pt idx="48">
                  <c:v>-15.3363</c:v>
                </c:pt>
                <c:pt idx="49">
                  <c:v>-13.8474</c:v>
                </c:pt>
                <c:pt idx="50">
                  <c:v>-14.554600000000001</c:v>
                </c:pt>
                <c:pt idx="51">
                  <c:v>-13.6883</c:v>
                </c:pt>
                <c:pt idx="52">
                  <c:v>-14.742100000000001</c:v>
                </c:pt>
                <c:pt idx="53">
                  <c:v>-15.0685</c:v>
                </c:pt>
                <c:pt idx="54">
                  <c:v>-15.131</c:v>
                </c:pt>
                <c:pt idx="55">
                  <c:v>-15.072900000000001</c:v>
                </c:pt>
                <c:pt idx="56">
                  <c:v>-15.904400000000001</c:v>
                </c:pt>
                <c:pt idx="57">
                  <c:v>-12.8935</c:v>
                </c:pt>
                <c:pt idx="58">
                  <c:v>-13.5031</c:v>
                </c:pt>
                <c:pt idx="59">
                  <c:v>-14.852</c:v>
                </c:pt>
                <c:pt idx="60">
                  <c:v>-14.4422</c:v>
                </c:pt>
                <c:pt idx="61">
                  <c:v>-14.311299999999999</c:v>
                </c:pt>
                <c:pt idx="62">
                  <c:v>-14.1129</c:v>
                </c:pt>
                <c:pt idx="63">
                  <c:v>-15.600199999999999</c:v>
                </c:pt>
                <c:pt idx="64">
                  <c:v>-14.6386</c:v>
                </c:pt>
                <c:pt idx="65">
                  <c:v>-14.2339</c:v>
                </c:pt>
                <c:pt idx="66">
                  <c:v>-13.939</c:v>
                </c:pt>
                <c:pt idx="67">
                  <c:v>-13.5924</c:v>
                </c:pt>
                <c:pt idx="68">
                  <c:v>-14.416399999999999</c:v>
                </c:pt>
                <c:pt idx="69">
                  <c:v>-12.809699999999999</c:v>
                </c:pt>
                <c:pt idx="70">
                  <c:v>-12.5524</c:v>
                </c:pt>
                <c:pt idx="71">
                  <c:v>-14.5814</c:v>
                </c:pt>
                <c:pt idx="72">
                  <c:v>-14.459099999999999</c:v>
                </c:pt>
                <c:pt idx="73">
                  <c:v>-14.246700000000001</c:v>
                </c:pt>
                <c:pt idx="74">
                  <c:v>-13.198700000000001</c:v>
                </c:pt>
                <c:pt idx="75">
                  <c:v>-13.7272</c:v>
                </c:pt>
                <c:pt idx="76">
                  <c:v>-14.894299999999999</c:v>
                </c:pt>
                <c:pt idx="77">
                  <c:v>-14.1244</c:v>
                </c:pt>
                <c:pt idx="78">
                  <c:v>-14.9331</c:v>
                </c:pt>
                <c:pt idx="79">
                  <c:v>-14.484299999999999</c:v>
                </c:pt>
                <c:pt idx="80">
                  <c:v>-13.9704</c:v>
                </c:pt>
                <c:pt idx="81">
                  <c:v>-13.4672</c:v>
                </c:pt>
                <c:pt idx="82">
                  <c:v>-11.973000000000001</c:v>
                </c:pt>
                <c:pt idx="83">
                  <c:v>-14.044600000000001</c:v>
                </c:pt>
                <c:pt idx="84">
                  <c:v>-14.858700000000001</c:v>
                </c:pt>
                <c:pt idx="85">
                  <c:v>-17.5259</c:v>
                </c:pt>
                <c:pt idx="86">
                  <c:v>-16.604500000000002</c:v>
                </c:pt>
                <c:pt idx="87">
                  <c:v>-15.8719</c:v>
                </c:pt>
                <c:pt idx="88">
                  <c:v>-14.683</c:v>
                </c:pt>
                <c:pt idx="89">
                  <c:v>-15.2051</c:v>
                </c:pt>
                <c:pt idx="90">
                  <c:v>-14.3461</c:v>
                </c:pt>
                <c:pt idx="91">
                  <c:v>-13.7967</c:v>
                </c:pt>
                <c:pt idx="92">
                  <c:v>-14.792999999999999</c:v>
                </c:pt>
                <c:pt idx="93">
                  <c:v>-12.9876</c:v>
                </c:pt>
                <c:pt idx="94">
                  <c:v>-16.6783</c:v>
                </c:pt>
                <c:pt idx="95">
                  <c:v>-17.8401</c:v>
                </c:pt>
                <c:pt idx="96">
                  <c:v>-16.38</c:v>
                </c:pt>
                <c:pt idx="97">
                  <c:v>-14.069699999999999</c:v>
                </c:pt>
                <c:pt idx="98">
                  <c:v>-14.218400000000001</c:v>
                </c:pt>
                <c:pt idx="99">
                  <c:v>-14.901899999999999</c:v>
                </c:pt>
                <c:pt idx="100">
                  <c:v>-16.207899999999999</c:v>
                </c:pt>
                <c:pt idx="101">
                  <c:v>-15.758599999999999</c:v>
                </c:pt>
                <c:pt idx="102">
                  <c:v>-15.114800000000001</c:v>
                </c:pt>
                <c:pt idx="103">
                  <c:v>-16.111499999999999</c:v>
                </c:pt>
                <c:pt idx="104">
                  <c:v>-17.392700000000001</c:v>
                </c:pt>
                <c:pt idx="105">
                  <c:v>-14.813000000000001</c:v>
                </c:pt>
                <c:pt idx="106">
                  <c:v>-16.495899999999999</c:v>
                </c:pt>
                <c:pt idx="107">
                  <c:v>-15.9916</c:v>
                </c:pt>
                <c:pt idx="108">
                  <c:v>-15.6677</c:v>
                </c:pt>
                <c:pt idx="109">
                  <c:v>-15.3741</c:v>
                </c:pt>
                <c:pt idx="110">
                  <c:v>-16.553699999999999</c:v>
                </c:pt>
                <c:pt idx="111">
                  <c:v>-16.214200000000002</c:v>
                </c:pt>
                <c:pt idx="112">
                  <c:v>-15.9712</c:v>
                </c:pt>
                <c:pt idx="113">
                  <c:v>-16.410299999999999</c:v>
                </c:pt>
                <c:pt idx="114">
                  <c:v>-15.899100000000001</c:v>
                </c:pt>
                <c:pt idx="115">
                  <c:v>-19.121200000000002</c:v>
                </c:pt>
                <c:pt idx="116">
                  <c:v>-16.9329</c:v>
                </c:pt>
                <c:pt idx="117">
                  <c:v>-16.0822</c:v>
                </c:pt>
                <c:pt idx="118">
                  <c:v>-16.359400000000001</c:v>
                </c:pt>
                <c:pt idx="119">
                  <c:v>-17.661999999999999</c:v>
                </c:pt>
                <c:pt idx="120">
                  <c:v>-14.7202</c:v>
                </c:pt>
                <c:pt idx="121">
                  <c:v>-14.688499999999999</c:v>
                </c:pt>
                <c:pt idx="122">
                  <c:v>-17.2074</c:v>
                </c:pt>
                <c:pt idx="123">
                  <c:v>-16.354800000000001</c:v>
                </c:pt>
                <c:pt idx="124">
                  <c:v>-15.916399999999999</c:v>
                </c:pt>
                <c:pt idx="125">
                  <c:v>-17.090699999999998</c:v>
                </c:pt>
                <c:pt idx="126">
                  <c:v>-17.619299999999999</c:v>
                </c:pt>
                <c:pt idx="127">
                  <c:v>-17.385300000000001</c:v>
                </c:pt>
                <c:pt idx="128">
                  <c:v>-16.589500000000001</c:v>
                </c:pt>
                <c:pt idx="129">
                  <c:v>-17.134499999999999</c:v>
                </c:pt>
                <c:pt idx="130">
                  <c:v>-16.1617</c:v>
                </c:pt>
                <c:pt idx="131">
                  <c:v>-18.368500000000001</c:v>
                </c:pt>
                <c:pt idx="132">
                  <c:v>-16.144200000000001</c:v>
                </c:pt>
                <c:pt idx="133">
                  <c:v>-16.664000000000001</c:v>
                </c:pt>
                <c:pt idx="134">
                  <c:v>-17.2591</c:v>
                </c:pt>
                <c:pt idx="135">
                  <c:v>-17.153700000000001</c:v>
                </c:pt>
                <c:pt idx="136">
                  <c:v>-17.505700000000001</c:v>
                </c:pt>
                <c:pt idx="137">
                  <c:v>-17.065999999999999</c:v>
                </c:pt>
                <c:pt idx="138">
                  <c:v>-17.163499999999999</c:v>
                </c:pt>
                <c:pt idx="139">
                  <c:v>-18.004300000000001</c:v>
                </c:pt>
                <c:pt idx="140">
                  <c:v>-16.977399999999999</c:v>
                </c:pt>
                <c:pt idx="141">
                  <c:v>-17.2578</c:v>
                </c:pt>
                <c:pt idx="142">
                  <c:v>-14.4405</c:v>
                </c:pt>
                <c:pt idx="143">
                  <c:v>-16.2683</c:v>
                </c:pt>
                <c:pt idx="144">
                  <c:v>-15.579700000000001</c:v>
                </c:pt>
                <c:pt idx="145">
                  <c:v>-18.049800000000001</c:v>
                </c:pt>
                <c:pt idx="146">
                  <c:v>-16.027100000000001</c:v>
                </c:pt>
                <c:pt idx="147">
                  <c:v>-16.786799999999999</c:v>
                </c:pt>
                <c:pt idx="148">
                  <c:v>-16.519300000000001</c:v>
                </c:pt>
                <c:pt idx="149">
                  <c:v>-16.265899999999998</c:v>
                </c:pt>
                <c:pt idx="150">
                  <c:v>-17.402699999999999</c:v>
                </c:pt>
                <c:pt idx="151">
                  <c:v>-19.355499999999999</c:v>
                </c:pt>
                <c:pt idx="152">
                  <c:v>-16.6891</c:v>
                </c:pt>
                <c:pt idx="153">
                  <c:v>-16.014500000000002</c:v>
                </c:pt>
                <c:pt idx="154">
                  <c:v>-16.781400000000001</c:v>
                </c:pt>
                <c:pt idx="155">
                  <c:v>-14.247999999999999</c:v>
                </c:pt>
                <c:pt idx="156">
                  <c:v>-16.882000000000001</c:v>
                </c:pt>
                <c:pt idx="157">
                  <c:v>-16.5929</c:v>
                </c:pt>
                <c:pt idx="158">
                  <c:v>-18.084499999999998</c:v>
                </c:pt>
                <c:pt idx="159">
                  <c:v>-17.139099999999999</c:v>
                </c:pt>
                <c:pt idx="160">
                  <c:v>-17.9604</c:v>
                </c:pt>
                <c:pt idx="161">
                  <c:v>-14.891999999999999</c:v>
                </c:pt>
                <c:pt idx="162">
                  <c:v>-16.716000000000001</c:v>
                </c:pt>
                <c:pt idx="163">
                  <c:v>-16.325600000000001</c:v>
                </c:pt>
                <c:pt idx="164">
                  <c:v>-16.284600000000001</c:v>
                </c:pt>
                <c:pt idx="165">
                  <c:v>-18.9238</c:v>
                </c:pt>
                <c:pt idx="166">
                  <c:v>-18.526</c:v>
                </c:pt>
                <c:pt idx="167">
                  <c:v>-17.8521</c:v>
                </c:pt>
                <c:pt idx="168">
                  <c:v>-17.174700000000001</c:v>
                </c:pt>
                <c:pt idx="169">
                  <c:v>-16.756399999999999</c:v>
                </c:pt>
                <c:pt idx="170">
                  <c:v>-18.9239</c:v>
                </c:pt>
                <c:pt idx="171">
                  <c:v>-18.308399999999999</c:v>
                </c:pt>
                <c:pt idx="172">
                  <c:v>-17.3916</c:v>
                </c:pt>
                <c:pt idx="173">
                  <c:v>-16.803999999999998</c:v>
                </c:pt>
                <c:pt idx="174">
                  <c:v>-16.976299999999998</c:v>
                </c:pt>
                <c:pt idx="175">
                  <c:v>-18.064499999999999</c:v>
                </c:pt>
                <c:pt idx="176">
                  <c:v>-18.1587</c:v>
                </c:pt>
                <c:pt idx="177">
                  <c:v>-17.826499999999999</c:v>
                </c:pt>
                <c:pt idx="178">
                  <c:v>-18.7103</c:v>
                </c:pt>
                <c:pt idx="179">
                  <c:v>-15.448600000000001</c:v>
                </c:pt>
                <c:pt idx="180">
                  <c:v>-18.7454</c:v>
                </c:pt>
                <c:pt idx="181">
                  <c:v>-20.336500000000001</c:v>
                </c:pt>
                <c:pt idx="182">
                  <c:v>-18.9252</c:v>
                </c:pt>
                <c:pt idx="183">
                  <c:v>-19.575399999999998</c:v>
                </c:pt>
                <c:pt idx="184">
                  <c:v>-19.1358</c:v>
                </c:pt>
                <c:pt idx="185">
                  <c:v>-18.389600000000002</c:v>
                </c:pt>
                <c:pt idx="186">
                  <c:v>-16.8718</c:v>
                </c:pt>
                <c:pt idx="187">
                  <c:v>-15.5593</c:v>
                </c:pt>
                <c:pt idx="188">
                  <c:v>-15.9483</c:v>
                </c:pt>
                <c:pt idx="189">
                  <c:v>-16.099599999999999</c:v>
                </c:pt>
                <c:pt idx="190">
                  <c:v>-16.348600000000001</c:v>
                </c:pt>
                <c:pt idx="191">
                  <c:v>-17.384599999999999</c:v>
                </c:pt>
                <c:pt idx="192">
                  <c:v>-16.6051</c:v>
                </c:pt>
                <c:pt idx="193">
                  <c:v>-17.899100000000001</c:v>
                </c:pt>
                <c:pt idx="194">
                  <c:v>-16.925699999999999</c:v>
                </c:pt>
                <c:pt idx="195">
                  <c:v>-18.071100000000001</c:v>
                </c:pt>
                <c:pt idx="196">
                  <c:v>-17.4038</c:v>
                </c:pt>
                <c:pt idx="197">
                  <c:v>-18.041599999999999</c:v>
                </c:pt>
                <c:pt idx="198">
                  <c:v>-17.633400000000002</c:v>
                </c:pt>
                <c:pt idx="199">
                  <c:v>-17.7789</c:v>
                </c:pt>
                <c:pt idx="200">
                  <c:v>-17.724799999999998</c:v>
                </c:pt>
                <c:pt idx="201">
                  <c:v>-17.967500000000001</c:v>
                </c:pt>
                <c:pt idx="202">
                  <c:v>-17.124300000000002</c:v>
                </c:pt>
                <c:pt idx="203">
                  <c:v>-18.203700000000001</c:v>
                </c:pt>
                <c:pt idx="204">
                  <c:v>-17.694800000000001</c:v>
                </c:pt>
                <c:pt idx="205">
                  <c:v>-17.1401</c:v>
                </c:pt>
                <c:pt idx="206">
                  <c:v>-18.300799999999999</c:v>
                </c:pt>
                <c:pt idx="207">
                  <c:v>-18.218399999999999</c:v>
                </c:pt>
                <c:pt idx="208">
                  <c:v>-16.9313</c:v>
                </c:pt>
                <c:pt idx="209">
                  <c:v>-18.604600000000001</c:v>
                </c:pt>
                <c:pt idx="210">
                  <c:v>-17.496400000000001</c:v>
                </c:pt>
                <c:pt idx="211">
                  <c:v>-17.353200000000001</c:v>
                </c:pt>
                <c:pt idx="212">
                  <c:v>-17.677399999999999</c:v>
                </c:pt>
                <c:pt idx="213">
                  <c:v>-16.098600000000001</c:v>
                </c:pt>
                <c:pt idx="214">
                  <c:v>-17.7699</c:v>
                </c:pt>
                <c:pt idx="215">
                  <c:v>-18.800899999999999</c:v>
                </c:pt>
                <c:pt idx="216">
                  <c:v>-19.770199999999999</c:v>
                </c:pt>
                <c:pt idx="217">
                  <c:v>-19.703099999999999</c:v>
                </c:pt>
                <c:pt idx="218">
                  <c:v>-19.960599999999999</c:v>
                </c:pt>
                <c:pt idx="219">
                  <c:v>-19.046800000000001</c:v>
                </c:pt>
                <c:pt idx="220">
                  <c:v>-17.771100000000001</c:v>
                </c:pt>
                <c:pt idx="221">
                  <c:v>-18.825700000000001</c:v>
                </c:pt>
                <c:pt idx="222">
                  <c:v>-18.234100000000002</c:v>
                </c:pt>
                <c:pt idx="223">
                  <c:v>-19.758400000000002</c:v>
                </c:pt>
                <c:pt idx="224">
                  <c:v>-20.015699999999999</c:v>
                </c:pt>
                <c:pt idx="225">
                  <c:v>-19.678100000000001</c:v>
                </c:pt>
                <c:pt idx="226">
                  <c:v>-18.414400000000001</c:v>
                </c:pt>
                <c:pt idx="227">
                  <c:v>-17.879200000000001</c:v>
                </c:pt>
                <c:pt idx="228">
                  <c:v>-17.197199999999999</c:v>
                </c:pt>
                <c:pt idx="229">
                  <c:v>-19.5228</c:v>
                </c:pt>
                <c:pt idx="230">
                  <c:v>-17.334800000000001</c:v>
                </c:pt>
                <c:pt idx="231">
                  <c:v>-18.9572</c:v>
                </c:pt>
                <c:pt idx="232">
                  <c:v>-18.865300000000001</c:v>
                </c:pt>
                <c:pt idx="233">
                  <c:v>-17.145900000000001</c:v>
                </c:pt>
                <c:pt idx="234">
                  <c:v>-17.9178</c:v>
                </c:pt>
                <c:pt idx="235">
                  <c:v>-18.2806</c:v>
                </c:pt>
                <c:pt idx="236">
                  <c:v>-19.577000000000002</c:v>
                </c:pt>
                <c:pt idx="237">
                  <c:v>-19.3185</c:v>
                </c:pt>
                <c:pt idx="238">
                  <c:v>-20.639800000000001</c:v>
                </c:pt>
                <c:pt idx="239">
                  <c:v>-19.553100000000001</c:v>
                </c:pt>
                <c:pt idx="240">
                  <c:v>-18.9878</c:v>
                </c:pt>
                <c:pt idx="241">
                  <c:v>-18.323599999999999</c:v>
                </c:pt>
                <c:pt idx="242">
                  <c:v>-19.716000000000001</c:v>
                </c:pt>
                <c:pt idx="243">
                  <c:v>-19.682099999999998</c:v>
                </c:pt>
                <c:pt idx="244">
                  <c:v>-21.8307</c:v>
                </c:pt>
                <c:pt idx="245">
                  <c:v>-19.042899999999999</c:v>
                </c:pt>
                <c:pt idx="246">
                  <c:v>-19.404</c:v>
                </c:pt>
                <c:pt idx="247">
                  <c:v>-21.252700000000001</c:v>
                </c:pt>
                <c:pt idx="248">
                  <c:v>-20.4452</c:v>
                </c:pt>
                <c:pt idx="249">
                  <c:v>-19.484000000000002</c:v>
                </c:pt>
                <c:pt idx="250">
                  <c:v>-20.141200000000001</c:v>
                </c:pt>
                <c:pt idx="251">
                  <c:v>-18.296500000000002</c:v>
                </c:pt>
                <c:pt idx="252">
                  <c:v>-19.8691</c:v>
                </c:pt>
                <c:pt idx="253">
                  <c:v>-21.284300000000002</c:v>
                </c:pt>
                <c:pt idx="254">
                  <c:v>-19.895199999999999</c:v>
                </c:pt>
                <c:pt idx="255">
                  <c:v>-22.093</c:v>
                </c:pt>
                <c:pt idx="256">
                  <c:v>-20.2545</c:v>
                </c:pt>
                <c:pt idx="257">
                  <c:v>-18.61</c:v>
                </c:pt>
                <c:pt idx="258">
                  <c:v>-19.4603</c:v>
                </c:pt>
                <c:pt idx="259">
                  <c:v>-21.2194</c:v>
                </c:pt>
                <c:pt idx="260">
                  <c:v>-20.899000000000001</c:v>
                </c:pt>
                <c:pt idx="261">
                  <c:v>-21.126799999999999</c:v>
                </c:pt>
                <c:pt idx="262">
                  <c:v>-21.332599999999999</c:v>
                </c:pt>
                <c:pt idx="263">
                  <c:v>-19.827300000000001</c:v>
                </c:pt>
                <c:pt idx="264">
                  <c:v>-20.049399999999999</c:v>
                </c:pt>
                <c:pt idx="265">
                  <c:v>-18.419</c:v>
                </c:pt>
                <c:pt idx="266">
                  <c:v>-18.87</c:v>
                </c:pt>
                <c:pt idx="267">
                  <c:v>-19.613399999999999</c:v>
                </c:pt>
                <c:pt idx="268">
                  <c:v>-22.0198</c:v>
                </c:pt>
                <c:pt idx="269">
                  <c:v>-23.071300000000001</c:v>
                </c:pt>
                <c:pt idx="270">
                  <c:v>-21.671600000000002</c:v>
                </c:pt>
                <c:pt idx="271">
                  <c:v>-22.294</c:v>
                </c:pt>
                <c:pt idx="272">
                  <c:v>-22.080500000000001</c:v>
                </c:pt>
                <c:pt idx="273">
                  <c:v>-20.567499999999999</c:v>
                </c:pt>
                <c:pt idx="274">
                  <c:v>-22.7302</c:v>
                </c:pt>
                <c:pt idx="275">
                  <c:v>-22.1435</c:v>
                </c:pt>
                <c:pt idx="276">
                  <c:v>-22.362300000000001</c:v>
                </c:pt>
                <c:pt idx="277">
                  <c:v>-25.4892</c:v>
                </c:pt>
                <c:pt idx="278">
                  <c:v>-23.565000000000001</c:v>
                </c:pt>
                <c:pt idx="279">
                  <c:v>-23.048500000000001</c:v>
                </c:pt>
                <c:pt idx="280">
                  <c:v>-22.260100000000001</c:v>
                </c:pt>
                <c:pt idx="281">
                  <c:v>-21.223500000000001</c:v>
                </c:pt>
                <c:pt idx="282">
                  <c:v>-21.1982</c:v>
                </c:pt>
                <c:pt idx="283">
                  <c:v>-21.7029</c:v>
                </c:pt>
                <c:pt idx="284">
                  <c:v>-21.6966</c:v>
                </c:pt>
                <c:pt idx="285">
                  <c:v>-23.187899999999999</c:v>
                </c:pt>
                <c:pt idx="286">
                  <c:v>-23.2956</c:v>
                </c:pt>
                <c:pt idx="287">
                  <c:v>-23.188600000000001</c:v>
                </c:pt>
                <c:pt idx="288">
                  <c:v>-21.275200000000002</c:v>
                </c:pt>
                <c:pt idx="289">
                  <c:v>-22.515699999999999</c:v>
                </c:pt>
                <c:pt idx="290">
                  <c:v>-22.422000000000001</c:v>
                </c:pt>
                <c:pt idx="291">
                  <c:v>-20.835699999999999</c:v>
                </c:pt>
                <c:pt idx="292">
                  <c:v>-22.172599999999999</c:v>
                </c:pt>
                <c:pt idx="293">
                  <c:v>-21.653700000000001</c:v>
                </c:pt>
                <c:pt idx="294">
                  <c:v>-22.9984</c:v>
                </c:pt>
                <c:pt idx="295">
                  <c:v>-22.098800000000001</c:v>
                </c:pt>
                <c:pt idx="296">
                  <c:v>-21.165700000000001</c:v>
                </c:pt>
                <c:pt idx="297">
                  <c:v>-21.847300000000001</c:v>
                </c:pt>
                <c:pt idx="298">
                  <c:v>-21.403300000000002</c:v>
                </c:pt>
                <c:pt idx="299">
                  <c:v>-22.495999999999999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09A0-3248-9704-5BA5201CFA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Capture Price (EUR/MWh)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P50/P90/P99 at Key Project Horizons — DK1 Primary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Simulation!$L$2</c:f>
              <c:strCache>
                <c:ptCount val="1"/>
                <c:pt idx="0">
                  <c:v>P50</c:v>
                </c:pt>
              </c:strCache>
            </c:strRef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Simulation!$L$3:$L$7</c:f>
              <c:numCache>
                <c:formatCode>General</c:formatCode>
                <c:ptCount val="5"/>
                <c:pt idx="0">
                  <c:v>62.42</c:v>
                </c:pt>
                <c:pt idx="1">
                  <c:v>60.67</c:v>
                </c:pt>
                <c:pt idx="2">
                  <c:v>58.52</c:v>
                </c:pt>
                <c:pt idx="3">
                  <c:v>57.43</c:v>
                </c:pt>
                <c:pt idx="4">
                  <c:v>54.79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C92-444C-A60B-9B61C8E8439C}"/>
            </c:ext>
          </c:extLst>
        </c:ser>
        <c:ser>
          <c:idx val="1"/>
          <c:order val="1"/>
          <c:tx>
            <c:strRef>
              <c:f>Simulation!$M$2</c:f>
              <c:strCache>
                <c:ptCount val="1"/>
                <c:pt idx="0">
                  <c:v>P90</c:v>
                </c:pt>
              </c:strCache>
            </c:strRef>
          </c:tx>
          <c:spPr>
            <a:solidFill>
              <a:srgbClr val="FF8C00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Simulation!$M$3:$M$7</c:f>
              <c:numCache>
                <c:formatCode>General</c:formatCode>
                <c:ptCount val="5"/>
                <c:pt idx="0">
                  <c:v>19.97</c:v>
                </c:pt>
                <c:pt idx="1">
                  <c:v>18.27</c:v>
                </c:pt>
                <c:pt idx="2">
                  <c:v>16.52</c:v>
                </c:pt>
                <c:pt idx="3">
                  <c:v>14.71</c:v>
                </c:pt>
                <c:pt idx="4">
                  <c:v>12.55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C92-444C-A60B-9B61C8E8439C}"/>
            </c:ext>
          </c:extLst>
        </c:ser>
        <c:ser>
          <c:idx val="2"/>
          <c:order val="2"/>
          <c:tx>
            <c:strRef>
              <c:f>Simulation!$N$2</c:f>
              <c:strCache>
                <c:ptCount val="1"/>
                <c:pt idx="0">
                  <c:v>P99</c:v>
                </c:pt>
              </c:strCache>
            </c:strRef>
          </c:tx>
          <c:spPr>
            <a:solidFill>
              <a:srgbClr val="C00000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Simulation!$N$3:$N$7</c:f>
              <c:numCache>
                <c:formatCode>General</c:formatCode>
                <c:ptCount val="5"/>
                <c:pt idx="0">
                  <c:v>-14.85</c:v>
                </c:pt>
                <c:pt idx="1">
                  <c:v>-17.66</c:v>
                </c:pt>
                <c:pt idx="2">
                  <c:v>-15.45</c:v>
                </c:pt>
                <c:pt idx="3">
                  <c:v>-19.55</c:v>
                </c:pt>
                <c:pt idx="4">
                  <c:v>-22.5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9C92-444C-A60B-9B61C8E843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Project Year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Capture Price (EUR/MWh)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P50/P90/P99 at Key Project Horizons — DK1 Primary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Simulation!$L$2</c:f>
              <c:strCache>
                <c:ptCount val="1"/>
                <c:pt idx="0">
                  <c:v>P50</c:v>
                </c:pt>
              </c:strCache>
            </c:strRef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Simulation!$L$3:$L$7</c:f>
              <c:numCache>
                <c:formatCode>General</c:formatCode>
                <c:ptCount val="5"/>
                <c:pt idx="0">
                  <c:v>62.42</c:v>
                </c:pt>
                <c:pt idx="1">
                  <c:v>60.67</c:v>
                </c:pt>
                <c:pt idx="2">
                  <c:v>58.52</c:v>
                </c:pt>
                <c:pt idx="3">
                  <c:v>57.43</c:v>
                </c:pt>
                <c:pt idx="4">
                  <c:v>54.79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E24E-EC42-A7A0-787D48471257}"/>
            </c:ext>
          </c:extLst>
        </c:ser>
        <c:ser>
          <c:idx val="1"/>
          <c:order val="1"/>
          <c:tx>
            <c:strRef>
              <c:f>Simulation!$M$2</c:f>
              <c:strCache>
                <c:ptCount val="1"/>
                <c:pt idx="0">
                  <c:v>P90</c:v>
                </c:pt>
              </c:strCache>
            </c:strRef>
          </c:tx>
          <c:spPr>
            <a:solidFill>
              <a:srgbClr val="FF8C00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Simulation!$M$3:$M$7</c:f>
              <c:numCache>
                <c:formatCode>General</c:formatCode>
                <c:ptCount val="5"/>
                <c:pt idx="0">
                  <c:v>19.97</c:v>
                </c:pt>
                <c:pt idx="1">
                  <c:v>18.27</c:v>
                </c:pt>
                <c:pt idx="2">
                  <c:v>16.52</c:v>
                </c:pt>
                <c:pt idx="3">
                  <c:v>14.71</c:v>
                </c:pt>
                <c:pt idx="4">
                  <c:v>12.55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E24E-EC42-A7A0-787D48471257}"/>
            </c:ext>
          </c:extLst>
        </c:ser>
        <c:ser>
          <c:idx val="2"/>
          <c:order val="2"/>
          <c:tx>
            <c:strRef>
              <c:f>Simulation!$N$2</c:f>
              <c:strCache>
                <c:ptCount val="1"/>
                <c:pt idx="0">
                  <c:v>P99</c:v>
                </c:pt>
              </c:strCache>
            </c:strRef>
          </c:tx>
          <c:spPr>
            <a:solidFill>
              <a:srgbClr val="C00000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Simulation!$N$3:$N$7</c:f>
              <c:numCache>
                <c:formatCode>General</c:formatCode>
                <c:ptCount val="5"/>
                <c:pt idx="0">
                  <c:v>-14.85</c:v>
                </c:pt>
                <c:pt idx="1">
                  <c:v>-17.66</c:v>
                </c:pt>
                <c:pt idx="2">
                  <c:v>-15.45</c:v>
                </c:pt>
                <c:pt idx="3">
                  <c:v>-19.55</c:v>
                </c:pt>
                <c:pt idx="4">
                  <c:v>-22.5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E24E-EC42-A7A0-787D48471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Project Year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Capture Price (EUR/MWh)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P50/P90/P99 at Key Project Horizons — DK1 Primary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Simulation!$L$2</c:f>
              <c:strCache>
                <c:ptCount val="1"/>
                <c:pt idx="0">
                  <c:v>P50</c:v>
                </c:pt>
              </c:strCache>
            </c:strRef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Simulation!$L$3:$L$7</c:f>
              <c:numCache>
                <c:formatCode>General</c:formatCode>
                <c:ptCount val="5"/>
                <c:pt idx="0">
                  <c:v>62.42</c:v>
                </c:pt>
                <c:pt idx="1">
                  <c:v>60.67</c:v>
                </c:pt>
                <c:pt idx="2">
                  <c:v>58.52</c:v>
                </c:pt>
                <c:pt idx="3">
                  <c:v>57.43</c:v>
                </c:pt>
                <c:pt idx="4">
                  <c:v>54.79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A1F2-6046-96B7-C690561865E6}"/>
            </c:ext>
          </c:extLst>
        </c:ser>
        <c:ser>
          <c:idx val="1"/>
          <c:order val="1"/>
          <c:tx>
            <c:strRef>
              <c:f>Simulation!$M$2</c:f>
              <c:strCache>
                <c:ptCount val="1"/>
                <c:pt idx="0">
                  <c:v>P90</c:v>
                </c:pt>
              </c:strCache>
            </c:strRef>
          </c:tx>
          <c:spPr>
            <a:solidFill>
              <a:srgbClr val="FF8C00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Simulation!$M$3:$M$7</c:f>
              <c:numCache>
                <c:formatCode>General</c:formatCode>
                <c:ptCount val="5"/>
                <c:pt idx="0">
                  <c:v>19.97</c:v>
                </c:pt>
                <c:pt idx="1">
                  <c:v>18.27</c:v>
                </c:pt>
                <c:pt idx="2">
                  <c:v>16.52</c:v>
                </c:pt>
                <c:pt idx="3">
                  <c:v>14.71</c:v>
                </c:pt>
                <c:pt idx="4">
                  <c:v>12.55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A1F2-6046-96B7-C690561865E6}"/>
            </c:ext>
          </c:extLst>
        </c:ser>
        <c:ser>
          <c:idx val="2"/>
          <c:order val="2"/>
          <c:tx>
            <c:strRef>
              <c:f>Simulation!$N$2</c:f>
              <c:strCache>
                <c:ptCount val="1"/>
                <c:pt idx="0">
                  <c:v>P99</c:v>
                </c:pt>
              </c:strCache>
            </c:strRef>
          </c:tx>
          <c:spPr>
            <a:solidFill>
              <a:srgbClr val="C00000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Simulation!$N$3:$N$7</c:f>
              <c:numCache>
                <c:formatCode>General</c:formatCode>
                <c:ptCount val="5"/>
                <c:pt idx="0">
                  <c:v>-14.85</c:v>
                </c:pt>
                <c:pt idx="1">
                  <c:v>-17.66</c:v>
                </c:pt>
                <c:pt idx="2">
                  <c:v>-15.45</c:v>
                </c:pt>
                <c:pt idx="3">
                  <c:v>-19.55</c:v>
                </c:pt>
                <c:pt idx="4">
                  <c:v>-22.5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A1F2-6046-96B7-C690561865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Project Year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Capture Price (EUR/MWh)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P50/P90/P99 at Key Project Horizons — DK1 Primary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Simulation!$L$2</c:f>
              <c:strCache>
                <c:ptCount val="1"/>
                <c:pt idx="0">
                  <c:v>P50</c:v>
                </c:pt>
              </c:strCache>
            </c:strRef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Simulation!$L$3:$L$7</c:f>
              <c:numCache>
                <c:formatCode>General</c:formatCode>
                <c:ptCount val="5"/>
                <c:pt idx="0">
                  <c:v>62.42</c:v>
                </c:pt>
                <c:pt idx="1">
                  <c:v>60.67</c:v>
                </c:pt>
                <c:pt idx="2">
                  <c:v>58.52</c:v>
                </c:pt>
                <c:pt idx="3">
                  <c:v>57.43</c:v>
                </c:pt>
                <c:pt idx="4">
                  <c:v>54.79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DAC-0340-9F2E-71E7A141CFF1}"/>
            </c:ext>
          </c:extLst>
        </c:ser>
        <c:ser>
          <c:idx val="1"/>
          <c:order val="1"/>
          <c:tx>
            <c:strRef>
              <c:f>Simulation!$M$2</c:f>
              <c:strCache>
                <c:ptCount val="1"/>
                <c:pt idx="0">
                  <c:v>P90</c:v>
                </c:pt>
              </c:strCache>
            </c:strRef>
          </c:tx>
          <c:spPr>
            <a:solidFill>
              <a:srgbClr val="FF8C00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Simulation!$M$3:$M$7</c:f>
              <c:numCache>
                <c:formatCode>General</c:formatCode>
                <c:ptCount val="5"/>
                <c:pt idx="0">
                  <c:v>19.97</c:v>
                </c:pt>
                <c:pt idx="1">
                  <c:v>18.27</c:v>
                </c:pt>
                <c:pt idx="2">
                  <c:v>16.52</c:v>
                </c:pt>
                <c:pt idx="3">
                  <c:v>14.71</c:v>
                </c:pt>
                <c:pt idx="4">
                  <c:v>12.55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DAC-0340-9F2E-71E7A141CFF1}"/>
            </c:ext>
          </c:extLst>
        </c:ser>
        <c:ser>
          <c:idx val="2"/>
          <c:order val="2"/>
          <c:tx>
            <c:strRef>
              <c:f>Simulation!$N$2</c:f>
              <c:strCache>
                <c:ptCount val="1"/>
                <c:pt idx="0">
                  <c:v>P99</c:v>
                </c:pt>
              </c:strCache>
            </c:strRef>
          </c:tx>
          <c:spPr>
            <a:solidFill>
              <a:srgbClr val="C00000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Simulation!$N$3:$N$7</c:f>
              <c:numCache>
                <c:formatCode>General</c:formatCode>
                <c:ptCount val="5"/>
                <c:pt idx="0">
                  <c:v>-14.85</c:v>
                </c:pt>
                <c:pt idx="1">
                  <c:v>-17.66</c:v>
                </c:pt>
                <c:pt idx="2">
                  <c:v>-15.45</c:v>
                </c:pt>
                <c:pt idx="3">
                  <c:v>-19.55</c:v>
                </c:pt>
                <c:pt idx="4">
                  <c:v>-22.5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4DAC-0340-9F2E-71E7A141CF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Project Year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Capture Price (EUR/MWh)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P50/P90/P99 at Key Project Horizons — DK1 Primary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Simulation!$L$2</c:f>
              <c:strCache>
                <c:ptCount val="1"/>
                <c:pt idx="0">
                  <c:v>P50</c:v>
                </c:pt>
              </c:strCache>
            </c:strRef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Simulation!$L$3:$L$7</c:f>
              <c:numCache>
                <c:formatCode>General</c:formatCode>
                <c:ptCount val="5"/>
                <c:pt idx="0">
                  <c:v>62.42</c:v>
                </c:pt>
                <c:pt idx="1">
                  <c:v>60.67</c:v>
                </c:pt>
                <c:pt idx="2">
                  <c:v>58.52</c:v>
                </c:pt>
                <c:pt idx="3">
                  <c:v>57.43</c:v>
                </c:pt>
                <c:pt idx="4">
                  <c:v>54.79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1033-FF49-9EF9-7C42641CF3EA}"/>
            </c:ext>
          </c:extLst>
        </c:ser>
        <c:ser>
          <c:idx val="1"/>
          <c:order val="1"/>
          <c:tx>
            <c:strRef>
              <c:f>Simulation!$M$2</c:f>
              <c:strCache>
                <c:ptCount val="1"/>
                <c:pt idx="0">
                  <c:v>P90</c:v>
                </c:pt>
              </c:strCache>
            </c:strRef>
          </c:tx>
          <c:spPr>
            <a:solidFill>
              <a:srgbClr val="FF8C00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Simulation!$M$3:$M$7</c:f>
              <c:numCache>
                <c:formatCode>General</c:formatCode>
                <c:ptCount val="5"/>
                <c:pt idx="0">
                  <c:v>19.97</c:v>
                </c:pt>
                <c:pt idx="1">
                  <c:v>18.27</c:v>
                </c:pt>
                <c:pt idx="2">
                  <c:v>16.52</c:v>
                </c:pt>
                <c:pt idx="3">
                  <c:v>14.71</c:v>
                </c:pt>
                <c:pt idx="4">
                  <c:v>12.55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1033-FF49-9EF9-7C42641CF3EA}"/>
            </c:ext>
          </c:extLst>
        </c:ser>
        <c:ser>
          <c:idx val="2"/>
          <c:order val="2"/>
          <c:tx>
            <c:strRef>
              <c:f>Simulation!$N$2</c:f>
              <c:strCache>
                <c:ptCount val="1"/>
                <c:pt idx="0">
                  <c:v>P99</c:v>
                </c:pt>
              </c:strCache>
            </c:strRef>
          </c:tx>
          <c:spPr>
            <a:solidFill>
              <a:srgbClr val="C00000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Simulation!$N$3:$N$7</c:f>
              <c:numCache>
                <c:formatCode>General</c:formatCode>
                <c:ptCount val="5"/>
                <c:pt idx="0">
                  <c:v>-14.85</c:v>
                </c:pt>
                <c:pt idx="1">
                  <c:v>-17.66</c:v>
                </c:pt>
                <c:pt idx="2">
                  <c:v>-15.45</c:v>
                </c:pt>
                <c:pt idx="3">
                  <c:v>-19.55</c:v>
                </c:pt>
                <c:pt idx="4">
                  <c:v>-22.5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1033-FF49-9EF9-7C42641CF3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Project Year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Capture Price (EUR/MWh)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P50/P90/P99 at Key Project Horizons — DK1 Primary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Simulation!$L$2</c:f>
              <c:strCache>
                <c:ptCount val="1"/>
                <c:pt idx="0">
                  <c:v>P50</c:v>
                </c:pt>
              </c:strCache>
            </c:strRef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Simulation!$L$3:$L$7</c:f>
              <c:numCache>
                <c:formatCode>General</c:formatCode>
                <c:ptCount val="5"/>
                <c:pt idx="0">
                  <c:v>62.42</c:v>
                </c:pt>
                <c:pt idx="1">
                  <c:v>60.67</c:v>
                </c:pt>
                <c:pt idx="2">
                  <c:v>58.52</c:v>
                </c:pt>
                <c:pt idx="3">
                  <c:v>57.43</c:v>
                </c:pt>
                <c:pt idx="4">
                  <c:v>54.79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163A-494D-8B9B-FB2E827F5F43}"/>
            </c:ext>
          </c:extLst>
        </c:ser>
        <c:ser>
          <c:idx val="1"/>
          <c:order val="1"/>
          <c:tx>
            <c:strRef>
              <c:f>Simulation!$M$2</c:f>
              <c:strCache>
                <c:ptCount val="1"/>
                <c:pt idx="0">
                  <c:v>P90</c:v>
                </c:pt>
              </c:strCache>
            </c:strRef>
          </c:tx>
          <c:spPr>
            <a:solidFill>
              <a:srgbClr val="FF8C00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Simulation!$M$3:$M$7</c:f>
              <c:numCache>
                <c:formatCode>General</c:formatCode>
                <c:ptCount val="5"/>
                <c:pt idx="0">
                  <c:v>19.97</c:v>
                </c:pt>
                <c:pt idx="1">
                  <c:v>18.27</c:v>
                </c:pt>
                <c:pt idx="2">
                  <c:v>16.52</c:v>
                </c:pt>
                <c:pt idx="3">
                  <c:v>14.71</c:v>
                </c:pt>
                <c:pt idx="4">
                  <c:v>12.55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163A-494D-8B9B-FB2E827F5F43}"/>
            </c:ext>
          </c:extLst>
        </c:ser>
        <c:ser>
          <c:idx val="2"/>
          <c:order val="2"/>
          <c:tx>
            <c:strRef>
              <c:f>Simulation!$N$2</c:f>
              <c:strCache>
                <c:ptCount val="1"/>
                <c:pt idx="0">
                  <c:v>P99</c:v>
                </c:pt>
              </c:strCache>
            </c:strRef>
          </c:tx>
          <c:spPr>
            <a:solidFill>
              <a:srgbClr val="C00000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Simulation!$N$3:$N$7</c:f>
              <c:numCache>
                <c:formatCode>General</c:formatCode>
                <c:ptCount val="5"/>
                <c:pt idx="0">
                  <c:v>-14.85</c:v>
                </c:pt>
                <c:pt idx="1">
                  <c:v>-17.66</c:v>
                </c:pt>
                <c:pt idx="2">
                  <c:v>-15.45</c:v>
                </c:pt>
                <c:pt idx="3">
                  <c:v>-19.55</c:v>
                </c:pt>
                <c:pt idx="4">
                  <c:v>-22.5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163A-494D-8B9B-FB2E827F5F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Project Year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Capture Price (EUR/MWh)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P50/P90/P99 at Key Project Horizons — DK1 Primary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Simulation!$L$2</c:f>
              <c:strCache>
                <c:ptCount val="1"/>
                <c:pt idx="0">
                  <c:v>P50</c:v>
                </c:pt>
              </c:strCache>
            </c:strRef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Simulation!$L$3:$L$7</c:f>
              <c:numCache>
                <c:formatCode>General</c:formatCode>
                <c:ptCount val="5"/>
                <c:pt idx="0">
                  <c:v>62.42</c:v>
                </c:pt>
                <c:pt idx="1">
                  <c:v>60.67</c:v>
                </c:pt>
                <c:pt idx="2">
                  <c:v>58.52</c:v>
                </c:pt>
                <c:pt idx="3">
                  <c:v>57.43</c:v>
                </c:pt>
                <c:pt idx="4">
                  <c:v>54.79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624-6F41-A69C-FCA55C8609A7}"/>
            </c:ext>
          </c:extLst>
        </c:ser>
        <c:ser>
          <c:idx val="1"/>
          <c:order val="1"/>
          <c:tx>
            <c:strRef>
              <c:f>Simulation!$M$2</c:f>
              <c:strCache>
                <c:ptCount val="1"/>
                <c:pt idx="0">
                  <c:v>P90</c:v>
                </c:pt>
              </c:strCache>
            </c:strRef>
          </c:tx>
          <c:spPr>
            <a:solidFill>
              <a:srgbClr val="FF8C00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Simulation!$M$3:$M$7</c:f>
              <c:numCache>
                <c:formatCode>General</c:formatCode>
                <c:ptCount val="5"/>
                <c:pt idx="0">
                  <c:v>19.97</c:v>
                </c:pt>
                <c:pt idx="1">
                  <c:v>18.27</c:v>
                </c:pt>
                <c:pt idx="2">
                  <c:v>16.52</c:v>
                </c:pt>
                <c:pt idx="3">
                  <c:v>14.71</c:v>
                </c:pt>
                <c:pt idx="4">
                  <c:v>12.55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6624-6F41-A69C-FCA55C8609A7}"/>
            </c:ext>
          </c:extLst>
        </c:ser>
        <c:ser>
          <c:idx val="2"/>
          <c:order val="2"/>
          <c:tx>
            <c:strRef>
              <c:f>Simulation!$N$2</c:f>
              <c:strCache>
                <c:ptCount val="1"/>
                <c:pt idx="0">
                  <c:v>P99</c:v>
                </c:pt>
              </c:strCache>
            </c:strRef>
          </c:tx>
          <c:spPr>
            <a:solidFill>
              <a:srgbClr val="C00000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Simulation!$N$3:$N$7</c:f>
              <c:numCache>
                <c:formatCode>General</c:formatCode>
                <c:ptCount val="5"/>
                <c:pt idx="0">
                  <c:v>-14.85</c:v>
                </c:pt>
                <c:pt idx="1">
                  <c:v>-17.66</c:v>
                </c:pt>
                <c:pt idx="2">
                  <c:v>-15.45</c:v>
                </c:pt>
                <c:pt idx="3">
                  <c:v>-19.55</c:v>
                </c:pt>
                <c:pt idx="4">
                  <c:v>-22.5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6624-6F41-A69C-FCA55C8609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Project Year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Capture Price (EUR/MWh)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P50/P90/P99 at Key Project Horizons — DK1 Primary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Simulation!$L$2</c:f>
              <c:strCache>
                <c:ptCount val="1"/>
                <c:pt idx="0">
                  <c:v>P50</c:v>
                </c:pt>
              </c:strCache>
            </c:strRef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Simulation!$L$3:$L$7</c:f>
              <c:numCache>
                <c:formatCode>General</c:formatCode>
                <c:ptCount val="5"/>
                <c:pt idx="0">
                  <c:v>62.42</c:v>
                </c:pt>
                <c:pt idx="1">
                  <c:v>60.67</c:v>
                </c:pt>
                <c:pt idx="2">
                  <c:v>58.52</c:v>
                </c:pt>
                <c:pt idx="3">
                  <c:v>57.43</c:v>
                </c:pt>
                <c:pt idx="4">
                  <c:v>54.79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79B-4347-A11B-80CD35F78764}"/>
            </c:ext>
          </c:extLst>
        </c:ser>
        <c:ser>
          <c:idx val="1"/>
          <c:order val="1"/>
          <c:tx>
            <c:strRef>
              <c:f>Simulation!$M$2</c:f>
              <c:strCache>
                <c:ptCount val="1"/>
                <c:pt idx="0">
                  <c:v>P90</c:v>
                </c:pt>
              </c:strCache>
            </c:strRef>
          </c:tx>
          <c:spPr>
            <a:solidFill>
              <a:srgbClr val="FF8C00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Simulation!$M$3:$M$7</c:f>
              <c:numCache>
                <c:formatCode>General</c:formatCode>
                <c:ptCount val="5"/>
                <c:pt idx="0">
                  <c:v>19.97</c:v>
                </c:pt>
                <c:pt idx="1">
                  <c:v>18.27</c:v>
                </c:pt>
                <c:pt idx="2">
                  <c:v>16.52</c:v>
                </c:pt>
                <c:pt idx="3">
                  <c:v>14.71</c:v>
                </c:pt>
                <c:pt idx="4">
                  <c:v>12.55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79B-4347-A11B-80CD35F78764}"/>
            </c:ext>
          </c:extLst>
        </c:ser>
        <c:ser>
          <c:idx val="2"/>
          <c:order val="2"/>
          <c:tx>
            <c:strRef>
              <c:f>Simulation!$N$2</c:f>
              <c:strCache>
                <c:ptCount val="1"/>
                <c:pt idx="0">
                  <c:v>P99</c:v>
                </c:pt>
              </c:strCache>
            </c:strRef>
          </c:tx>
          <c:spPr>
            <a:solidFill>
              <a:srgbClr val="C00000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Simulation!$N$3:$N$7</c:f>
              <c:numCache>
                <c:formatCode>General</c:formatCode>
                <c:ptCount val="5"/>
                <c:pt idx="0">
                  <c:v>-14.85</c:v>
                </c:pt>
                <c:pt idx="1">
                  <c:v>-17.66</c:v>
                </c:pt>
                <c:pt idx="2">
                  <c:v>-15.45</c:v>
                </c:pt>
                <c:pt idx="3">
                  <c:v>-19.55</c:v>
                </c:pt>
                <c:pt idx="4">
                  <c:v>-22.5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79B-4347-A11B-80CD35F787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Project Year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Capture Price (EUR/MWh)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P50/P90/P99 at Key Project Horizons — DK1 Primary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Simulation!$L$2</c:f>
              <c:strCache>
                <c:ptCount val="1"/>
                <c:pt idx="0">
                  <c:v>P50</c:v>
                </c:pt>
              </c:strCache>
            </c:strRef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Simulation!$L$3:$L$7</c:f>
              <c:numCache>
                <c:formatCode>General</c:formatCode>
                <c:ptCount val="5"/>
                <c:pt idx="0">
                  <c:v>62.42</c:v>
                </c:pt>
                <c:pt idx="1">
                  <c:v>60.67</c:v>
                </c:pt>
                <c:pt idx="2">
                  <c:v>58.52</c:v>
                </c:pt>
                <c:pt idx="3">
                  <c:v>57.43</c:v>
                </c:pt>
                <c:pt idx="4">
                  <c:v>54.79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A424-2749-B989-E02FC1A76A67}"/>
            </c:ext>
          </c:extLst>
        </c:ser>
        <c:ser>
          <c:idx val="1"/>
          <c:order val="1"/>
          <c:tx>
            <c:strRef>
              <c:f>Simulation!$M$2</c:f>
              <c:strCache>
                <c:ptCount val="1"/>
                <c:pt idx="0">
                  <c:v>P90</c:v>
                </c:pt>
              </c:strCache>
            </c:strRef>
          </c:tx>
          <c:spPr>
            <a:solidFill>
              <a:srgbClr val="FF8C00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Simulation!$M$3:$M$7</c:f>
              <c:numCache>
                <c:formatCode>General</c:formatCode>
                <c:ptCount val="5"/>
                <c:pt idx="0">
                  <c:v>19.97</c:v>
                </c:pt>
                <c:pt idx="1">
                  <c:v>18.27</c:v>
                </c:pt>
                <c:pt idx="2">
                  <c:v>16.52</c:v>
                </c:pt>
                <c:pt idx="3">
                  <c:v>14.71</c:v>
                </c:pt>
                <c:pt idx="4">
                  <c:v>12.55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A424-2749-B989-E02FC1A76A67}"/>
            </c:ext>
          </c:extLst>
        </c:ser>
        <c:ser>
          <c:idx val="2"/>
          <c:order val="2"/>
          <c:tx>
            <c:strRef>
              <c:f>Simulation!$N$2</c:f>
              <c:strCache>
                <c:ptCount val="1"/>
                <c:pt idx="0">
                  <c:v>P99</c:v>
                </c:pt>
              </c:strCache>
            </c:strRef>
          </c:tx>
          <c:spPr>
            <a:solidFill>
              <a:srgbClr val="C00000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Simulation!$N$3:$N$7</c:f>
              <c:numCache>
                <c:formatCode>General</c:formatCode>
                <c:ptCount val="5"/>
                <c:pt idx="0">
                  <c:v>-14.85</c:v>
                </c:pt>
                <c:pt idx="1">
                  <c:v>-17.66</c:v>
                </c:pt>
                <c:pt idx="2">
                  <c:v>-15.45</c:v>
                </c:pt>
                <c:pt idx="3">
                  <c:v>-19.55</c:v>
                </c:pt>
                <c:pt idx="4">
                  <c:v>-22.5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A424-2749-B989-E02FC1A76A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Project Year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Capture Price (EUR/MWh)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MC Simulation - DK1 P50/P90/P99 Capture Price Paths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Simulation!$C$1</c:f>
              <c:strCache>
                <c:ptCount val="1"/>
                <c:pt idx="0">
                  <c:v>mu_capture</c:v>
                </c:pt>
              </c:strCache>
            </c:strRef>
          </c:tx>
          <c:spPr>
            <a:ln>
              <a:solidFill>
                <a:srgbClr val="70AD47"/>
              </a:solidFill>
              <a:prstDash val="solid"/>
            </a:ln>
          </c:spPr>
          <c:marker>
            <c:symbol val="none"/>
          </c:marker>
          <c:val>
            <c:numRef>
              <c:f>Simulation!$C$2:$C$301</c:f>
              <c:numCache>
                <c:formatCode>General</c:formatCode>
                <c:ptCount val="300"/>
                <c:pt idx="0">
                  <c:v>64.879900000000006</c:v>
                </c:pt>
                <c:pt idx="1">
                  <c:v>64.845699999999994</c:v>
                </c:pt>
                <c:pt idx="2">
                  <c:v>64.811400000000006</c:v>
                </c:pt>
                <c:pt idx="3">
                  <c:v>64.777100000000004</c:v>
                </c:pt>
                <c:pt idx="4">
                  <c:v>64.742900000000006</c:v>
                </c:pt>
                <c:pt idx="5">
                  <c:v>64.708600000000004</c:v>
                </c:pt>
                <c:pt idx="6">
                  <c:v>64.674400000000006</c:v>
                </c:pt>
                <c:pt idx="7">
                  <c:v>64.640100000000004</c:v>
                </c:pt>
                <c:pt idx="8">
                  <c:v>64.605800000000002</c:v>
                </c:pt>
                <c:pt idx="9">
                  <c:v>64.571600000000004</c:v>
                </c:pt>
                <c:pt idx="10">
                  <c:v>64.537300000000002</c:v>
                </c:pt>
                <c:pt idx="11">
                  <c:v>64.503</c:v>
                </c:pt>
                <c:pt idx="12">
                  <c:v>64.468800000000002</c:v>
                </c:pt>
                <c:pt idx="13">
                  <c:v>64.4345</c:v>
                </c:pt>
                <c:pt idx="14">
                  <c:v>64.400300000000001</c:v>
                </c:pt>
                <c:pt idx="15">
                  <c:v>64.366</c:v>
                </c:pt>
                <c:pt idx="16">
                  <c:v>64.331699999999998</c:v>
                </c:pt>
                <c:pt idx="17">
                  <c:v>64.297499999999999</c:v>
                </c:pt>
                <c:pt idx="18">
                  <c:v>64.263199999999998</c:v>
                </c:pt>
                <c:pt idx="19">
                  <c:v>64.228999999999999</c:v>
                </c:pt>
                <c:pt idx="20">
                  <c:v>64.194699999999997</c:v>
                </c:pt>
                <c:pt idx="21">
                  <c:v>64.160399999999996</c:v>
                </c:pt>
                <c:pt idx="22">
                  <c:v>64.126199999999997</c:v>
                </c:pt>
                <c:pt idx="23">
                  <c:v>64.091899999999995</c:v>
                </c:pt>
                <c:pt idx="24">
                  <c:v>64.057599999999994</c:v>
                </c:pt>
                <c:pt idx="25">
                  <c:v>64.023399999999995</c:v>
                </c:pt>
                <c:pt idx="26">
                  <c:v>63.989100000000001</c:v>
                </c:pt>
                <c:pt idx="27">
                  <c:v>63.954900000000002</c:v>
                </c:pt>
                <c:pt idx="28">
                  <c:v>63.9206</c:v>
                </c:pt>
                <c:pt idx="29">
                  <c:v>63.886299999999999</c:v>
                </c:pt>
                <c:pt idx="30">
                  <c:v>63.8521</c:v>
                </c:pt>
                <c:pt idx="31">
                  <c:v>63.817799999999998</c:v>
                </c:pt>
                <c:pt idx="32">
                  <c:v>63.7836</c:v>
                </c:pt>
                <c:pt idx="33">
                  <c:v>63.749299999999998</c:v>
                </c:pt>
                <c:pt idx="34">
                  <c:v>63.715000000000003</c:v>
                </c:pt>
                <c:pt idx="35">
                  <c:v>63.680799999999998</c:v>
                </c:pt>
                <c:pt idx="36">
                  <c:v>63.646500000000003</c:v>
                </c:pt>
                <c:pt idx="37">
                  <c:v>63.612200000000001</c:v>
                </c:pt>
                <c:pt idx="38">
                  <c:v>63.578000000000003</c:v>
                </c:pt>
                <c:pt idx="39">
                  <c:v>63.543700000000001</c:v>
                </c:pt>
                <c:pt idx="40">
                  <c:v>63.509500000000003</c:v>
                </c:pt>
                <c:pt idx="41">
                  <c:v>63.475200000000001</c:v>
                </c:pt>
                <c:pt idx="42">
                  <c:v>63.440899999999999</c:v>
                </c:pt>
                <c:pt idx="43">
                  <c:v>63.406700000000001</c:v>
                </c:pt>
                <c:pt idx="44">
                  <c:v>63.372399999999999</c:v>
                </c:pt>
                <c:pt idx="45">
                  <c:v>63.338200000000001</c:v>
                </c:pt>
                <c:pt idx="46">
                  <c:v>63.303899999999999</c:v>
                </c:pt>
                <c:pt idx="47">
                  <c:v>63.269599999999997</c:v>
                </c:pt>
                <c:pt idx="48">
                  <c:v>63.235399999999998</c:v>
                </c:pt>
                <c:pt idx="49">
                  <c:v>63.201099999999997</c:v>
                </c:pt>
                <c:pt idx="50">
                  <c:v>63.166899999999998</c:v>
                </c:pt>
                <c:pt idx="51">
                  <c:v>63.132599999999996</c:v>
                </c:pt>
                <c:pt idx="52">
                  <c:v>63.098300000000002</c:v>
                </c:pt>
                <c:pt idx="53">
                  <c:v>63.064100000000003</c:v>
                </c:pt>
                <c:pt idx="54">
                  <c:v>63.029800000000002</c:v>
                </c:pt>
                <c:pt idx="55">
                  <c:v>62.9955</c:v>
                </c:pt>
                <c:pt idx="56">
                  <c:v>62.961300000000001</c:v>
                </c:pt>
                <c:pt idx="57">
                  <c:v>62.927</c:v>
                </c:pt>
                <c:pt idx="58">
                  <c:v>62.892800000000001</c:v>
                </c:pt>
                <c:pt idx="59">
                  <c:v>62.858499999999999</c:v>
                </c:pt>
                <c:pt idx="60">
                  <c:v>62.824199999999998</c:v>
                </c:pt>
                <c:pt idx="61">
                  <c:v>62.79</c:v>
                </c:pt>
                <c:pt idx="62">
                  <c:v>62.755699999999997</c:v>
                </c:pt>
                <c:pt idx="63">
                  <c:v>62.721499999999999</c:v>
                </c:pt>
                <c:pt idx="64">
                  <c:v>62.687199999999997</c:v>
                </c:pt>
                <c:pt idx="65">
                  <c:v>62.652900000000002</c:v>
                </c:pt>
                <c:pt idx="66">
                  <c:v>62.618699999999997</c:v>
                </c:pt>
                <c:pt idx="67">
                  <c:v>62.584400000000002</c:v>
                </c:pt>
                <c:pt idx="68">
                  <c:v>62.5501</c:v>
                </c:pt>
                <c:pt idx="69">
                  <c:v>62.515900000000002</c:v>
                </c:pt>
                <c:pt idx="70">
                  <c:v>62.4816</c:v>
                </c:pt>
                <c:pt idx="71">
                  <c:v>62.447400000000002</c:v>
                </c:pt>
                <c:pt idx="72">
                  <c:v>62.4131</c:v>
                </c:pt>
                <c:pt idx="73">
                  <c:v>62.378799999999998</c:v>
                </c:pt>
                <c:pt idx="74">
                  <c:v>62.3446</c:v>
                </c:pt>
                <c:pt idx="75">
                  <c:v>62.310299999999998</c:v>
                </c:pt>
                <c:pt idx="76">
                  <c:v>62.2761</c:v>
                </c:pt>
                <c:pt idx="77">
                  <c:v>62.241799999999998</c:v>
                </c:pt>
                <c:pt idx="78">
                  <c:v>62.207500000000003</c:v>
                </c:pt>
                <c:pt idx="79">
                  <c:v>62.173299999999998</c:v>
                </c:pt>
                <c:pt idx="80">
                  <c:v>62.139000000000003</c:v>
                </c:pt>
                <c:pt idx="81">
                  <c:v>62.104700000000001</c:v>
                </c:pt>
                <c:pt idx="82">
                  <c:v>62.070500000000003</c:v>
                </c:pt>
                <c:pt idx="83">
                  <c:v>62.036200000000001</c:v>
                </c:pt>
                <c:pt idx="84">
                  <c:v>62.002000000000002</c:v>
                </c:pt>
                <c:pt idx="85">
                  <c:v>61.967700000000001</c:v>
                </c:pt>
                <c:pt idx="86">
                  <c:v>61.933399999999999</c:v>
                </c:pt>
                <c:pt idx="87">
                  <c:v>61.8992</c:v>
                </c:pt>
                <c:pt idx="88">
                  <c:v>61.864899999999999</c:v>
                </c:pt>
                <c:pt idx="89">
                  <c:v>61.8307</c:v>
                </c:pt>
                <c:pt idx="90">
                  <c:v>61.796399999999998</c:v>
                </c:pt>
                <c:pt idx="91">
                  <c:v>61.762099999999997</c:v>
                </c:pt>
                <c:pt idx="92">
                  <c:v>61.727899999999998</c:v>
                </c:pt>
                <c:pt idx="93">
                  <c:v>61.693600000000004</c:v>
                </c:pt>
                <c:pt idx="94">
                  <c:v>61.659300000000002</c:v>
                </c:pt>
                <c:pt idx="95">
                  <c:v>61.625100000000003</c:v>
                </c:pt>
                <c:pt idx="96">
                  <c:v>61.590800000000002</c:v>
                </c:pt>
                <c:pt idx="97">
                  <c:v>61.556600000000003</c:v>
                </c:pt>
                <c:pt idx="98">
                  <c:v>61.522300000000001</c:v>
                </c:pt>
                <c:pt idx="99">
                  <c:v>61.488</c:v>
                </c:pt>
                <c:pt idx="100">
                  <c:v>61.453800000000001</c:v>
                </c:pt>
                <c:pt idx="101">
                  <c:v>61.419499999999999</c:v>
                </c:pt>
                <c:pt idx="102">
                  <c:v>61.385300000000001</c:v>
                </c:pt>
                <c:pt idx="103">
                  <c:v>61.350999999999999</c:v>
                </c:pt>
                <c:pt idx="104">
                  <c:v>61.316699999999997</c:v>
                </c:pt>
                <c:pt idx="105">
                  <c:v>61.282499999999999</c:v>
                </c:pt>
                <c:pt idx="106">
                  <c:v>61.248199999999997</c:v>
                </c:pt>
                <c:pt idx="107">
                  <c:v>61.213900000000002</c:v>
                </c:pt>
                <c:pt idx="108">
                  <c:v>61.179699999999997</c:v>
                </c:pt>
                <c:pt idx="109">
                  <c:v>61.145400000000002</c:v>
                </c:pt>
                <c:pt idx="110">
                  <c:v>61.111199999999997</c:v>
                </c:pt>
                <c:pt idx="111">
                  <c:v>61.076900000000002</c:v>
                </c:pt>
                <c:pt idx="112">
                  <c:v>61.0426</c:v>
                </c:pt>
                <c:pt idx="113">
                  <c:v>61.008400000000002</c:v>
                </c:pt>
                <c:pt idx="114">
                  <c:v>60.9741</c:v>
                </c:pt>
                <c:pt idx="115">
                  <c:v>60.939900000000002</c:v>
                </c:pt>
                <c:pt idx="116">
                  <c:v>60.9056</c:v>
                </c:pt>
                <c:pt idx="117">
                  <c:v>60.871299999999998</c:v>
                </c:pt>
                <c:pt idx="118">
                  <c:v>60.8371</c:v>
                </c:pt>
                <c:pt idx="119">
                  <c:v>60.802799999999998</c:v>
                </c:pt>
                <c:pt idx="120">
                  <c:v>60.768500000000003</c:v>
                </c:pt>
                <c:pt idx="121">
                  <c:v>60.734299999999998</c:v>
                </c:pt>
                <c:pt idx="122">
                  <c:v>60.7</c:v>
                </c:pt>
                <c:pt idx="123">
                  <c:v>60.665799999999997</c:v>
                </c:pt>
                <c:pt idx="124">
                  <c:v>60.631500000000003</c:v>
                </c:pt>
                <c:pt idx="125">
                  <c:v>60.597200000000001</c:v>
                </c:pt>
                <c:pt idx="126">
                  <c:v>60.563000000000002</c:v>
                </c:pt>
                <c:pt idx="127">
                  <c:v>60.528700000000001</c:v>
                </c:pt>
                <c:pt idx="128">
                  <c:v>60.494500000000002</c:v>
                </c:pt>
                <c:pt idx="129">
                  <c:v>60.4602</c:v>
                </c:pt>
                <c:pt idx="130">
                  <c:v>60.425899999999999</c:v>
                </c:pt>
                <c:pt idx="131">
                  <c:v>60.3917</c:v>
                </c:pt>
                <c:pt idx="132">
                  <c:v>60.357399999999998</c:v>
                </c:pt>
                <c:pt idx="133">
                  <c:v>60.323099999999997</c:v>
                </c:pt>
                <c:pt idx="134">
                  <c:v>60.288899999999998</c:v>
                </c:pt>
                <c:pt idx="135">
                  <c:v>60.254600000000003</c:v>
                </c:pt>
                <c:pt idx="136">
                  <c:v>60.220399999999998</c:v>
                </c:pt>
                <c:pt idx="137">
                  <c:v>60.186100000000003</c:v>
                </c:pt>
                <c:pt idx="138">
                  <c:v>60.151800000000001</c:v>
                </c:pt>
                <c:pt idx="139">
                  <c:v>60.117600000000003</c:v>
                </c:pt>
                <c:pt idx="140">
                  <c:v>60.083300000000001</c:v>
                </c:pt>
                <c:pt idx="141">
                  <c:v>60.049100000000003</c:v>
                </c:pt>
                <c:pt idx="142">
                  <c:v>60.014800000000001</c:v>
                </c:pt>
                <c:pt idx="143">
                  <c:v>59.980499999999999</c:v>
                </c:pt>
                <c:pt idx="144">
                  <c:v>59.946300000000001</c:v>
                </c:pt>
                <c:pt idx="145">
                  <c:v>59.911999999999999</c:v>
                </c:pt>
                <c:pt idx="146">
                  <c:v>59.877699999999997</c:v>
                </c:pt>
                <c:pt idx="147">
                  <c:v>59.843499999999999</c:v>
                </c:pt>
                <c:pt idx="148">
                  <c:v>59.809199999999997</c:v>
                </c:pt>
                <c:pt idx="149">
                  <c:v>59.774999999999999</c:v>
                </c:pt>
                <c:pt idx="150">
                  <c:v>59.740699999999997</c:v>
                </c:pt>
                <c:pt idx="151">
                  <c:v>59.706400000000002</c:v>
                </c:pt>
                <c:pt idx="152">
                  <c:v>59.672199999999997</c:v>
                </c:pt>
                <c:pt idx="153">
                  <c:v>59.637900000000002</c:v>
                </c:pt>
                <c:pt idx="154">
                  <c:v>59.603700000000003</c:v>
                </c:pt>
                <c:pt idx="155">
                  <c:v>59.569400000000002</c:v>
                </c:pt>
                <c:pt idx="156">
                  <c:v>59.5351</c:v>
                </c:pt>
                <c:pt idx="157">
                  <c:v>59.500900000000001</c:v>
                </c:pt>
                <c:pt idx="158">
                  <c:v>59.4666</c:v>
                </c:pt>
                <c:pt idx="159">
                  <c:v>59.432299999999998</c:v>
                </c:pt>
                <c:pt idx="160">
                  <c:v>59.398099999999999</c:v>
                </c:pt>
                <c:pt idx="161">
                  <c:v>59.363799999999998</c:v>
                </c:pt>
                <c:pt idx="162">
                  <c:v>59.329599999999999</c:v>
                </c:pt>
                <c:pt idx="163">
                  <c:v>59.295299999999997</c:v>
                </c:pt>
                <c:pt idx="164">
                  <c:v>59.261000000000003</c:v>
                </c:pt>
                <c:pt idx="165">
                  <c:v>59.226799999999997</c:v>
                </c:pt>
                <c:pt idx="166">
                  <c:v>59.192500000000003</c:v>
                </c:pt>
                <c:pt idx="167">
                  <c:v>59.158299999999997</c:v>
                </c:pt>
                <c:pt idx="168">
                  <c:v>59.124000000000002</c:v>
                </c:pt>
                <c:pt idx="169">
                  <c:v>59.089700000000001</c:v>
                </c:pt>
                <c:pt idx="170">
                  <c:v>59.055500000000002</c:v>
                </c:pt>
                <c:pt idx="171">
                  <c:v>59.0212</c:v>
                </c:pt>
                <c:pt idx="172">
                  <c:v>58.986899999999999</c:v>
                </c:pt>
                <c:pt idx="173">
                  <c:v>58.9527</c:v>
                </c:pt>
                <c:pt idx="174">
                  <c:v>58.918399999999998</c:v>
                </c:pt>
                <c:pt idx="175">
                  <c:v>58.8842</c:v>
                </c:pt>
                <c:pt idx="176">
                  <c:v>58.849899999999998</c:v>
                </c:pt>
                <c:pt idx="177">
                  <c:v>58.815600000000003</c:v>
                </c:pt>
                <c:pt idx="178">
                  <c:v>58.781399999999998</c:v>
                </c:pt>
                <c:pt idx="179">
                  <c:v>58.747100000000003</c:v>
                </c:pt>
                <c:pt idx="180">
                  <c:v>58.712899999999998</c:v>
                </c:pt>
                <c:pt idx="181">
                  <c:v>58.678600000000003</c:v>
                </c:pt>
                <c:pt idx="182">
                  <c:v>58.644300000000001</c:v>
                </c:pt>
                <c:pt idx="183">
                  <c:v>58.610100000000003</c:v>
                </c:pt>
                <c:pt idx="184">
                  <c:v>58.575800000000001</c:v>
                </c:pt>
                <c:pt idx="185">
                  <c:v>58.541499999999999</c:v>
                </c:pt>
                <c:pt idx="186">
                  <c:v>58.507300000000001</c:v>
                </c:pt>
                <c:pt idx="187">
                  <c:v>58.472999999999999</c:v>
                </c:pt>
                <c:pt idx="188">
                  <c:v>58.438800000000001</c:v>
                </c:pt>
                <c:pt idx="189">
                  <c:v>58.404499999999999</c:v>
                </c:pt>
                <c:pt idx="190">
                  <c:v>58.370199999999997</c:v>
                </c:pt>
                <c:pt idx="191">
                  <c:v>58.335999999999999</c:v>
                </c:pt>
                <c:pt idx="192">
                  <c:v>58.301699999999997</c:v>
                </c:pt>
                <c:pt idx="193">
                  <c:v>58.267499999999998</c:v>
                </c:pt>
                <c:pt idx="194">
                  <c:v>58.233199999999997</c:v>
                </c:pt>
                <c:pt idx="195">
                  <c:v>58.198900000000002</c:v>
                </c:pt>
                <c:pt idx="196">
                  <c:v>58.164700000000003</c:v>
                </c:pt>
                <c:pt idx="197">
                  <c:v>58.130400000000002</c:v>
                </c:pt>
                <c:pt idx="198">
                  <c:v>58.0961</c:v>
                </c:pt>
                <c:pt idx="199">
                  <c:v>58.061900000000001</c:v>
                </c:pt>
                <c:pt idx="200">
                  <c:v>58.0276</c:v>
                </c:pt>
                <c:pt idx="201">
                  <c:v>57.993400000000001</c:v>
                </c:pt>
                <c:pt idx="202">
                  <c:v>57.959099999999999</c:v>
                </c:pt>
                <c:pt idx="203">
                  <c:v>57.924799999999998</c:v>
                </c:pt>
                <c:pt idx="204">
                  <c:v>57.890599999999999</c:v>
                </c:pt>
                <c:pt idx="205">
                  <c:v>57.856299999999997</c:v>
                </c:pt>
                <c:pt idx="206">
                  <c:v>57.822099999999999</c:v>
                </c:pt>
                <c:pt idx="207">
                  <c:v>57.787799999999997</c:v>
                </c:pt>
                <c:pt idx="208">
                  <c:v>57.753500000000003</c:v>
                </c:pt>
                <c:pt idx="209">
                  <c:v>57.719299999999997</c:v>
                </c:pt>
                <c:pt idx="210">
                  <c:v>57.685000000000002</c:v>
                </c:pt>
                <c:pt idx="211">
                  <c:v>57.650700000000001</c:v>
                </c:pt>
                <c:pt idx="212">
                  <c:v>57.616500000000002</c:v>
                </c:pt>
                <c:pt idx="213">
                  <c:v>57.5822</c:v>
                </c:pt>
                <c:pt idx="214">
                  <c:v>57.548000000000002</c:v>
                </c:pt>
                <c:pt idx="215">
                  <c:v>57.5137</c:v>
                </c:pt>
                <c:pt idx="216">
                  <c:v>57.479399999999998</c:v>
                </c:pt>
                <c:pt idx="217">
                  <c:v>57.4452</c:v>
                </c:pt>
                <c:pt idx="218">
                  <c:v>57.410899999999998</c:v>
                </c:pt>
                <c:pt idx="219">
                  <c:v>57.3767</c:v>
                </c:pt>
                <c:pt idx="220">
                  <c:v>57.342399999999998</c:v>
                </c:pt>
                <c:pt idx="221">
                  <c:v>57.308100000000003</c:v>
                </c:pt>
                <c:pt idx="222">
                  <c:v>57.273899999999998</c:v>
                </c:pt>
                <c:pt idx="223">
                  <c:v>57.239600000000003</c:v>
                </c:pt>
                <c:pt idx="224">
                  <c:v>57.205300000000001</c:v>
                </c:pt>
                <c:pt idx="225">
                  <c:v>57.171100000000003</c:v>
                </c:pt>
                <c:pt idx="226">
                  <c:v>57.136800000000001</c:v>
                </c:pt>
                <c:pt idx="227">
                  <c:v>57.102600000000002</c:v>
                </c:pt>
                <c:pt idx="228">
                  <c:v>57.068300000000001</c:v>
                </c:pt>
                <c:pt idx="229">
                  <c:v>57.033999999999999</c:v>
                </c:pt>
                <c:pt idx="230">
                  <c:v>56.9998</c:v>
                </c:pt>
                <c:pt idx="231">
                  <c:v>56.965499999999999</c:v>
                </c:pt>
                <c:pt idx="232">
                  <c:v>56.9313</c:v>
                </c:pt>
                <c:pt idx="233">
                  <c:v>56.896999999999998</c:v>
                </c:pt>
                <c:pt idx="234">
                  <c:v>56.862699999999997</c:v>
                </c:pt>
                <c:pt idx="235">
                  <c:v>56.828499999999998</c:v>
                </c:pt>
                <c:pt idx="236">
                  <c:v>56.794199999999996</c:v>
                </c:pt>
                <c:pt idx="237">
                  <c:v>56.759900000000002</c:v>
                </c:pt>
                <c:pt idx="238">
                  <c:v>56.725700000000003</c:v>
                </c:pt>
                <c:pt idx="239">
                  <c:v>56.691400000000002</c:v>
                </c:pt>
                <c:pt idx="240">
                  <c:v>56.657200000000003</c:v>
                </c:pt>
                <c:pt idx="241">
                  <c:v>56.622900000000001</c:v>
                </c:pt>
                <c:pt idx="242">
                  <c:v>56.5886</c:v>
                </c:pt>
                <c:pt idx="243">
                  <c:v>56.554400000000001</c:v>
                </c:pt>
                <c:pt idx="244">
                  <c:v>56.520099999999999</c:v>
                </c:pt>
                <c:pt idx="245">
                  <c:v>56.485900000000001</c:v>
                </c:pt>
                <c:pt idx="246">
                  <c:v>56.451599999999999</c:v>
                </c:pt>
                <c:pt idx="247">
                  <c:v>56.417299999999997</c:v>
                </c:pt>
                <c:pt idx="248">
                  <c:v>56.383099999999999</c:v>
                </c:pt>
                <c:pt idx="249">
                  <c:v>56.348799999999997</c:v>
                </c:pt>
                <c:pt idx="250">
                  <c:v>56.314500000000002</c:v>
                </c:pt>
                <c:pt idx="251">
                  <c:v>56.280299999999997</c:v>
                </c:pt>
                <c:pt idx="252">
                  <c:v>56.246000000000002</c:v>
                </c:pt>
                <c:pt idx="253">
                  <c:v>56.211799999999997</c:v>
                </c:pt>
                <c:pt idx="254">
                  <c:v>56.177500000000002</c:v>
                </c:pt>
                <c:pt idx="255">
                  <c:v>56.1432</c:v>
                </c:pt>
                <c:pt idx="256">
                  <c:v>56.109000000000002</c:v>
                </c:pt>
                <c:pt idx="257">
                  <c:v>56.0747</c:v>
                </c:pt>
                <c:pt idx="258">
                  <c:v>56.040500000000002</c:v>
                </c:pt>
                <c:pt idx="259">
                  <c:v>56.0062</c:v>
                </c:pt>
                <c:pt idx="260">
                  <c:v>55.971899999999998</c:v>
                </c:pt>
                <c:pt idx="261">
                  <c:v>55.9377</c:v>
                </c:pt>
                <c:pt idx="262">
                  <c:v>55.903399999999998</c:v>
                </c:pt>
                <c:pt idx="263">
                  <c:v>55.869100000000003</c:v>
                </c:pt>
                <c:pt idx="264">
                  <c:v>55.834899999999998</c:v>
                </c:pt>
                <c:pt idx="265">
                  <c:v>55.800600000000003</c:v>
                </c:pt>
                <c:pt idx="266">
                  <c:v>55.766399999999997</c:v>
                </c:pt>
                <c:pt idx="267">
                  <c:v>55.732100000000003</c:v>
                </c:pt>
                <c:pt idx="268">
                  <c:v>55.697800000000001</c:v>
                </c:pt>
                <c:pt idx="269">
                  <c:v>55.663600000000002</c:v>
                </c:pt>
                <c:pt idx="270">
                  <c:v>55.629300000000001</c:v>
                </c:pt>
                <c:pt idx="271">
                  <c:v>55.595100000000002</c:v>
                </c:pt>
                <c:pt idx="272">
                  <c:v>55.5608</c:v>
                </c:pt>
                <c:pt idx="273">
                  <c:v>55.526499999999999</c:v>
                </c:pt>
                <c:pt idx="274">
                  <c:v>55.4923</c:v>
                </c:pt>
                <c:pt idx="275">
                  <c:v>55.457999999999998</c:v>
                </c:pt>
                <c:pt idx="276">
                  <c:v>55.423699999999997</c:v>
                </c:pt>
                <c:pt idx="277">
                  <c:v>55.389499999999998</c:v>
                </c:pt>
                <c:pt idx="278">
                  <c:v>55.355200000000004</c:v>
                </c:pt>
                <c:pt idx="279">
                  <c:v>55.320999999999998</c:v>
                </c:pt>
                <c:pt idx="280">
                  <c:v>55.286700000000003</c:v>
                </c:pt>
                <c:pt idx="281">
                  <c:v>55.252400000000002</c:v>
                </c:pt>
                <c:pt idx="282">
                  <c:v>55.218200000000003</c:v>
                </c:pt>
                <c:pt idx="283">
                  <c:v>55.183900000000001</c:v>
                </c:pt>
                <c:pt idx="284">
                  <c:v>55.149700000000003</c:v>
                </c:pt>
                <c:pt idx="285">
                  <c:v>55.115400000000001</c:v>
                </c:pt>
                <c:pt idx="286">
                  <c:v>55.081099999999999</c:v>
                </c:pt>
                <c:pt idx="287">
                  <c:v>55.046900000000001</c:v>
                </c:pt>
                <c:pt idx="288">
                  <c:v>55.012599999999999</c:v>
                </c:pt>
                <c:pt idx="289">
                  <c:v>54.978299999999997</c:v>
                </c:pt>
                <c:pt idx="290">
                  <c:v>54.944099999999999</c:v>
                </c:pt>
                <c:pt idx="291">
                  <c:v>54.909799999999997</c:v>
                </c:pt>
                <c:pt idx="292">
                  <c:v>54.875599999999999</c:v>
                </c:pt>
                <c:pt idx="293">
                  <c:v>54.841299999999997</c:v>
                </c:pt>
                <c:pt idx="294">
                  <c:v>54.807000000000002</c:v>
                </c:pt>
                <c:pt idx="295">
                  <c:v>54.772799999999997</c:v>
                </c:pt>
                <c:pt idx="296">
                  <c:v>54.738500000000002</c:v>
                </c:pt>
                <c:pt idx="297">
                  <c:v>54.704300000000003</c:v>
                </c:pt>
                <c:pt idx="298">
                  <c:v>54.67</c:v>
                </c:pt>
                <c:pt idx="299">
                  <c:v>54.6357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038-5E43-8C5E-4C5F055ADA6B}"/>
            </c:ext>
          </c:extLst>
        </c:ser>
        <c:ser>
          <c:idx val="1"/>
          <c:order val="1"/>
          <c:tx>
            <c:strRef>
              <c:f>Simulation!$D$1</c:f>
              <c:strCache>
                <c:ptCount val="1"/>
                <c:pt idx="0">
                  <c:v>P50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Simulation!$D$2:$D$301</c:f>
              <c:numCache>
                <c:formatCode>General</c:formatCode>
                <c:ptCount val="300"/>
                <c:pt idx="0">
                  <c:v>68.294700000000006</c:v>
                </c:pt>
                <c:pt idx="1">
                  <c:v>67.801400000000001</c:v>
                </c:pt>
                <c:pt idx="2">
                  <c:v>67.715999999999994</c:v>
                </c:pt>
                <c:pt idx="3">
                  <c:v>67.0428</c:v>
                </c:pt>
                <c:pt idx="4">
                  <c:v>66.609099999999998</c:v>
                </c:pt>
                <c:pt idx="5">
                  <c:v>66.600399999999993</c:v>
                </c:pt>
                <c:pt idx="6">
                  <c:v>66.359899999999996</c:v>
                </c:pt>
                <c:pt idx="7">
                  <c:v>66.120599999999996</c:v>
                </c:pt>
                <c:pt idx="8">
                  <c:v>65.930499999999995</c:v>
                </c:pt>
                <c:pt idx="9">
                  <c:v>65.783900000000003</c:v>
                </c:pt>
                <c:pt idx="10">
                  <c:v>65.383499999999998</c:v>
                </c:pt>
                <c:pt idx="11">
                  <c:v>65.496399999999994</c:v>
                </c:pt>
                <c:pt idx="12">
                  <c:v>65.425899999999999</c:v>
                </c:pt>
                <c:pt idx="13">
                  <c:v>65.316800000000001</c:v>
                </c:pt>
                <c:pt idx="14">
                  <c:v>65.312399999999997</c:v>
                </c:pt>
                <c:pt idx="15">
                  <c:v>65.4709</c:v>
                </c:pt>
                <c:pt idx="16">
                  <c:v>65.074100000000001</c:v>
                </c:pt>
                <c:pt idx="17">
                  <c:v>65.384500000000003</c:v>
                </c:pt>
                <c:pt idx="18">
                  <c:v>65.383700000000005</c:v>
                </c:pt>
                <c:pt idx="19">
                  <c:v>64.921000000000006</c:v>
                </c:pt>
                <c:pt idx="20">
                  <c:v>64.671899999999994</c:v>
                </c:pt>
                <c:pt idx="21">
                  <c:v>64.665899999999993</c:v>
                </c:pt>
                <c:pt idx="22">
                  <c:v>64.580600000000004</c:v>
                </c:pt>
                <c:pt idx="23">
                  <c:v>64.753</c:v>
                </c:pt>
                <c:pt idx="24">
                  <c:v>64.5184</c:v>
                </c:pt>
                <c:pt idx="25">
                  <c:v>63.940199999999997</c:v>
                </c:pt>
                <c:pt idx="26">
                  <c:v>64.051199999999994</c:v>
                </c:pt>
                <c:pt idx="27">
                  <c:v>63.356000000000002</c:v>
                </c:pt>
                <c:pt idx="28">
                  <c:v>63.492600000000003</c:v>
                </c:pt>
                <c:pt idx="29">
                  <c:v>63.8812</c:v>
                </c:pt>
                <c:pt idx="30">
                  <c:v>63.822800000000001</c:v>
                </c:pt>
                <c:pt idx="31">
                  <c:v>63.611600000000003</c:v>
                </c:pt>
                <c:pt idx="32">
                  <c:v>63.688200000000002</c:v>
                </c:pt>
                <c:pt idx="33">
                  <c:v>63.705100000000002</c:v>
                </c:pt>
                <c:pt idx="34">
                  <c:v>63.259900000000002</c:v>
                </c:pt>
                <c:pt idx="35">
                  <c:v>63.463799999999999</c:v>
                </c:pt>
                <c:pt idx="36">
                  <c:v>63.579099999999997</c:v>
                </c:pt>
                <c:pt idx="37">
                  <c:v>63.822000000000003</c:v>
                </c:pt>
                <c:pt idx="38">
                  <c:v>63.89</c:v>
                </c:pt>
                <c:pt idx="39">
                  <c:v>64.002600000000001</c:v>
                </c:pt>
                <c:pt idx="40">
                  <c:v>63.587200000000003</c:v>
                </c:pt>
                <c:pt idx="41">
                  <c:v>63.627299999999998</c:v>
                </c:pt>
                <c:pt idx="42">
                  <c:v>63.357300000000002</c:v>
                </c:pt>
                <c:pt idx="43">
                  <c:v>62.892000000000003</c:v>
                </c:pt>
                <c:pt idx="44">
                  <c:v>63.613100000000003</c:v>
                </c:pt>
                <c:pt idx="45">
                  <c:v>63.198</c:v>
                </c:pt>
                <c:pt idx="46">
                  <c:v>63.062399999999997</c:v>
                </c:pt>
                <c:pt idx="47">
                  <c:v>62.844999999999999</c:v>
                </c:pt>
                <c:pt idx="48">
                  <c:v>62.6145</c:v>
                </c:pt>
                <c:pt idx="49">
                  <c:v>63.1053</c:v>
                </c:pt>
                <c:pt idx="50">
                  <c:v>62.860199999999999</c:v>
                </c:pt>
                <c:pt idx="51">
                  <c:v>62.910299999999999</c:v>
                </c:pt>
                <c:pt idx="52">
                  <c:v>62.301600000000001</c:v>
                </c:pt>
                <c:pt idx="53">
                  <c:v>62.481200000000001</c:v>
                </c:pt>
                <c:pt idx="54">
                  <c:v>62.362000000000002</c:v>
                </c:pt>
                <c:pt idx="55">
                  <c:v>62.566400000000002</c:v>
                </c:pt>
                <c:pt idx="56">
                  <c:v>62.761299999999999</c:v>
                </c:pt>
                <c:pt idx="57">
                  <c:v>63.337400000000002</c:v>
                </c:pt>
                <c:pt idx="58">
                  <c:v>62.783299999999997</c:v>
                </c:pt>
                <c:pt idx="59">
                  <c:v>62.422600000000003</c:v>
                </c:pt>
                <c:pt idx="60">
                  <c:v>62.588099999999997</c:v>
                </c:pt>
                <c:pt idx="61">
                  <c:v>62.356499999999997</c:v>
                </c:pt>
                <c:pt idx="62">
                  <c:v>62.613300000000002</c:v>
                </c:pt>
                <c:pt idx="63">
                  <c:v>62.583500000000001</c:v>
                </c:pt>
                <c:pt idx="64">
                  <c:v>63.014600000000002</c:v>
                </c:pt>
                <c:pt idx="65">
                  <c:v>62.804200000000002</c:v>
                </c:pt>
                <c:pt idx="66">
                  <c:v>62.8996</c:v>
                </c:pt>
                <c:pt idx="67">
                  <c:v>62.928100000000001</c:v>
                </c:pt>
                <c:pt idx="68">
                  <c:v>62.620800000000003</c:v>
                </c:pt>
                <c:pt idx="69">
                  <c:v>62.820099999999996</c:v>
                </c:pt>
                <c:pt idx="70">
                  <c:v>63.287399999999998</c:v>
                </c:pt>
                <c:pt idx="71">
                  <c:v>63.168700000000001</c:v>
                </c:pt>
                <c:pt idx="72">
                  <c:v>62.891599999999997</c:v>
                </c:pt>
                <c:pt idx="73">
                  <c:v>62.721299999999999</c:v>
                </c:pt>
                <c:pt idx="74">
                  <c:v>62.930500000000002</c:v>
                </c:pt>
                <c:pt idx="75">
                  <c:v>62.6355</c:v>
                </c:pt>
                <c:pt idx="76">
                  <c:v>62.648899999999998</c:v>
                </c:pt>
                <c:pt idx="77">
                  <c:v>62.814100000000003</c:v>
                </c:pt>
                <c:pt idx="78">
                  <c:v>63.0745</c:v>
                </c:pt>
                <c:pt idx="79">
                  <c:v>62.987400000000001</c:v>
                </c:pt>
                <c:pt idx="80">
                  <c:v>62.477699999999999</c:v>
                </c:pt>
                <c:pt idx="81">
                  <c:v>62.520099999999999</c:v>
                </c:pt>
                <c:pt idx="82">
                  <c:v>62.274299999999997</c:v>
                </c:pt>
                <c:pt idx="83">
                  <c:v>62.398000000000003</c:v>
                </c:pt>
                <c:pt idx="84">
                  <c:v>62.176699999999997</c:v>
                </c:pt>
                <c:pt idx="85">
                  <c:v>62.078299999999999</c:v>
                </c:pt>
                <c:pt idx="86">
                  <c:v>61.882800000000003</c:v>
                </c:pt>
                <c:pt idx="87">
                  <c:v>61.758800000000001</c:v>
                </c:pt>
                <c:pt idx="88">
                  <c:v>62.489800000000002</c:v>
                </c:pt>
                <c:pt idx="89">
                  <c:v>62.011600000000001</c:v>
                </c:pt>
                <c:pt idx="90">
                  <c:v>61.820099999999996</c:v>
                </c:pt>
                <c:pt idx="91">
                  <c:v>61.529000000000003</c:v>
                </c:pt>
                <c:pt idx="92">
                  <c:v>61.644199999999998</c:v>
                </c:pt>
                <c:pt idx="93">
                  <c:v>61.483800000000002</c:v>
                </c:pt>
                <c:pt idx="94">
                  <c:v>61.343000000000004</c:v>
                </c:pt>
                <c:pt idx="95">
                  <c:v>60.9542</c:v>
                </c:pt>
                <c:pt idx="96">
                  <c:v>60.433999999999997</c:v>
                </c:pt>
                <c:pt idx="97">
                  <c:v>60.3001</c:v>
                </c:pt>
                <c:pt idx="98">
                  <c:v>60.472999999999999</c:v>
                </c:pt>
                <c:pt idx="99">
                  <c:v>60.869599999999998</c:v>
                </c:pt>
                <c:pt idx="100">
                  <c:v>60.967199999999998</c:v>
                </c:pt>
                <c:pt idx="101">
                  <c:v>60.7791</c:v>
                </c:pt>
                <c:pt idx="102">
                  <c:v>61.364400000000003</c:v>
                </c:pt>
                <c:pt idx="103">
                  <c:v>61.255400000000002</c:v>
                </c:pt>
                <c:pt idx="104">
                  <c:v>61.037399999999998</c:v>
                </c:pt>
                <c:pt idx="105">
                  <c:v>61.084000000000003</c:v>
                </c:pt>
                <c:pt idx="106">
                  <c:v>61.1586</c:v>
                </c:pt>
                <c:pt idx="107">
                  <c:v>61.577399999999997</c:v>
                </c:pt>
                <c:pt idx="108">
                  <c:v>61.240200000000002</c:v>
                </c:pt>
                <c:pt idx="109">
                  <c:v>61.502299999999998</c:v>
                </c:pt>
                <c:pt idx="110">
                  <c:v>60.835599999999999</c:v>
                </c:pt>
                <c:pt idx="111">
                  <c:v>61.0535</c:v>
                </c:pt>
                <c:pt idx="112">
                  <c:v>60.529499999999999</c:v>
                </c:pt>
                <c:pt idx="113">
                  <c:v>60.994</c:v>
                </c:pt>
                <c:pt idx="114">
                  <c:v>60.7776</c:v>
                </c:pt>
                <c:pt idx="115">
                  <c:v>60.989199999999997</c:v>
                </c:pt>
                <c:pt idx="116">
                  <c:v>60.859000000000002</c:v>
                </c:pt>
                <c:pt idx="117">
                  <c:v>60.968400000000003</c:v>
                </c:pt>
                <c:pt idx="118">
                  <c:v>60.726399999999998</c:v>
                </c:pt>
                <c:pt idx="119">
                  <c:v>60.670499999999997</c:v>
                </c:pt>
                <c:pt idx="120">
                  <c:v>61.146299999999997</c:v>
                </c:pt>
                <c:pt idx="121">
                  <c:v>61.206400000000002</c:v>
                </c:pt>
                <c:pt idx="122">
                  <c:v>61.753700000000002</c:v>
                </c:pt>
                <c:pt idx="123">
                  <c:v>61.686599999999999</c:v>
                </c:pt>
                <c:pt idx="124">
                  <c:v>60.947600000000001</c:v>
                </c:pt>
                <c:pt idx="125">
                  <c:v>60.886899999999997</c:v>
                </c:pt>
                <c:pt idx="126">
                  <c:v>60.445799999999998</c:v>
                </c:pt>
                <c:pt idx="127">
                  <c:v>60.150300000000001</c:v>
                </c:pt>
                <c:pt idx="128">
                  <c:v>60.156999999999996</c:v>
                </c:pt>
                <c:pt idx="129">
                  <c:v>60.278799999999997</c:v>
                </c:pt>
                <c:pt idx="130">
                  <c:v>59.587400000000002</c:v>
                </c:pt>
                <c:pt idx="131">
                  <c:v>59.313600000000001</c:v>
                </c:pt>
                <c:pt idx="132">
                  <c:v>59.377499999999998</c:v>
                </c:pt>
                <c:pt idx="133">
                  <c:v>59.407899999999998</c:v>
                </c:pt>
                <c:pt idx="134">
                  <c:v>59.741799999999998</c:v>
                </c:pt>
                <c:pt idx="135">
                  <c:v>59.462400000000002</c:v>
                </c:pt>
                <c:pt idx="136">
                  <c:v>59.789299999999997</c:v>
                </c:pt>
                <c:pt idx="137">
                  <c:v>59.872399999999999</c:v>
                </c:pt>
                <c:pt idx="138">
                  <c:v>59.916400000000003</c:v>
                </c:pt>
                <c:pt idx="139">
                  <c:v>60.414400000000001</c:v>
                </c:pt>
                <c:pt idx="140">
                  <c:v>60.186</c:v>
                </c:pt>
                <c:pt idx="141">
                  <c:v>60.031100000000002</c:v>
                </c:pt>
                <c:pt idx="142">
                  <c:v>60.125399999999999</c:v>
                </c:pt>
                <c:pt idx="143">
                  <c:v>59.919600000000003</c:v>
                </c:pt>
                <c:pt idx="144">
                  <c:v>59.594900000000003</c:v>
                </c:pt>
                <c:pt idx="145">
                  <c:v>59.667400000000001</c:v>
                </c:pt>
                <c:pt idx="146">
                  <c:v>59.491300000000003</c:v>
                </c:pt>
                <c:pt idx="147">
                  <c:v>59.798499999999997</c:v>
                </c:pt>
                <c:pt idx="148">
                  <c:v>60.2316</c:v>
                </c:pt>
                <c:pt idx="149">
                  <c:v>60.200200000000002</c:v>
                </c:pt>
                <c:pt idx="150">
                  <c:v>59.999000000000002</c:v>
                </c:pt>
                <c:pt idx="151">
                  <c:v>59.941400000000002</c:v>
                </c:pt>
                <c:pt idx="152">
                  <c:v>60.151600000000002</c:v>
                </c:pt>
                <c:pt idx="153">
                  <c:v>60.090600000000002</c:v>
                </c:pt>
                <c:pt idx="154">
                  <c:v>59.853000000000002</c:v>
                </c:pt>
                <c:pt idx="155">
                  <c:v>59.837600000000002</c:v>
                </c:pt>
                <c:pt idx="156">
                  <c:v>59.904000000000003</c:v>
                </c:pt>
                <c:pt idx="157">
                  <c:v>60.064399999999999</c:v>
                </c:pt>
                <c:pt idx="158">
                  <c:v>60.2468</c:v>
                </c:pt>
                <c:pt idx="159">
                  <c:v>59.739600000000003</c:v>
                </c:pt>
                <c:pt idx="160">
                  <c:v>59.525199999999998</c:v>
                </c:pt>
                <c:pt idx="161">
                  <c:v>59.8279</c:v>
                </c:pt>
                <c:pt idx="162">
                  <c:v>59.814599999999999</c:v>
                </c:pt>
                <c:pt idx="163">
                  <c:v>59.204599999999999</c:v>
                </c:pt>
                <c:pt idx="164">
                  <c:v>59.776600000000002</c:v>
                </c:pt>
                <c:pt idx="165">
                  <c:v>59.235399999999998</c:v>
                </c:pt>
                <c:pt idx="166">
                  <c:v>59.460599999999999</c:v>
                </c:pt>
                <c:pt idx="167">
                  <c:v>59.320799999999998</c:v>
                </c:pt>
                <c:pt idx="168">
                  <c:v>59.476599999999998</c:v>
                </c:pt>
                <c:pt idx="169">
                  <c:v>59.312100000000001</c:v>
                </c:pt>
                <c:pt idx="170">
                  <c:v>59.968200000000003</c:v>
                </c:pt>
                <c:pt idx="171">
                  <c:v>59.154899999999998</c:v>
                </c:pt>
                <c:pt idx="172">
                  <c:v>59.2273</c:v>
                </c:pt>
                <c:pt idx="173">
                  <c:v>58.9161</c:v>
                </c:pt>
                <c:pt idx="174">
                  <c:v>58.901699999999998</c:v>
                </c:pt>
                <c:pt idx="175">
                  <c:v>58.7956</c:v>
                </c:pt>
                <c:pt idx="176">
                  <c:v>58.636499999999998</c:v>
                </c:pt>
                <c:pt idx="177">
                  <c:v>58.411799999999999</c:v>
                </c:pt>
                <c:pt idx="178">
                  <c:v>59.124600000000001</c:v>
                </c:pt>
                <c:pt idx="179">
                  <c:v>58.524299999999997</c:v>
                </c:pt>
                <c:pt idx="180">
                  <c:v>58.806399999999996</c:v>
                </c:pt>
                <c:pt idx="181">
                  <c:v>58.637</c:v>
                </c:pt>
                <c:pt idx="182">
                  <c:v>58.421100000000003</c:v>
                </c:pt>
                <c:pt idx="183">
                  <c:v>58.748800000000003</c:v>
                </c:pt>
                <c:pt idx="184">
                  <c:v>58.416600000000003</c:v>
                </c:pt>
                <c:pt idx="185">
                  <c:v>58.813800000000001</c:v>
                </c:pt>
                <c:pt idx="186">
                  <c:v>59.0899</c:v>
                </c:pt>
                <c:pt idx="187">
                  <c:v>59.006</c:v>
                </c:pt>
                <c:pt idx="188">
                  <c:v>59.099899999999998</c:v>
                </c:pt>
                <c:pt idx="189">
                  <c:v>58.677100000000003</c:v>
                </c:pt>
                <c:pt idx="190">
                  <c:v>58.001899999999999</c:v>
                </c:pt>
                <c:pt idx="191">
                  <c:v>58.121000000000002</c:v>
                </c:pt>
                <c:pt idx="192">
                  <c:v>58.175899999999999</c:v>
                </c:pt>
                <c:pt idx="193">
                  <c:v>58.313699999999997</c:v>
                </c:pt>
                <c:pt idx="194">
                  <c:v>58.316499999999998</c:v>
                </c:pt>
                <c:pt idx="195">
                  <c:v>59.061999999999998</c:v>
                </c:pt>
                <c:pt idx="196">
                  <c:v>58.623699999999999</c:v>
                </c:pt>
                <c:pt idx="197">
                  <c:v>58.728400000000001</c:v>
                </c:pt>
                <c:pt idx="198">
                  <c:v>58.811399999999999</c:v>
                </c:pt>
                <c:pt idx="199">
                  <c:v>58.820300000000003</c:v>
                </c:pt>
                <c:pt idx="200">
                  <c:v>59.194299999999998</c:v>
                </c:pt>
                <c:pt idx="201">
                  <c:v>58.099200000000003</c:v>
                </c:pt>
                <c:pt idx="202">
                  <c:v>57.761600000000001</c:v>
                </c:pt>
                <c:pt idx="203">
                  <c:v>58.112400000000001</c:v>
                </c:pt>
                <c:pt idx="204">
                  <c:v>58.2211</c:v>
                </c:pt>
                <c:pt idx="205">
                  <c:v>57.723199999999999</c:v>
                </c:pt>
                <c:pt idx="206">
                  <c:v>57.688400000000001</c:v>
                </c:pt>
                <c:pt idx="207">
                  <c:v>57.740200000000002</c:v>
                </c:pt>
                <c:pt idx="208">
                  <c:v>57.661700000000003</c:v>
                </c:pt>
                <c:pt idx="209">
                  <c:v>57.849299999999999</c:v>
                </c:pt>
                <c:pt idx="210">
                  <c:v>57.866100000000003</c:v>
                </c:pt>
                <c:pt idx="211">
                  <c:v>57.361600000000003</c:v>
                </c:pt>
                <c:pt idx="212">
                  <c:v>57.889800000000001</c:v>
                </c:pt>
                <c:pt idx="213">
                  <c:v>57.627899999999997</c:v>
                </c:pt>
                <c:pt idx="214">
                  <c:v>57.475099999999998</c:v>
                </c:pt>
                <c:pt idx="215">
                  <c:v>57.366199999999999</c:v>
                </c:pt>
                <c:pt idx="216">
                  <c:v>57.380899999999997</c:v>
                </c:pt>
                <c:pt idx="217">
                  <c:v>57.518000000000001</c:v>
                </c:pt>
                <c:pt idx="218">
                  <c:v>57.335099999999997</c:v>
                </c:pt>
                <c:pt idx="219">
                  <c:v>57.778300000000002</c:v>
                </c:pt>
                <c:pt idx="220">
                  <c:v>57.755600000000001</c:v>
                </c:pt>
                <c:pt idx="221">
                  <c:v>57.5916</c:v>
                </c:pt>
                <c:pt idx="222">
                  <c:v>57.982799999999997</c:v>
                </c:pt>
                <c:pt idx="223">
                  <c:v>58.2971</c:v>
                </c:pt>
                <c:pt idx="224">
                  <c:v>58.331000000000003</c:v>
                </c:pt>
                <c:pt idx="225">
                  <c:v>58.040999999999997</c:v>
                </c:pt>
                <c:pt idx="226">
                  <c:v>57.454799999999999</c:v>
                </c:pt>
                <c:pt idx="227">
                  <c:v>57.5411</c:v>
                </c:pt>
                <c:pt idx="228">
                  <c:v>57.635800000000003</c:v>
                </c:pt>
                <c:pt idx="229">
                  <c:v>57.844799999999999</c:v>
                </c:pt>
                <c:pt idx="230">
                  <c:v>57.862699999999997</c:v>
                </c:pt>
                <c:pt idx="231">
                  <c:v>57.587800000000001</c:v>
                </c:pt>
                <c:pt idx="232">
                  <c:v>57.799300000000002</c:v>
                </c:pt>
                <c:pt idx="233">
                  <c:v>57.183799999999998</c:v>
                </c:pt>
                <c:pt idx="234">
                  <c:v>57.244700000000002</c:v>
                </c:pt>
                <c:pt idx="235">
                  <c:v>57.238900000000001</c:v>
                </c:pt>
                <c:pt idx="236">
                  <c:v>57.369300000000003</c:v>
                </c:pt>
                <c:pt idx="237">
                  <c:v>57.975200000000001</c:v>
                </c:pt>
                <c:pt idx="238">
                  <c:v>57.563200000000002</c:v>
                </c:pt>
                <c:pt idx="239">
                  <c:v>57.431699999999999</c:v>
                </c:pt>
                <c:pt idx="240">
                  <c:v>57.059800000000003</c:v>
                </c:pt>
                <c:pt idx="241">
                  <c:v>57.019500000000001</c:v>
                </c:pt>
                <c:pt idx="242">
                  <c:v>57.063699999999997</c:v>
                </c:pt>
                <c:pt idx="243">
                  <c:v>57.352400000000003</c:v>
                </c:pt>
                <c:pt idx="244">
                  <c:v>57.4925</c:v>
                </c:pt>
                <c:pt idx="245">
                  <c:v>56.979799999999997</c:v>
                </c:pt>
                <c:pt idx="246">
                  <c:v>57.054400000000001</c:v>
                </c:pt>
                <c:pt idx="247">
                  <c:v>56.621000000000002</c:v>
                </c:pt>
                <c:pt idx="248">
                  <c:v>56.545400000000001</c:v>
                </c:pt>
                <c:pt idx="249">
                  <c:v>56.317799999999998</c:v>
                </c:pt>
                <c:pt idx="250">
                  <c:v>56.343299999999999</c:v>
                </c:pt>
                <c:pt idx="251">
                  <c:v>56.133899999999997</c:v>
                </c:pt>
                <c:pt idx="252">
                  <c:v>56.307299999999998</c:v>
                </c:pt>
                <c:pt idx="253">
                  <c:v>56.3294</c:v>
                </c:pt>
                <c:pt idx="254">
                  <c:v>56.040100000000002</c:v>
                </c:pt>
                <c:pt idx="255">
                  <c:v>55.600900000000003</c:v>
                </c:pt>
                <c:pt idx="256">
                  <c:v>55.866799999999998</c:v>
                </c:pt>
                <c:pt idx="257">
                  <c:v>56.117699999999999</c:v>
                </c:pt>
                <c:pt idx="258">
                  <c:v>56.387900000000002</c:v>
                </c:pt>
                <c:pt idx="259">
                  <c:v>56.37</c:v>
                </c:pt>
                <c:pt idx="260">
                  <c:v>56.283799999999999</c:v>
                </c:pt>
                <c:pt idx="261">
                  <c:v>56.153399999999998</c:v>
                </c:pt>
                <c:pt idx="262">
                  <c:v>55.9422</c:v>
                </c:pt>
                <c:pt idx="263">
                  <c:v>56.049100000000003</c:v>
                </c:pt>
                <c:pt idx="264">
                  <c:v>56.027000000000001</c:v>
                </c:pt>
                <c:pt idx="265">
                  <c:v>56.292099999999998</c:v>
                </c:pt>
                <c:pt idx="266">
                  <c:v>56.020099999999999</c:v>
                </c:pt>
                <c:pt idx="267">
                  <c:v>55.575099999999999</c:v>
                </c:pt>
                <c:pt idx="268">
                  <c:v>55.430799999999998</c:v>
                </c:pt>
                <c:pt idx="269">
                  <c:v>55.918999999999997</c:v>
                </c:pt>
                <c:pt idx="270">
                  <c:v>55.1798</c:v>
                </c:pt>
                <c:pt idx="271">
                  <c:v>55.441099999999999</c:v>
                </c:pt>
                <c:pt idx="272">
                  <c:v>55.448999999999998</c:v>
                </c:pt>
                <c:pt idx="273">
                  <c:v>54.765999999999998</c:v>
                </c:pt>
                <c:pt idx="274">
                  <c:v>54.488</c:v>
                </c:pt>
                <c:pt idx="275">
                  <c:v>54.8748</c:v>
                </c:pt>
                <c:pt idx="276">
                  <c:v>54.854999999999997</c:v>
                </c:pt>
                <c:pt idx="277">
                  <c:v>54.994700000000002</c:v>
                </c:pt>
                <c:pt idx="278">
                  <c:v>55.0124</c:v>
                </c:pt>
                <c:pt idx="279">
                  <c:v>55.299900000000001</c:v>
                </c:pt>
                <c:pt idx="280">
                  <c:v>55.047499999999999</c:v>
                </c:pt>
                <c:pt idx="281">
                  <c:v>54.958300000000001</c:v>
                </c:pt>
                <c:pt idx="282">
                  <c:v>55.636099999999999</c:v>
                </c:pt>
                <c:pt idx="283">
                  <c:v>55.528500000000001</c:v>
                </c:pt>
                <c:pt idx="284">
                  <c:v>55.348599999999998</c:v>
                </c:pt>
                <c:pt idx="285">
                  <c:v>54.8767</c:v>
                </c:pt>
                <c:pt idx="286">
                  <c:v>54.9223</c:v>
                </c:pt>
                <c:pt idx="287">
                  <c:v>55.137</c:v>
                </c:pt>
                <c:pt idx="288">
                  <c:v>55.7804</c:v>
                </c:pt>
                <c:pt idx="289">
                  <c:v>55.0518</c:v>
                </c:pt>
                <c:pt idx="290">
                  <c:v>55.185499999999998</c:v>
                </c:pt>
                <c:pt idx="291">
                  <c:v>55.273200000000003</c:v>
                </c:pt>
                <c:pt idx="292">
                  <c:v>54.8977</c:v>
                </c:pt>
                <c:pt idx="293">
                  <c:v>55.2318</c:v>
                </c:pt>
                <c:pt idx="294">
                  <c:v>55.400799999999997</c:v>
                </c:pt>
                <c:pt idx="295">
                  <c:v>55.449399999999997</c:v>
                </c:pt>
                <c:pt idx="296">
                  <c:v>55.0685</c:v>
                </c:pt>
                <c:pt idx="297">
                  <c:v>55.167099999999998</c:v>
                </c:pt>
                <c:pt idx="298">
                  <c:v>55.203600000000002</c:v>
                </c:pt>
                <c:pt idx="299">
                  <c:v>54.787700000000001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038-5E43-8C5E-4C5F055ADA6B}"/>
            </c:ext>
          </c:extLst>
        </c:ser>
        <c:ser>
          <c:idx val="2"/>
          <c:order val="2"/>
          <c:tx>
            <c:strRef>
              <c:f>Simulation!$F$1</c:f>
              <c:strCache>
                <c:ptCount val="1"/>
                <c:pt idx="0">
                  <c:v>P90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Simulation!$F$2:$F$301</c:f>
              <c:numCache>
                <c:formatCode>General</c:formatCode>
                <c:ptCount val="300"/>
                <c:pt idx="0">
                  <c:v>68.294700000000006</c:v>
                </c:pt>
                <c:pt idx="1">
                  <c:v>88.792000000000002</c:v>
                </c:pt>
                <c:pt idx="2">
                  <c:v>95.421899999999994</c:v>
                </c:pt>
                <c:pt idx="3">
                  <c:v>99.405100000000004</c:v>
                </c:pt>
                <c:pt idx="4">
                  <c:v>101.8293</c:v>
                </c:pt>
                <c:pt idx="5">
                  <c:v>103.20610000000001</c:v>
                </c:pt>
                <c:pt idx="6">
                  <c:v>104.5352</c:v>
                </c:pt>
                <c:pt idx="7">
                  <c:v>105.3618</c:v>
                </c:pt>
                <c:pt idx="8">
                  <c:v>106.68219999999999</c:v>
                </c:pt>
                <c:pt idx="9">
                  <c:v>106.2259</c:v>
                </c:pt>
                <c:pt idx="10">
                  <c:v>106.8023</c:v>
                </c:pt>
                <c:pt idx="11">
                  <c:v>107.48390000000001</c:v>
                </c:pt>
                <c:pt idx="12">
                  <c:v>107.7007</c:v>
                </c:pt>
                <c:pt idx="13">
                  <c:v>107.16670000000001</c:v>
                </c:pt>
                <c:pt idx="14">
                  <c:v>106.9542</c:v>
                </c:pt>
                <c:pt idx="15">
                  <c:v>107.1016</c:v>
                </c:pt>
                <c:pt idx="16">
                  <c:v>106.71169999999999</c:v>
                </c:pt>
                <c:pt idx="17">
                  <c:v>106.69750000000001</c:v>
                </c:pt>
                <c:pt idx="18">
                  <c:v>107.0715</c:v>
                </c:pt>
                <c:pt idx="19">
                  <c:v>106.3661</c:v>
                </c:pt>
                <c:pt idx="20">
                  <c:v>106.0552</c:v>
                </c:pt>
                <c:pt idx="21">
                  <c:v>106.54049999999999</c:v>
                </c:pt>
                <c:pt idx="22">
                  <c:v>106.2385</c:v>
                </c:pt>
                <c:pt idx="23">
                  <c:v>107.02119999999999</c:v>
                </c:pt>
                <c:pt idx="24">
                  <c:v>106.5809</c:v>
                </c:pt>
                <c:pt idx="25">
                  <c:v>106.9217</c:v>
                </c:pt>
                <c:pt idx="26">
                  <c:v>106.31789999999999</c:v>
                </c:pt>
                <c:pt idx="27">
                  <c:v>106.5489</c:v>
                </c:pt>
                <c:pt idx="28">
                  <c:v>107.00709999999999</c:v>
                </c:pt>
                <c:pt idx="29">
                  <c:v>106.4804</c:v>
                </c:pt>
                <c:pt idx="30">
                  <c:v>106.7461</c:v>
                </c:pt>
                <c:pt idx="31">
                  <c:v>106.28489999999999</c:v>
                </c:pt>
                <c:pt idx="32">
                  <c:v>105.93040000000001</c:v>
                </c:pt>
                <c:pt idx="33">
                  <c:v>106.3858</c:v>
                </c:pt>
                <c:pt idx="34">
                  <c:v>106.3125</c:v>
                </c:pt>
                <c:pt idx="35">
                  <c:v>106.08240000000001</c:v>
                </c:pt>
                <c:pt idx="36">
                  <c:v>106.5273</c:v>
                </c:pt>
                <c:pt idx="37">
                  <c:v>106.0641</c:v>
                </c:pt>
                <c:pt idx="38">
                  <c:v>106.3878</c:v>
                </c:pt>
                <c:pt idx="39">
                  <c:v>107.0149</c:v>
                </c:pt>
                <c:pt idx="40">
                  <c:v>106.5256</c:v>
                </c:pt>
                <c:pt idx="41">
                  <c:v>105.9055</c:v>
                </c:pt>
                <c:pt idx="42">
                  <c:v>105.6174</c:v>
                </c:pt>
                <c:pt idx="43">
                  <c:v>106.7486</c:v>
                </c:pt>
                <c:pt idx="44">
                  <c:v>106.6917</c:v>
                </c:pt>
                <c:pt idx="45">
                  <c:v>105.99630000000001</c:v>
                </c:pt>
                <c:pt idx="46">
                  <c:v>106.3837</c:v>
                </c:pt>
                <c:pt idx="47">
                  <c:v>105.53789999999999</c:v>
                </c:pt>
                <c:pt idx="48">
                  <c:v>105.8738</c:v>
                </c:pt>
                <c:pt idx="49">
                  <c:v>105.42019999999999</c:v>
                </c:pt>
                <c:pt idx="50">
                  <c:v>105.9263</c:v>
                </c:pt>
                <c:pt idx="51">
                  <c:v>105.9239</c:v>
                </c:pt>
                <c:pt idx="52">
                  <c:v>107.0939</c:v>
                </c:pt>
                <c:pt idx="53">
                  <c:v>106.59399999999999</c:v>
                </c:pt>
                <c:pt idx="54">
                  <c:v>106.0158</c:v>
                </c:pt>
                <c:pt idx="55">
                  <c:v>105.8965</c:v>
                </c:pt>
                <c:pt idx="56">
                  <c:v>105.88639999999999</c:v>
                </c:pt>
                <c:pt idx="57">
                  <c:v>105.34910000000001</c:v>
                </c:pt>
                <c:pt idx="58">
                  <c:v>105.0819</c:v>
                </c:pt>
                <c:pt idx="59">
                  <c:v>104.7962</c:v>
                </c:pt>
                <c:pt idx="60">
                  <c:v>104.6194</c:v>
                </c:pt>
                <c:pt idx="61">
                  <c:v>104.5851</c:v>
                </c:pt>
                <c:pt idx="62">
                  <c:v>104.42870000000001</c:v>
                </c:pt>
                <c:pt idx="63">
                  <c:v>105.0498</c:v>
                </c:pt>
                <c:pt idx="64">
                  <c:v>105.01730000000001</c:v>
                </c:pt>
                <c:pt idx="65">
                  <c:v>104.7948</c:v>
                </c:pt>
                <c:pt idx="66">
                  <c:v>105.1039</c:v>
                </c:pt>
                <c:pt idx="67">
                  <c:v>104.6435</c:v>
                </c:pt>
                <c:pt idx="68">
                  <c:v>105.58459999999999</c:v>
                </c:pt>
                <c:pt idx="69">
                  <c:v>105.0303</c:v>
                </c:pt>
                <c:pt idx="70">
                  <c:v>104.81950000000001</c:v>
                </c:pt>
                <c:pt idx="71">
                  <c:v>104.794</c:v>
                </c:pt>
                <c:pt idx="72">
                  <c:v>104.23560000000001</c:v>
                </c:pt>
                <c:pt idx="73">
                  <c:v>105.1266</c:v>
                </c:pt>
                <c:pt idx="74">
                  <c:v>104.3575</c:v>
                </c:pt>
                <c:pt idx="75">
                  <c:v>104.0579</c:v>
                </c:pt>
                <c:pt idx="76">
                  <c:v>104.74509999999999</c:v>
                </c:pt>
                <c:pt idx="77">
                  <c:v>105.3045</c:v>
                </c:pt>
                <c:pt idx="78">
                  <c:v>104.739</c:v>
                </c:pt>
                <c:pt idx="79">
                  <c:v>104.8005</c:v>
                </c:pt>
                <c:pt idx="80">
                  <c:v>105.56</c:v>
                </c:pt>
                <c:pt idx="81">
                  <c:v>105.27549999999999</c:v>
                </c:pt>
                <c:pt idx="82">
                  <c:v>105.35850000000001</c:v>
                </c:pt>
                <c:pt idx="83">
                  <c:v>104.9301</c:v>
                </c:pt>
                <c:pt idx="84">
                  <c:v>104.19370000000001</c:v>
                </c:pt>
                <c:pt idx="85">
                  <c:v>104.4503</c:v>
                </c:pt>
                <c:pt idx="86">
                  <c:v>104.4059</c:v>
                </c:pt>
                <c:pt idx="87">
                  <c:v>104.6636</c:v>
                </c:pt>
                <c:pt idx="88">
                  <c:v>103.9323</c:v>
                </c:pt>
                <c:pt idx="89">
                  <c:v>104.3646</c:v>
                </c:pt>
                <c:pt idx="90">
                  <c:v>104.11669999999999</c:v>
                </c:pt>
                <c:pt idx="91">
                  <c:v>103.1152</c:v>
                </c:pt>
                <c:pt idx="92">
                  <c:v>103.5711</c:v>
                </c:pt>
                <c:pt idx="93">
                  <c:v>103.7415</c:v>
                </c:pt>
                <c:pt idx="94">
                  <c:v>103.0638</c:v>
                </c:pt>
                <c:pt idx="95">
                  <c:v>103.24379999999999</c:v>
                </c:pt>
                <c:pt idx="96">
                  <c:v>103.4725</c:v>
                </c:pt>
                <c:pt idx="97">
                  <c:v>104.0874</c:v>
                </c:pt>
                <c:pt idx="98">
                  <c:v>103.7557</c:v>
                </c:pt>
                <c:pt idx="99">
                  <c:v>103.3719</c:v>
                </c:pt>
                <c:pt idx="100">
                  <c:v>102.8931</c:v>
                </c:pt>
                <c:pt idx="101">
                  <c:v>103.48</c:v>
                </c:pt>
                <c:pt idx="102">
                  <c:v>103.4362</c:v>
                </c:pt>
                <c:pt idx="103">
                  <c:v>103.6602</c:v>
                </c:pt>
                <c:pt idx="104">
                  <c:v>103.876</c:v>
                </c:pt>
                <c:pt idx="105">
                  <c:v>103.3539</c:v>
                </c:pt>
                <c:pt idx="106">
                  <c:v>104.0643</c:v>
                </c:pt>
                <c:pt idx="107">
                  <c:v>103.729</c:v>
                </c:pt>
                <c:pt idx="108">
                  <c:v>103.124</c:v>
                </c:pt>
                <c:pt idx="109">
                  <c:v>104.1474</c:v>
                </c:pt>
                <c:pt idx="110">
                  <c:v>103.8365</c:v>
                </c:pt>
                <c:pt idx="111">
                  <c:v>103.62779999999999</c:v>
                </c:pt>
                <c:pt idx="112">
                  <c:v>103.6986</c:v>
                </c:pt>
                <c:pt idx="113">
                  <c:v>104.1523</c:v>
                </c:pt>
                <c:pt idx="114">
                  <c:v>103.7169</c:v>
                </c:pt>
                <c:pt idx="115">
                  <c:v>102.9686</c:v>
                </c:pt>
                <c:pt idx="116">
                  <c:v>104.0425</c:v>
                </c:pt>
                <c:pt idx="117">
                  <c:v>103.405</c:v>
                </c:pt>
                <c:pt idx="118">
                  <c:v>104.0852</c:v>
                </c:pt>
                <c:pt idx="119">
                  <c:v>102.6712</c:v>
                </c:pt>
                <c:pt idx="120">
                  <c:v>102.8569</c:v>
                </c:pt>
                <c:pt idx="121">
                  <c:v>103.6764</c:v>
                </c:pt>
                <c:pt idx="122">
                  <c:v>102.9127</c:v>
                </c:pt>
                <c:pt idx="123">
                  <c:v>103.0419</c:v>
                </c:pt>
                <c:pt idx="124">
                  <c:v>102.3314</c:v>
                </c:pt>
                <c:pt idx="125">
                  <c:v>102.20659999999999</c:v>
                </c:pt>
                <c:pt idx="126">
                  <c:v>102.40049999999999</c:v>
                </c:pt>
                <c:pt idx="127">
                  <c:v>103.4308</c:v>
                </c:pt>
                <c:pt idx="128">
                  <c:v>102.1999</c:v>
                </c:pt>
                <c:pt idx="129">
                  <c:v>102.2739</c:v>
                </c:pt>
                <c:pt idx="130">
                  <c:v>102.51300000000001</c:v>
                </c:pt>
                <c:pt idx="131">
                  <c:v>102.4083</c:v>
                </c:pt>
                <c:pt idx="132">
                  <c:v>103.0194</c:v>
                </c:pt>
                <c:pt idx="133">
                  <c:v>102.6127</c:v>
                </c:pt>
                <c:pt idx="134">
                  <c:v>103.1204</c:v>
                </c:pt>
                <c:pt idx="135">
                  <c:v>102.2724</c:v>
                </c:pt>
                <c:pt idx="136">
                  <c:v>102.1324</c:v>
                </c:pt>
                <c:pt idx="137">
                  <c:v>102.39409999999999</c:v>
                </c:pt>
                <c:pt idx="138">
                  <c:v>101.65049999999999</c:v>
                </c:pt>
                <c:pt idx="139">
                  <c:v>101.8997</c:v>
                </c:pt>
                <c:pt idx="140">
                  <c:v>102.251</c:v>
                </c:pt>
                <c:pt idx="141">
                  <c:v>102.3168</c:v>
                </c:pt>
                <c:pt idx="142">
                  <c:v>103.2574</c:v>
                </c:pt>
                <c:pt idx="143">
                  <c:v>102.6332</c:v>
                </c:pt>
                <c:pt idx="144">
                  <c:v>102.9134</c:v>
                </c:pt>
                <c:pt idx="145">
                  <c:v>102.5651</c:v>
                </c:pt>
                <c:pt idx="146">
                  <c:v>102.9928</c:v>
                </c:pt>
                <c:pt idx="147">
                  <c:v>102.6515</c:v>
                </c:pt>
                <c:pt idx="148">
                  <c:v>101.60129999999999</c:v>
                </c:pt>
                <c:pt idx="149">
                  <c:v>102.0462</c:v>
                </c:pt>
                <c:pt idx="150">
                  <c:v>102.43300000000001</c:v>
                </c:pt>
                <c:pt idx="151">
                  <c:v>101.99169999999999</c:v>
                </c:pt>
                <c:pt idx="152">
                  <c:v>101.5997</c:v>
                </c:pt>
                <c:pt idx="153">
                  <c:v>101.5175</c:v>
                </c:pt>
                <c:pt idx="154">
                  <c:v>101.81180000000001</c:v>
                </c:pt>
                <c:pt idx="155">
                  <c:v>101.7285</c:v>
                </c:pt>
                <c:pt idx="156">
                  <c:v>101.84310000000001</c:v>
                </c:pt>
                <c:pt idx="157">
                  <c:v>102.3386</c:v>
                </c:pt>
                <c:pt idx="158">
                  <c:v>102.0985</c:v>
                </c:pt>
                <c:pt idx="159">
                  <c:v>102.76649999999999</c:v>
                </c:pt>
                <c:pt idx="160">
                  <c:v>102.9953</c:v>
                </c:pt>
                <c:pt idx="161">
                  <c:v>102.5698</c:v>
                </c:pt>
                <c:pt idx="162">
                  <c:v>101.4092</c:v>
                </c:pt>
                <c:pt idx="163">
                  <c:v>102.29349999999999</c:v>
                </c:pt>
                <c:pt idx="164">
                  <c:v>102.44159999999999</c:v>
                </c:pt>
                <c:pt idx="165">
                  <c:v>102.24160000000001</c:v>
                </c:pt>
                <c:pt idx="166">
                  <c:v>102.7966</c:v>
                </c:pt>
                <c:pt idx="167">
                  <c:v>102.2007</c:v>
                </c:pt>
                <c:pt idx="168">
                  <c:v>101.8429</c:v>
                </c:pt>
                <c:pt idx="169">
                  <c:v>101.6437</c:v>
                </c:pt>
                <c:pt idx="170">
                  <c:v>101.09010000000001</c:v>
                </c:pt>
                <c:pt idx="171">
                  <c:v>101.45059999999999</c:v>
                </c:pt>
                <c:pt idx="172">
                  <c:v>101.36409999999999</c:v>
                </c:pt>
                <c:pt idx="173">
                  <c:v>101.1601</c:v>
                </c:pt>
                <c:pt idx="174">
                  <c:v>101.69970000000001</c:v>
                </c:pt>
                <c:pt idx="175">
                  <c:v>101.75579999999999</c:v>
                </c:pt>
                <c:pt idx="176">
                  <c:v>101.642</c:v>
                </c:pt>
                <c:pt idx="177">
                  <c:v>101.24079999999999</c:v>
                </c:pt>
                <c:pt idx="178">
                  <c:v>101.84010000000001</c:v>
                </c:pt>
                <c:pt idx="179">
                  <c:v>102.12479999999999</c:v>
                </c:pt>
                <c:pt idx="180">
                  <c:v>102.17870000000001</c:v>
                </c:pt>
                <c:pt idx="181">
                  <c:v>101.43729999999999</c:v>
                </c:pt>
                <c:pt idx="182">
                  <c:v>101.8087</c:v>
                </c:pt>
                <c:pt idx="183">
                  <c:v>101.7594</c:v>
                </c:pt>
                <c:pt idx="184">
                  <c:v>100.8886</c:v>
                </c:pt>
                <c:pt idx="185">
                  <c:v>101.7694</c:v>
                </c:pt>
                <c:pt idx="186">
                  <c:v>101.6969</c:v>
                </c:pt>
                <c:pt idx="187">
                  <c:v>100.7578</c:v>
                </c:pt>
                <c:pt idx="188">
                  <c:v>100.8995</c:v>
                </c:pt>
                <c:pt idx="189">
                  <c:v>101.2963</c:v>
                </c:pt>
                <c:pt idx="190">
                  <c:v>101.434</c:v>
                </c:pt>
                <c:pt idx="191">
                  <c:v>101.25190000000001</c:v>
                </c:pt>
                <c:pt idx="192">
                  <c:v>101.35380000000001</c:v>
                </c:pt>
                <c:pt idx="193">
                  <c:v>101.0924</c:v>
                </c:pt>
                <c:pt idx="194">
                  <c:v>100.7328</c:v>
                </c:pt>
                <c:pt idx="195">
                  <c:v>101.4028</c:v>
                </c:pt>
                <c:pt idx="196">
                  <c:v>100.315</c:v>
                </c:pt>
                <c:pt idx="197">
                  <c:v>100.7097</c:v>
                </c:pt>
                <c:pt idx="198">
                  <c:v>99.936599999999999</c:v>
                </c:pt>
                <c:pt idx="199">
                  <c:v>100.5244</c:v>
                </c:pt>
                <c:pt idx="200">
                  <c:v>100.52979999999999</c:v>
                </c:pt>
                <c:pt idx="201">
                  <c:v>100.56270000000001</c:v>
                </c:pt>
                <c:pt idx="202">
                  <c:v>101.26730000000001</c:v>
                </c:pt>
                <c:pt idx="203">
                  <c:v>100.318</c:v>
                </c:pt>
                <c:pt idx="204">
                  <c:v>101.14660000000001</c:v>
                </c:pt>
                <c:pt idx="205">
                  <c:v>100.39790000000001</c:v>
                </c:pt>
                <c:pt idx="206">
                  <c:v>100.2668</c:v>
                </c:pt>
                <c:pt idx="207">
                  <c:v>100.4824</c:v>
                </c:pt>
                <c:pt idx="208">
                  <c:v>100.1611</c:v>
                </c:pt>
                <c:pt idx="209">
                  <c:v>100.7315</c:v>
                </c:pt>
                <c:pt idx="210">
                  <c:v>100.955</c:v>
                </c:pt>
                <c:pt idx="211">
                  <c:v>100.3673</c:v>
                </c:pt>
                <c:pt idx="212">
                  <c:v>100.2337</c:v>
                </c:pt>
                <c:pt idx="213">
                  <c:v>100.1961</c:v>
                </c:pt>
                <c:pt idx="214">
                  <c:v>99.870500000000007</c:v>
                </c:pt>
                <c:pt idx="215">
                  <c:v>99.554400000000001</c:v>
                </c:pt>
                <c:pt idx="216">
                  <c:v>99.727900000000005</c:v>
                </c:pt>
                <c:pt idx="217">
                  <c:v>100.1896</c:v>
                </c:pt>
                <c:pt idx="218">
                  <c:v>99.789100000000005</c:v>
                </c:pt>
                <c:pt idx="219">
                  <c:v>100.845</c:v>
                </c:pt>
                <c:pt idx="220">
                  <c:v>100.55240000000001</c:v>
                </c:pt>
                <c:pt idx="221">
                  <c:v>100.7236</c:v>
                </c:pt>
                <c:pt idx="222">
                  <c:v>100.83150000000001</c:v>
                </c:pt>
                <c:pt idx="223">
                  <c:v>99.891400000000004</c:v>
                </c:pt>
                <c:pt idx="224">
                  <c:v>100.8745</c:v>
                </c:pt>
                <c:pt idx="225">
                  <c:v>100.49169999999999</c:v>
                </c:pt>
                <c:pt idx="226">
                  <c:v>100.3511</c:v>
                </c:pt>
                <c:pt idx="227">
                  <c:v>100.3754</c:v>
                </c:pt>
                <c:pt idx="228">
                  <c:v>100.0886</c:v>
                </c:pt>
                <c:pt idx="229">
                  <c:v>100.55289999999999</c:v>
                </c:pt>
                <c:pt idx="230">
                  <c:v>99.490899999999996</c:v>
                </c:pt>
                <c:pt idx="231">
                  <c:v>100.2533</c:v>
                </c:pt>
                <c:pt idx="232">
                  <c:v>99.635000000000005</c:v>
                </c:pt>
                <c:pt idx="233">
                  <c:v>99.327799999999996</c:v>
                </c:pt>
                <c:pt idx="234">
                  <c:v>100.0309</c:v>
                </c:pt>
                <c:pt idx="235">
                  <c:v>99.275700000000001</c:v>
                </c:pt>
                <c:pt idx="236">
                  <c:v>99.905799999999999</c:v>
                </c:pt>
                <c:pt idx="237">
                  <c:v>99.717399999999998</c:v>
                </c:pt>
                <c:pt idx="238">
                  <c:v>99.501800000000003</c:v>
                </c:pt>
                <c:pt idx="239">
                  <c:v>100.2013</c:v>
                </c:pt>
                <c:pt idx="240">
                  <c:v>99.924599999999998</c:v>
                </c:pt>
                <c:pt idx="241">
                  <c:v>99.6434</c:v>
                </c:pt>
                <c:pt idx="242">
                  <c:v>100.2641</c:v>
                </c:pt>
                <c:pt idx="243">
                  <c:v>99.823700000000002</c:v>
                </c:pt>
                <c:pt idx="244">
                  <c:v>99.422300000000007</c:v>
                </c:pt>
                <c:pt idx="245">
                  <c:v>100.1323</c:v>
                </c:pt>
                <c:pt idx="246">
                  <c:v>99.182299999999998</c:v>
                </c:pt>
                <c:pt idx="247">
                  <c:v>98.911799999999999</c:v>
                </c:pt>
                <c:pt idx="248">
                  <c:v>98.702699999999993</c:v>
                </c:pt>
                <c:pt idx="249">
                  <c:v>98.417500000000004</c:v>
                </c:pt>
                <c:pt idx="250">
                  <c:v>99.028000000000006</c:v>
                </c:pt>
                <c:pt idx="251">
                  <c:v>99.036799999999999</c:v>
                </c:pt>
                <c:pt idx="252">
                  <c:v>99.232799999999997</c:v>
                </c:pt>
                <c:pt idx="253">
                  <c:v>98.9131</c:v>
                </c:pt>
                <c:pt idx="254">
                  <c:v>99.431899999999999</c:v>
                </c:pt>
                <c:pt idx="255">
                  <c:v>99.149299999999997</c:v>
                </c:pt>
                <c:pt idx="256">
                  <c:v>99.001199999999997</c:v>
                </c:pt>
                <c:pt idx="257">
                  <c:v>98.410899999999998</c:v>
                </c:pt>
                <c:pt idx="258">
                  <c:v>98.407200000000003</c:v>
                </c:pt>
                <c:pt idx="259">
                  <c:v>98.131100000000004</c:v>
                </c:pt>
                <c:pt idx="260">
                  <c:v>98.128500000000003</c:v>
                </c:pt>
                <c:pt idx="261">
                  <c:v>98.080600000000004</c:v>
                </c:pt>
                <c:pt idx="262">
                  <c:v>97.723500000000001</c:v>
                </c:pt>
                <c:pt idx="263">
                  <c:v>98.469200000000001</c:v>
                </c:pt>
                <c:pt idx="264">
                  <c:v>97.911600000000007</c:v>
                </c:pt>
                <c:pt idx="265">
                  <c:v>98.0792</c:v>
                </c:pt>
                <c:pt idx="266">
                  <c:v>98.495800000000003</c:v>
                </c:pt>
                <c:pt idx="267">
                  <c:v>98.351200000000006</c:v>
                </c:pt>
                <c:pt idx="268">
                  <c:v>97.255099999999999</c:v>
                </c:pt>
                <c:pt idx="269">
                  <c:v>97.260800000000003</c:v>
                </c:pt>
                <c:pt idx="270">
                  <c:v>97.0364</c:v>
                </c:pt>
                <c:pt idx="271">
                  <c:v>97.063800000000001</c:v>
                </c:pt>
                <c:pt idx="272">
                  <c:v>96.849900000000005</c:v>
                </c:pt>
                <c:pt idx="273">
                  <c:v>96.576599999999999</c:v>
                </c:pt>
                <c:pt idx="274">
                  <c:v>97.297300000000007</c:v>
                </c:pt>
                <c:pt idx="275">
                  <c:v>97.022900000000007</c:v>
                </c:pt>
                <c:pt idx="276">
                  <c:v>96.806799999999996</c:v>
                </c:pt>
                <c:pt idx="277">
                  <c:v>97.090900000000005</c:v>
                </c:pt>
                <c:pt idx="278">
                  <c:v>97.3078</c:v>
                </c:pt>
                <c:pt idx="279">
                  <c:v>98.006799999999998</c:v>
                </c:pt>
                <c:pt idx="280">
                  <c:v>97.8</c:v>
                </c:pt>
                <c:pt idx="281">
                  <c:v>97.215900000000005</c:v>
                </c:pt>
                <c:pt idx="282">
                  <c:v>97.407399999999996</c:v>
                </c:pt>
                <c:pt idx="283">
                  <c:v>97</c:v>
                </c:pt>
                <c:pt idx="284">
                  <c:v>97.294799999999995</c:v>
                </c:pt>
                <c:pt idx="285">
                  <c:v>98.680199999999999</c:v>
                </c:pt>
                <c:pt idx="286">
                  <c:v>97.782399999999996</c:v>
                </c:pt>
                <c:pt idx="287">
                  <c:v>97.395799999999994</c:v>
                </c:pt>
                <c:pt idx="288">
                  <c:v>97.242599999999996</c:v>
                </c:pt>
                <c:pt idx="289">
                  <c:v>97.208399999999997</c:v>
                </c:pt>
                <c:pt idx="290">
                  <c:v>97.206599999999995</c:v>
                </c:pt>
                <c:pt idx="291">
                  <c:v>97.394599999999997</c:v>
                </c:pt>
                <c:pt idx="292">
                  <c:v>98.322400000000002</c:v>
                </c:pt>
                <c:pt idx="293">
                  <c:v>97.313299999999998</c:v>
                </c:pt>
                <c:pt idx="294">
                  <c:v>97.4803</c:v>
                </c:pt>
                <c:pt idx="295">
                  <c:v>98.040599999999998</c:v>
                </c:pt>
                <c:pt idx="296">
                  <c:v>97.702799999999996</c:v>
                </c:pt>
                <c:pt idx="297">
                  <c:v>97.2149</c:v>
                </c:pt>
                <c:pt idx="298">
                  <c:v>97.247100000000003</c:v>
                </c:pt>
                <c:pt idx="299">
                  <c:v>97.016499999999994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3038-5E43-8C5E-4C5F055ADA6B}"/>
            </c:ext>
          </c:extLst>
        </c:ser>
        <c:ser>
          <c:idx val="3"/>
          <c:order val="3"/>
          <c:tx>
            <c:strRef>
              <c:f>Simulation!$I$1</c:f>
              <c:strCache>
                <c:ptCount val="1"/>
                <c:pt idx="0">
                  <c:v>P1</c:v>
                </c:pt>
              </c:strCache>
            </c:strRef>
          </c:tx>
          <c:spPr>
            <a:ln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Simulation!$I$2:$I$301</c:f>
              <c:numCache>
                <c:formatCode>General</c:formatCode>
                <c:ptCount val="300"/>
                <c:pt idx="0">
                  <c:v>68.294700000000006</c:v>
                </c:pt>
                <c:pt idx="1">
                  <c:v>29.904399999999999</c:v>
                </c:pt>
                <c:pt idx="2">
                  <c:v>16.7822</c:v>
                </c:pt>
                <c:pt idx="3">
                  <c:v>8.3993000000000002</c:v>
                </c:pt>
                <c:pt idx="4">
                  <c:v>1.8517999999999999</c:v>
                </c:pt>
                <c:pt idx="5">
                  <c:v>-0.58720000000000006</c:v>
                </c:pt>
                <c:pt idx="6">
                  <c:v>-3.1092</c:v>
                </c:pt>
                <c:pt idx="7">
                  <c:v>-3.7242999999999999</c:v>
                </c:pt>
                <c:pt idx="8">
                  <c:v>-6.282</c:v>
                </c:pt>
                <c:pt idx="9">
                  <c:v>-7.1670999999999996</c:v>
                </c:pt>
                <c:pt idx="10">
                  <c:v>-9.9291</c:v>
                </c:pt>
                <c:pt idx="11">
                  <c:v>-10.276999999999999</c:v>
                </c:pt>
                <c:pt idx="12">
                  <c:v>-10.3538</c:v>
                </c:pt>
                <c:pt idx="13">
                  <c:v>-10.622400000000001</c:v>
                </c:pt>
                <c:pt idx="14">
                  <c:v>-11.728199999999999</c:v>
                </c:pt>
                <c:pt idx="15">
                  <c:v>-10.784700000000001</c:v>
                </c:pt>
                <c:pt idx="16">
                  <c:v>-10.3581</c:v>
                </c:pt>
                <c:pt idx="17">
                  <c:v>-10.783799999999999</c:v>
                </c:pt>
                <c:pt idx="18">
                  <c:v>-10.436</c:v>
                </c:pt>
                <c:pt idx="19">
                  <c:v>-12.1113</c:v>
                </c:pt>
                <c:pt idx="20">
                  <c:v>-13.504</c:v>
                </c:pt>
                <c:pt idx="21">
                  <c:v>-13.9411</c:v>
                </c:pt>
                <c:pt idx="22">
                  <c:v>-13.647500000000001</c:v>
                </c:pt>
                <c:pt idx="23">
                  <c:v>-12.8962</c:v>
                </c:pt>
                <c:pt idx="24">
                  <c:v>-12.7455</c:v>
                </c:pt>
                <c:pt idx="25">
                  <c:v>-14.4254</c:v>
                </c:pt>
                <c:pt idx="26">
                  <c:v>-13.498100000000001</c:v>
                </c:pt>
                <c:pt idx="27">
                  <c:v>-13.906000000000001</c:v>
                </c:pt>
                <c:pt idx="28">
                  <c:v>-13.088100000000001</c:v>
                </c:pt>
                <c:pt idx="29">
                  <c:v>-13.6127</c:v>
                </c:pt>
                <c:pt idx="30">
                  <c:v>-14.2719</c:v>
                </c:pt>
                <c:pt idx="31">
                  <c:v>-14.798500000000001</c:v>
                </c:pt>
                <c:pt idx="32">
                  <c:v>-13.538500000000001</c:v>
                </c:pt>
                <c:pt idx="33">
                  <c:v>-11.889900000000001</c:v>
                </c:pt>
                <c:pt idx="34">
                  <c:v>-12.8583</c:v>
                </c:pt>
                <c:pt idx="35">
                  <c:v>-13.456300000000001</c:v>
                </c:pt>
                <c:pt idx="36">
                  <c:v>-12.6991</c:v>
                </c:pt>
                <c:pt idx="37">
                  <c:v>-13.132999999999999</c:v>
                </c:pt>
                <c:pt idx="38">
                  <c:v>-13.748699999999999</c:v>
                </c:pt>
                <c:pt idx="39">
                  <c:v>-10.923299999999999</c:v>
                </c:pt>
                <c:pt idx="40">
                  <c:v>-11.792199999999999</c:v>
                </c:pt>
                <c:pt idx="41">
                  <c:v>-12.793900000000001</c:v>
                </c:pt>
                <c:pt idx="42">
                  <c:v>-12.7378</c:v>
                </c:pt>
                <c:pt idx="43">
                  <c:v>-13.1998</c:v>
                </c:pt>
                <c:pt idx="44">
                  <c:v>-13.6732</c:v>
                </c:pt>
                <c:pt idx="45">
                  <c:v>-11.345700000000001</c:v>
                </c:pt>
                <c:pt idx="46">
                  <c:v>-13.978</c:v>
                </c:pt>
                <c:pt idx="47">
                  <c:v>-11.7179</c:v>
                </c:pt>
                <c:pt idx="48">
                  <c:v>-15.3363</c:v>
                </c:pt>
                <c:pt idx="49">
                  <c:v>-13.8474</c:v>
                </c:pt>
                <c:pt idx="50">
                  <c:v>-14.554600000000001</c:v>
                </c:pt>
                <c:pt idx="51">
                  <c:v>-13.6883</c:v>
                </c:pt>
                <c:pt idx="52">
                  <c:v>-14.742100000000001</c:v>
                </c:pt>
                <c:pt idx="53">
                  <c:v>-15.0685</c:v>
                </c:pt>
                <c:pt idx="54">
                  <c:v>-15.131</c:v>
                </c:pt>
                <c:pt idx="55">
                  <c:v>-15.072900000000001</c:v>
                </c:pt>
                <c:pt idx="56">
                  <c:v>-15.904400000000001</c:v>
                </c:pt>
                <c:pt idx="57">
                  <c:v>-12.8935</c:v>
                </c:pt>
                <c:pt idx="58">
                  <c:v>-13.5031</c:v>
                </c:pt>
                <c:pt idx="59">
                  <c:v>-14.852</c:v>
                </c:pt>
                <c:pt idx="60">
                  <c:v>-14.4422</c:v>
                </c:pt>
                <c:pt idx="61">
                  <c:v>-14.311299999999999</c:v>
                </c:pt>
                <c:pt idx="62">
                  <c:v>-14.1129</c:v>
                </c:pt>
                <c:pt idx="63">
                  <c:v>-15.600199999999999</c:v>
                </c:pt>
                <c:pt idx="64">
                  <c:v>-14.6386</c:v>
                </c:pt>
                <c:pt idx="65">
                  <c:v>-14.2339</c:v>
                </c:pt>
                <c:pt idx="66">
                  <c:v>-13.939</c:v>
                </c:pt>
                <c:pt idx="67">
                  <c:v>-13.5924</c:v>
                </c:pt>
                <c:pt idx="68">
                  <c:v>-14.416399999999999</c:v>
                </c:pt>
                <c:pt idx="69">
                  <c:v>-12.809699999999999</c:v>
                </c:pt>
                <c:pt idx="70">
                  <c:v>-12.5524</c:v>
                </c:pt>
                <c:pt idx="71">
                  <c:v>-14.5814</c:v>
                </c:pt>
                <c:pt idx="72">
                  <c:v>-14.459099999999999</c:v>
                </c:pt>
                <c:pt idx="73">
                  <c:v>-14.246700000000001</c:v>
                </c:pt>
                <c:pt idx="74">
                  <c:v>-13.198700000000001</c:v>
                </c:pt>
                <c:pt idx="75">
                  <c:v>-13.7272</c:v>
                </c:pt>
                <c:pt idx="76">
                  <c:v>-14.894299999999999</c:v>
                </c:pt>
                <c:pt idx="77">
                  <c:v>-14.1244</c:v>
                </c:pt>
                <c:pt idx="78">
                  <c:v>-14.9331</c:v>
                </c:pt>
                <c:pt idx="79">
                  <c:v>-14.484299999999999</c:v>
                </c:pt>
                <c:pt idx="80">
                  <c:v>-13.9704</c:v>
                </c:pt>
                <c:pt idx="81">
                  <c:v>-13.4672</c:v>
                </c:pt>
                <c:pt idx="82">
                  <c:v>-11.973000000000001</c:v>
                </c:pt>
                <c:pt idx="83">
                  <c:v>-14.044600000000001</c:v>
                </c:pt>
                <c:pt idx="84">
                  <c:v>-14.858700000000001</c:v>
                </c:pt>
                <c:pt idx="85">
                  <c:v>-17.5259</c:v>
                </c:pt>
                <c:pt idx="86">
                  <c:v>-16.604500000000002</c:v>
                </c:pt>
                <c:pt idx="87">
                  <c:v>-15.8719</c:v>
                </c:pt>
                <c:pt idx="88">
                  <c:v>-14.683</c:v>
                </c:pt>
                <c:pt idx="89">
                  <c:v>-15.2051</c:v>
                </c:pt>
                <c:pt idx="90">
                  <c:v>-14.3461</c:v>
                </c:pt>
                <c:pt idx="91">
                  <c:v>-13.7967</c:v>
                </c:pt>
                <c:pt idx="92">
                  <c:v>-14.792999999999999</c:v>
                </c:pt>
                <c:pt idx="93">
                  <c:v>-12.9876</c:v>
                </c:pt>
                <c:pt idx="94">
                  <c:v>-16.6783</c:v>
                </c:pt>
                <c:pt idx="95">
                  <c:v>-17.8401</c:v>
                </c:pt>
                <c:pt idx="96">
                  <c:v>-16.38</c:v>
                </c:pt>
                <c:pt idx="97">
                  <c:v>-14.069699999999999</c:v>
                </c:pt>
                <c:pt idx="98">
                  <c:v>-14.218400000000001</c:v>
                </c:pt>
                <c:pt idx="99">
                  <c:v>-14.901899999999999</c:v>
                </c:pt>
                <c:pt idx="100">
                  <c:v>-16.207899999999999</c:v>
                </c:pt>
                <c:pt idx="101">
                  <c:v>-15.758599999999999</c:v>
                </c:pt>
                <c:pt idx="102">
                  <c:v>-15.114800000000001</c:v>
                </c:pt>
                <c:pt idx="103">
                  <c:v>-16.111499999999999</c:v>
                </c:pt>
                <c:pt idx="104">
                  <c:v>-17.392700000000001</c:v>
                </c:pt>
                <c:pt idx="105">
                  <c:v>-14.813000000000001</c:v>
                </c:pt>
                <c:pt idx="106">
                  <c:v>-16.495899999999999</c:v>
                </c:pt>
                <c:pt idx="107">
                  <c:v>-15.9916</c:v>
                </c:pt>
                <c:pt idx="108">
                  <c:v>-15.6677</c:v>
                </c:pt>
                <c:pt idx="109">
                  <c:v>-15.3741</c:v>
                </c:pt>
                <c:pt idx="110">
                  <c:v>-16.553699999999999</c:v>
                </c:pt>
                <c:pt idx="111">
                  <c:v>-16.214200000000002</c:v>
                </c:pt>
                <c:pt idx="112">
                  <c:v>-15.9712</c:v>
                </c:pt>
                <c:pt idx="113">
                  <c:v>-16.410299999999999</c:v>
                </c:pt>
                <c:pt idx="114">
                  <c:v>-15.899100000000001</c:v>
                </c:pt>
                <c:pt idx="115">
                  <c:v>-19.121200000000002</c:v>
                </c:pt>
                <c:pt idx="116">
                  <c:v>-16.9329</c:v>
                </c:pt>
                <c:pt idx="117">
                  <c:v>-16.0822</c:v>
                </c:pt>
                <c:pt idx="118">
                  <c:v>-16.359400000000001</c:v>
                </c:pt>
                <c:pt idx="119">
                  <c:v>-17.661999999999999</c:v>
                </c:pt>
                <c:pt idx="120">
                  <c:v>-14.7202</c:v>
                </c:pt>
                <c:pt idx="121">
                  <c:v>-14.688499999999999</c:v>
                </c:pt>
                <c:pt idx="122">
                  <c:v>-17.2074</c:v>
                </c:pt>
                <c:pt idx="123">
                  <c:v>-16.354800000000001</c:v>
                </c:pt>
                <c:pt idx="124">
                  <c:v>-15.916399999999999</c:v>
                </c:pt>
                <c:pt idx="125">
                  <c:v>-17.090699999999998</c:v>
                </c:pt>
                <c:pt idx="126">
                  <c:v>-17.619299999999999</c:v>
                </c:pt>
                <c:pt idx="127">
                  <c:v>-17.385300000000001</c:v>
                </c:pt>
                <c:pt idx="128">
                  <c:v>-16.589500000000001</c:v>
                </c:pt>
                <c:pt idx="129">
                  <c:v>-17.134499999999999</c:v>
                </c:pt>
                <c:pt idx="130">
                  <c:v>-16.1617</c:v>
                </c:pt>
                <c:pt idx="131">
                  <c:v>-18.368500000000001</c:v>
                </c:pt>
                <c:pt idx="132">
                  <c:v>-16.144200000000001</c:v>
                </c:pt>
                <c:pt idx="133">
                  <c:v>-16.664000000000001</c:v>
                </c:pt>
                <c:pt idx="134">
                  <c:v>-17.2591</c:v>
                </c:pt>
                <c:pt idx="135">
                  <c:v>-17.153700000000001</c:v>
                </c:pt>
                <c:pt idx="136">
                  <c:v>-17.505700000000001</c:v>
                </c:pt>
                <c:pt idx="137">
                  <c:v>-17.065999999999999</c:v>
                </c:pt>
                <c:pt idx="138">
                  <c:v>-17.163499999999999</c:v>
                </c:pt>
                <c:pt idx="139">
                  <c:v>-18.004300000000001</c:v>
                </c:pt>
                <c:pt idx="140">
                  <c:v>-16.977399999999999</c:v>
                </c:pt>
                <c:pt idx="141">
                  <c:v>-17.2578</c:v>
                </c:pt>
                <c:pt idx="142">
                  <c:v>-14.4405</c:v>
                </c:pt>
                <c:pt idx="143">
                  <c:v>-16.2683</c:v>
                </c:pt>
                <c:pt idx="144">
                  <c:v>-15.579700000000001</c:v>
                </c:pt>
                <c:pt idx="145">
                  <c:v>-18.049800000000001</c:v>
                </c:pt>
                <c:pt idx="146">
                  <c:v>-16.027100000000001</c:v>
                </c:pt>
                <c:pt idx="147">
                  <c:v>-16.786799999999999</c:v>
                </c:pt>
                <c:pt idx="148">
                  <c:v>-16.519300000000001</c:v>
                </c:pt>
                <c:pt idx="149">
                  <c:v>-16.265899999999998</c:v>
                </c:pt>
                <c:pt idx="150">
                  <c:v>-17.402699999999999</c:v>
                </c:pt>
                <c:pt idx="151">
                  <c:v>-19.355499999999999</c:v>
                </c:pt>
                <c:pt idx="152">
                  <c:v>-16.6891</c:v>
                </c:pt>
                <c:pt idx="153">
                  <c:v>-16.014500000000002</c:v>
                </c:pt>
                <c:pt idx="154">
                  <c:v>-16.781400000000001</c:v>
                </c:pt>
                <c:pt idx="155">
                  <c:v>-14.247999999999999</c:v>
                </c:pt>
                <c:pt idx="156">
                  <c:v>-16.882000000000001</c:v>
                </c:pt>
                <c:pt idx="157">
                  <c:v>-16.5929</c:v>
                </c:pt>
                <c:pt idx="158">
                  <c:v>-18.084499999999998</c:v>
                </c:pt>
                <c:pt idx="159">
                  <c:v>-17.139099999999999</c:v>
                </c:pt>
                <c:pt idx="160">
                  <c:v>-17.9604</c:v>
                </c:pt>
                <c:pt idx="161">
                  <c:v>-14.891999999999999</c:v>
                </c:pt>
                <c:pt idx="162">
                  <c:v>-16.716000000000001</c:v>
                </c:pt>
                <c:pt idx="163">
                  <c:v>-16.325600000000001</c:v>
                </c:pt>
                <c:pt idx="164">
                  <c:v>-16.284600000000001</c:v>
                </c:pt>
                <c:pt idx="165">
                  <c:v>-18.9238</c:v>
                </c:pt>
                <c:pt idx="166">
                  <c:v>-18.526</c:v>
                </c:pt>
                <c:pt idx="167">
                  <c:v>-17.8521</c:v>
                </c:pt>
                <c:pt idx="168">
                  <c:v>-17.174700000000001</c:v>
                </c:pt>
                <c:pt idx="169">
                  <c:v>-16.756399999999999</c:v>
                </c:pt>
                <c:pt idx="170">
                  <c:v>-18.9239</c:v>
                </c:pt>
                <c:pt idx="171">
                  <c:v>-18.308399999999999</c:v>
                </c:pt>
                <c:pt idx="172">
                  <c:v>-17.3916</c:v>
                </c:pt>
                <c:pt idx="173">
                  <c:v>-16.803999999999998</c:v>
                </c:pt>
                <c:pt idx="174">
                  <c:v>-16.976299999999998</c:v>
                </c:pt>
                <c:pt idx="175">
                  <c:v>-18.064499999999999</c:v>
                </c:pt>
                <c:pt idx="176">
                  <c:v>-18.1587</c:v>
                </c:pt>
                <c:pt idx="177">
                  <c:v>-17.826499999999999</c:v>
                </c:pt>
                <c:pt idx="178">
                  <c:v>-18.7103</c:v>
                </c:pt>
                <c:pt idx="179">
                  <c:v>-15.448600000000001</c:v>
                </c:pt>
                <c:pt idx="180">
                  <c:v>-18.7454</c:v>
                </c:pt>
                <c:pt idx="181">
                  <c:v>-20.336500000000001</c:v>
                </c:pt>
                <c:pt idx="182">
                  <c:v>-18.9252</c:v>
                </c:pt>
                <c:pt idx="183">
                  <c:v>-19.575399999999998</c:v>
                </c:pt>
                <c:pt idx="184">
                  <c:v>-19.1358</c:v>
                </c:pt>
                <c:pt idx="185">
                  <c:v>-18.389600000000002</c:v>
                </c:pt>
                <c:pt idx="186">
                  <c:v>-16.8718</c:v>
                </c:pt>
                <c:pt idx="187">
                  <c:v>-15.5593</c:v>
                </c:pt>
                <c:pt idx="188">
                  <c:v>-15.9483</c:v>
                </c:pt>
                <c:pt idx="189">
                  <c:v>-16.099599999999999</c:v>
                </c:pt>
                <c:pt idx="190">
                  <c:v>-16.348600000000001</c:v>
                </c:pt>
                <c:pt idx="191">
                  <c:v>-17.384599999999999</c:v>
                </c:pt>
                <c:pt idx="192">
                  <c:v>-16.6051</c:v>
                </c:pt>
                <c:pt idx="193">
                  <c:v>-17.899100000000001</c:v>
                </c:pt>
                <c:pt idx="194">
                  <c:v>-16.925699999999999</c:v>
                </c:pt>
                <c:pt idx="195">
                  <c:v>-18.071100000000001</c:v>
                </c:pt>
                <c:pt idx="196">
                  <c:v>-17.4038</c:v>
                </c:pt>
                <c:pt idx="197">
                  <c:v>-18.041599999999999</c:v>
                </c:pt>
                <c:pt idx="198">
                  <c:v>-17.633400000000002</c:v>
                </c:pt>
                <c:pt idx="199">
                  <c:v>-17.7789</c:v>
                </c:pt>
                <c:pt idx="200">
                  <c:v>-17.724799999999998</c:v>
                </c:pt>
                <c:pt idx="201">
                  <c:v>-17.967500000000001</c:v>
                </c:pt>
                <c:pt idx="202">
                  <c:v>-17.124300000000002</c:v>
                </c:pt>
                <c:pt idx="203">
                  <c:v>-18.203700000000001</c:v>
                </c:pt>
                <c:pt idx="204">
                  <c:v>-17.694800000000001</c:v>
                </c:pt>
                <c:pt idx="205">
                  <c:v>-17.1401</c:v>
                </c:pt>
                <c:pt idx="206">
                  <c:v>-18.300799999999999</c:v>
                </c:pt>
                <c:pt idx="207">
                  <c:v>-18.218399999999999</c:v>
                </c:pt>
                <c:pt idx="208">
                  <c:v>-16.9313</c:v>
                </c:pt>
                <c:pt idx="209">
                  <c:v>-18.604600000000001</c:v>
                </c:pt>
                <c:pt idx="210">
                  <c:v>-17.496400000000001</c:v>
                </c:pt>
                <c:pt idx="211">
                  <c:v>-17.353200000000001</c:v>
                </c:pt>
                <c:pt idx="212">
                  <c:v>-17.677399999999999</c:v>
                </c:pt>
                <c:pt idx="213">
                  <c:v>-16.098600000000001</c:v>
                </c:pt>
                <c:pt idx="214">
                  <c:v>-17.7699</c:v>
                </c:pt>
                <c:pt idx="215">
                  <c:v>-18.800899999999999</c:v>
                </c:pt>
                <c:pt idx="216">
                  <c:v>-19.770199999999999</c:v>
                </c:pt>
                <c:pt idx="217">
                  <c:v>-19.703099999999999</c:v>
                </c:pt>
                <c:pt idx="218">
                  <c:v>-19.960599999999999</c:v>
                </c:pt>
                <c:pt idx="219">
                  <c:v>-19.046800000000001</c:v>
                </c:pt>
                <c:pt idx="220">
                  <c:v>-17.771100000000001</c:v>
                </c:pt>
                <c:pt idx="221">
                  <c:v>-18.825700000000001</c:v>
                </c:pt>
                <c:pt idx="222">
                  <c:v>-18.234100000000002</c:v>
                </c:pt>
                <c:pt idx="223">
                  <c:v>-19.758400000000002</c:v>
                </c:pt>
                <c:pt idx="224">
                  <c:v>-20.015699999999999</c:v>
                </c:pt>
                <c:pt idx="225">
                  <c:v>-19.678100000000001</c:v>
                </c:pt>
                <c:pt idx="226">
                  <c:v>-18.414400000000001</c:v>
                </c:pt>
                <c:pt idx="227">
                  <c:v>-17.879200000000001</c:v>
                </c:pt>
                <c:pt idx="228">
                  <c:v>-17.197199999999999</c:v>
                </c:pt>
                <c:pt idx="229">
                  <c:v>-19.5228</c:v>
                </c:pt>
                <c:pt idx="230">
                  <c:v>-17.334800000000001</c:v>
                </c:pt>
                <c:pt idx="231">
                  <c:v>-18.9572</c:v>
                </c:pt>
                <c:pt idx="232">
                  <c:v>-18.865300000000001</c:v>
                </c:pt>
                <c:pt idx="233">
                  <c:v>-17.145900000000001</c:v>
                </c:pt>
                <c:pt idx="234">
                  <c:v>-17.9178</c:v>
                </c:pt>
                <c:pt idx="235">
                  <c:v>-18.2806</c:v>
                </c:pt>
                <c:pt idx="236">
                  <c:v>-19.577000000000002</c:v>
                </c:pt>
                <c:pt idx="237">
                  <c:v>-19.3185</c:v>
                </c:pt>
                <c:pt idx="238">
                  <c:v>-20.639800000000001</c:v>
                </c:pt>
                <c:pt idx="239">
                  <c:v>-19.553100000000001</c:v>
                </c:pt>
                <c:pt idx="240">
                  <c:v>-18.9878</c:v>
                </c:pt>
                <c:pt idx="241">
                  <c:v>-18.323599999999999</c:v>
                </c:pt>
                <c:pt idx="242">
                  <c:v>-19.716000000000001</c:v>
                </c:pt>
                <c:pt idx="243">
                  <c:v>-19.682099999999998</c:v>
                </c:pt>
                <c:pt idx="244">
                  <c:v>-21.8307</c:v>
                </c:pt>
                <c:pt idx="245">
                  <c:v>-19.042899999999999</c:v>
                </c:pt>
                <c:pt idx="246">
                  <c:v>-19.404</c:v>
                </c:pt>
                <c:pt idx="247">
                  <c:v>-21.252700000000001</c:v>
                </c:pt>
                <c:pt idx="248">
                  <c:v>-20.4452</c:v>
                </c:pt>
                <c:pt idx="249">
                  <c:v>-19.484000000000002</c:v>
                </c:pt>
                <c:pt idx="250">
                  <c:v>-20.141200000000001</c:v>
                </c:pt>
                <c:pt idx="251">
                  <c:v>-18.296500000000002</c:v>
                </c:pt>
                <c:pt idx="252">
                  <c:v>-19.8691</c:v>
                </c:pt>
                <c:pt idx="253">
                  <c:v>-21.284300000000002</c:v>
                </c:pt>
                <c:pt idx="254">
                  <c:v>-19.895199999999999</c:v>
                </c:pt>
                <c:pt idx="255">
                  <c:v>-22.093</c:v>
                </c:pt>
                <c:pt idx="256">
                  <c:v>-20.2545</c:v>
                </c:pt>
                <c:pt idx="257">
                  <c:v>-18.61</c:v>
                </c:pt>
                <c:pt idx="258">
                  <c:v>-19.4603</c:v>
                </c:pt>
                <c:pt idx="259">
                  <c:v>-21.2194</c:v>
                </c:pt>
                <c:pt idx="260">
                  <c:v>-20.899000000000001</c:v>
                </c:pt>
                <c:pt idx="261">
                  <c:v>-21.126799999999999</c:v>
                </c:pt>
                <c:pt idx="262">
                  <c:v>-21.332599999999999</c:v>
                </c:pt>
                <c:pt idx="263">
                  <c:v>-19.827300000000001</c:v>
                </c:pt>
                <c:pt idx="264">
                  <c:v>-20.049399999999999</c:v>
                </c:pt>
                <c:pt idx="265">
                  <c:v>-18.419</c:v>
                </c:pt>
                <c:pt idx="266">
                  <c:v>-18.87</c:v>
                </c:pt>
                <c:pt idx="267">
                  <c:v>-19.613399999999999</c:v>
                </c:pt>
                <c:pt idx="268">
                  <c:v>-22.0198</c:v>
                </c:pt>
                <c:pt idx="269">
                  <c:v>-23.071300000000001</c:v>
                </c:pt>
                <c:pt idx="270">
                  <c:v>-21.671600000000002</c:v>
                </c:pt>
                <c:pt idx="271">
                  <c:v>-22.294</c:v>
                </c:pt>
                <c:pt idx="272">
                  <c:v>-22.080500000000001</c:v>
                </c:pt>
                <c:pt idx="273">
                  <c:v>-20.567499999999999</c:v>
                </c:pt>
                <c:pt idx="274">
                  <c:v>-22.7302</c:v>
                </c:pt>
                <c:pt idx="275">
                  <c:v>-22.1435</c:v>
                </c:pt>
                <c:pt idx="276">
                  <c:v>-22.362300000000001</c:v>
                </c:pt>
                <c:pt idx="277">
                  <c:v>-25.4892</c:v>
                </c:pt>
                <c:pt idx="278">
                  <c:v>-23.565000000000001</c:v>
                </c:pt>
                <c:pt idx="279">
                  <c:v>-23.048500000000001</c:v>
                </c:pt>
                <c:pt idx="280">
                  <c:v>-22.260100000000001</c:v>
                </c:pt>
                <c:pt idx="281">
                  <c:v>-21.223500000000001</c:v>
                </c:pt>
                <c:pt idx="282">
                  <c:v>-21.1982</c:v>
                </c:pt>
                <c:pt idx="283">
                  <c:v>-21.7029</c:v>
                </c:pt>
                <c:pt idx="284">
                  <c:v>-21.6966</c:v>
                </c:pt>
                <c:pt idx="285">
                  <c:v>-23.187899999999999</c:v>
                </c:pt>
                <c:pt idx="286">
                  <c:v>-23.2956</c:v>
                </c:pt>
                <c:pt idx="287">
                  <c:v>-23.188600000000001</c:v>
                </c:pt>
                <c:pt idx="288">
                  <c:v>-21.275200000000002</c:v>
                </c:pt>
                <c:pt idx="289">
                  <c:v>-22.515699999999999</c:v>
                </c:pt>
                <c:pt idx="290">
                  <c:v>-22.422000000000001</c:v>
                </c:pt>
                <c:pt idx="291">
                  <c:v>-20.835699999999999</c:v>
                </c:pt>
                <c:pt idx="292">
                  <c:v>-22.172599999999999</c:v>
                </c:pt>
                <c:pt idx="293">
                  <c:v>-21.653700000000001</c:v>
                </c:pt>
                <c:pt idx="294">
                  <c:v>-22.9984</c:v>
                </c:pt>
                <c:pt idx="295">
                  <c:v>-22.098800000000001</c:v>
                </c:pt>
                <c:pt idx="296">
                  <c:v>-21.165700000000001</c:v>
                </c:pt>
                <c:pt idx="297">
                  <c:v>-21.847300000000001</c:v>
                </c:pt>
                <c:pt idx="298">
                  <c:v>-21.403300000000002</c:v>
                </c:pt>
                <c:pt idx="299">
                  <c:v>-22.495999999999999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3038-5E43-8C5E-4C5F055ADA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Capture Price (EUR/MWh)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P50/P90/P99 at Key Project Horizons — DK1 Primary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Simulation!$L$2</c:f>
              <c:strCache>
                <c:ptCount val="1"/>
                <c:pt idx="0">
                  <c:v>P50</c:v>
                </c:pt>
              </c:strCache>
            </c:strRef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Simulation!$L$3:$L$7</c:f>
              <c:numCache>
                <c:formatCode>General</c:formatCode>
                <c:ptCount val="5"/>
                <c:pt idx="0">
                  <c:v>62.42</c:v>
                </c:pt>
                <c:pt idx="1">
                  <c:v>60.67</c:v>
                </c:pt>
                <c:pt idx="2">
                  <c:v>58.52</c:v>
                </c:pt>
                <c:pt idx="3">
                  <c:v>57.43</c:v>
                </c:pt>
                <c:pt idx="4">
                  <c:v>54.79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3D6E-334F-BD89-AD50ACCD4987}"/>
            </c:ext>
          </c:extLst>
        </c:ser>
        <c:ser>
          <c:idx val="1"/>
          <c:order val="1"/>
          <c:tx>
            <c:strRef>
              <c:f>Simulation!$M$2</c:f>
              <c:strCache>
                <c:ptCount val="1"/>
                <c:pt idx="0">
                  <c:v>P90</c:v>
                </c:pt>
              </c:strCache>
            </c:strRef>
          </c:tx>
          <c:spPr>
            <a:solidFill>
              <a:srgbClr val="FF8C00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Simulation!$M$3:$M$7</c:f>
              <c:numCache>
                <c:formatCode>General</c:formatCode>
                <c:ptCount val="5"/>
                <c:pt idx="0">
                  <c:v>19.97</c:v>
                </c:pt>
                <c:pt idx="1">
                  <c:v>18.27</c:v>
                </c:pt>
                <c:pt idx="2">
                  <c:v>16.52</c:v>
                </c:pt>
                <c:pt idx="3">
                  <c:v>14.71</c:v>
                </c:pt>
                <c:pt idx="4">
                  <c:v>12.55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3D6E-334F-BD89-AD50ACCD4987}"/>
            </c:ext>
          </c:extLst>
        </c:ser>
        <c:ser>
          <c:idx val="2"/>
          <c:order val="2"/>
          <c:tx>
            <c:strRef>
              <c:f>Simulation!$N$2</c:f>
              <c:strCache>
                <c:ptCount val="1"/>
                <c:pt idx="0">
                  <c:v>P99</c:v>
                </c:pt>
              </c:strCache>
            </c:strRef>
          </c:tx>
          <c:spPr>
            <a:solidFill>
              <a:srgbClr val="C00000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Simulation!$N$3:$N$7</c:f>
              <c:numCache>
                <c:formatCode>General</c:formatCode>
                <c:ptCount val="5"/>
                <c:pt idx="0">
                  <c:v>-14.85</c:v>
                </c:pt>
                <c:pt idx="1">
                  <c:v>-17.66</c:v>
                </c:pt>
                <c:pt idx="2">
                  <c:v>-15.45</c:v>
                </c:pt>
                <c:pt idx="3">
                  <c:v>-19.55</c:v>
                </c:pt>
                <c:pt idx="4">
                  <c:v>-22.5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3D6E-334F-BD89-AD50ACCD49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Project Year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Capture Price (EUR/MWh)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MC Simulation - DK1 P50/P90/P99 Capture Price Paths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Simulation!$C$1</c:f>
              <c:strCache>
                <c:ptCount val="1"/>
                <c:pt idx="0">
                  <c:v>mu_capture</c:v>
                </c:pt>
              </c:strCache>
            </c:strRef>
          </c:tx>
          <c:spPr>
            <a:ln>
              <a:solidFill>
                <a:srgbClr val="70AD47"/>
              </a:solidFill>
              <a:prstDash val="solid"/>
            </a:ln>
          </c:spPr>
          <c:marker>
            <c:symbol val="none"/>
          </c:marker>
          <c:val>
            <c:numRef>
              <c:f>Simulation!$C$2:$C$301</c:f>
              <c:numCache>
                <c:formatCode>General</c:formatCode>
                <c:ptCount val="300"/>
                <c:pt idx="0">
                  <c:v>64.879900000000006</c:v>
                </c:pt>
                <c:pt idx="1">
                  <c:v>64.845699999999994</c:v>
                </c:pt>
                <c:pt idx="2">
                  <c:v>64.811400000000006</c:v>
                </c:pt>
                <c:pt idx="3">
                  <c:v>64.777100000000004</c:v>
                </c:pt>
                <c:pt idx="4">
                  <c:v>64.742900000000006</c:v>
                </c:pt>
                <c:pt idx="5">
                  <c:v>64.708600000000004</c:v>
                </c:pt>
                <c:pt idx="6">
                  <c:v>64.674400000000006</c:v>
                </c:pt>
                <c:pt idx="7">
                  <c:v>64.640100000000004</c:v>
                </c:pt>
                <c:pt idx="8">
                  <c:v>64.605800000000002</c:v>
                </c:pt>
                <c:pt idx="9">
                  <c:v>64.571600000000004</c:v>
                </c:pt>
                <c:pt idx="10">
                  <c:v>64.537300000000002</c:v>
                </c:pt>
                <c:pt idx="11">
                  <c:v>64.503</c:v>
                </c:pt>
                <c:pt idx="12">
                  <c:v>64.468800000000002</c:v>
                </c:pt>
                <c:pt idx="13">
                  <c:v>64.4345</c:v>
                </c:pt>
                <c:pt idx="14">
                  <c:v>64.400300000000001</c:v>
                </c:pt>
                <c:pt idx="15">
                  <c:v>64.366</c:v>
                </c:pt>
                <c:pt idx="16">
                  <c:v>64.331699999999998</c:v>
                </c:pt>
                <c:pt idx="17">
                  <c:v>64.297499999999999</c:v>
                </c:pt>
                <c:pt idx="18">
                  <c:v>64.263199999999998</c:v>
                </c:pt>
                <c:pt idx="19">
                  <c:v>64.228999999999999</c:v>
                </c:pt>
                <c:pt idx="20">
                  <c:v>64.194699999999997</c:v>
                </c:pt>
                <c:pt idx="21">
                  <c:v>64.160399999999996</c:v>
                </c:pt>
                <c:pt idx="22">
                  <c:v>64.126199999999997</c:v>
                </c:pt>
                <c:pt idx="23">
                  <c:v>64.091899999999995</c:v>
                </c:pt>
                <c:pt idx="24">
                  <c:v>64.057599999999994</c:v>
                </c:pt>
                <c:pt idx="25">
                  <c:v>64.023399999999995</c:v>
                </c:pt>
                <c:pt idx="26">
                  <c:v>63.989100000000001</c:v>
                </c:pt>
                <c:pt idx="27">
                  <c:v>63.954900000000002</c:v>
                </c:pt>
                <c:pt idx="28">
                  <c:v>63.9206</c:v>
                </c:pt>
                <c:pt idx="29">
                  <c:v>63.886299999999999</c:v>
                </c:pt>
                <c:pt idx="30">
                  <c:v>63.8521</c:v>
                </c:pt>
                <c:pt idx="31">
                  <c:v>63.817799999999998</c:v>
                </c:pt>
                <c:pt idx="32">
                  <c:v>63.7836</c:v>
                </c:pt>
                <c:pt idx="33">
                  <c:v>63.749299999999998</c:v>
                </c:pt>
                <c:pt idx="34">
                  <c:v>63.715000000000003</c:v>
                </c:pt>
                <c:pt idx="35">
                  <c:v>63.680799999999998</c:v>
                </c:pt>
                <c:pt idx="36">
                  <c:v>63.646500000000003</c:v>
                </c:pt>
                <c:pt idx="37">
                  <c:v>63.612200000000001</c:v>
                </c:pt>
                <c:pt idx="38">
                  <c:v>63.578000000000003</c:v>
                </c:pt>
                <c:pt idx="39">
                  <c:v>63.543700000000001</c:v>
                </c:pt>
                <c:pt idx="40">
                  <c:v>63.509500000000003</c:v>
                </c:pt>
                <c:pt idx="41">
                  <c:v>63.475200000000001</c:v>
                </c:pt>
                <c:pt idx="42">
                  <c:v>63.440899999999999</c:v>
                </c:pt>
                <c:pt idx="43">
                  <c:v>63.406700000000001</c:v>
                </c:pt>
                <c:pt idx="44">
                  <c:v>63.372399999999999</c:v>
                </c:pt>
                <c:pt idx="45">
                  <c:v>63.338200000000001</c:v>
                </c:pt>
                <c:pt idx="46">
                  <c:v>63.303899999999999</c:v>
                </c:pt>
                <c:pt idx="47">
                  <c:v>63.269599999999997</c:v>
                </c:pt>
                <c:pt idx="48">
                  <c:v>63.235399999999998</c:v>
                </c:pt>
                <c:pt idx="49">
                  <c:v>63.201099999999997</c:v>
                </c:pt>
                <c:pt idx="50">
                  <c:v>63.166899999999998</c:v>
                </c:pt>
                <c:pt idx="51">
                  <c:v>63.132599999999996</c:v>
                </c:pt>
                <c:pt idx="52">
                  <c:v>63.098300000000002</c:v>
                </c:pt>
                <c:pt idx="53">
                  <c:v>63.064100000000003</c:v>
                </c:pt>
                <c:pt idx="54">
                  <c:v>63.029800000000002</c:v>
                </c:pt>
                <c:pt idx="55">
                  <c:v>62.9955</c:v>
                </c:pt>
                <c:pt idx="56">
                  <c:v>62.961300000000001</c:v>
                </c:pt>
                <c:pt idx="57">
                  <c:v>62.927</c:v>
                </c:pt>
                <c:pt idx="58">
                  <c:v>62.892800000000001</c:v>
                </c:pt>
                <c:pt idx="59">
                  <c:v>62.858499999999999</c:v>
                </c:pt>
                <c:pt idx="60">
                  <c:v>62.824199999999998</c:v>
                </c:pt>
                <c:pt idx="61">
                  <c:v>62.79</c:v>
                </c:pt>
                <c:pt idx="62">
                  <c:v>62.755699999999997</c:v>
                </c:pt>
                <c:pt idx="63">
                  <c:v>62.721499999999999</c:v>
                </c:pt>
                <c:pt idx="64">
                  <c:v>62.687199999999997</c:v>
                </c:pt>
                <c:pt idx="65">
                  <c:v>62.652900000000002</c:v>
                </c:pt>
                <c:pt idx="66">
                  <c:v>62.618699999999997</c:v>
                </c:pt>
                <c:pt idx="67">
                  <c:v>62.584400000000002</c:v>
                </c:pt>
                <c:pt idx="68">
                  <c:v>62.5501</c:v>
                </c:pt>
                <c:pt idx="69">
                  <c:v>62.515900000000002</c:v>
                </c:pt>
                <c:pt idx="70">
                  <c:v>62.4816</c:v>
                </c:pt>
                <c:pt idx="71">
                  <c:v>62.447400000000002</c:v>
                </c:pt>
                <c:pt idx="72">
                  <c:v>62.4131</c:v>
                </c:pt>
                <c:pt idx="73">
                  <c:v>62.378799999999998</c:v>
                </c:pt>
                <c:pt idx="74">
                  <c:v>62.3446</c:v>
                </c:pt>
                <c:pt idx="75">
                  <c:v>62.310299999999998</c:v>
                </c:pt>
                <c:pt idx="76">
                  <c:v>62.2761</c:v>
                </c:pt>
                <c:pt idx="77">
                  <c:v>62.241799999999998</c:v>
                </c:pt>
                <c:pt idx="78">
                  <c:v>62.207500000000003</c:v>
                </c:pt>
                <c:pt idx="79">
                  <c:v>62.173299999999998</c:v>
                </c:pt>
                <c:pt idx="80">
                  <c:v>62.139000000000003</c:v>
                </c:pt>
                <c:pt idx="81">
                  <c:v>62.104700000000001</c:v>
                </c:pt>
                <c:pt idx="82">
                  <c:v>62.070500000000003</c:v>
                </c:pt>
                <c:pt idx="83">
                  <c:v>62.036200000000001</c:v>
                </c:pt>
                <c:pt idx="84">
                  <c:v>62.002000000000002</c:v>
                </c:pt>
                <c:pt idx="85">
                  <c:v>61.967700000000001</c:v>
                </c:pt>
                <c:pt idx="86">
                  <c:v>61.933399999999999</c:v>
                </c:pt>
                <c:pt idx="87">
                  <c:v>61.8992</c:v>
                </c:pt>
                <c:pt idx="88">
                  <c:v>61.864899999999999</c:v>
                </c:pt>
                <c:pt idx="89">
                  <c:v>61.8307</c:v>
                </c:pt>
                <c:pt idx="90">
                  <c:v>61.796399999999998</c:v>
                </c:pt>
                <c:pt idx="91">
                  <c:v>61.762099999999997</c:v>
                </c:pt>
                <c:pt idx="92">
                  <c:v>61.727899999999998</c:v>
                </c:pt>
                <c:pt idx="93">
                  <c:v>61.693600000000004</c:v>
                </c:pt>
                <c:pt idx="94">
                  <c:v>61.659300000000002</c:v>
                </c:pt>
                <c:pt idx="95">
                  <c:v>61.625100000000003</c:v>
                </c:pt>
                <c:pt idx="96">
                  <c:v>61.590800000000002</c:v>
                </c:pt>
                <c:pt idx="97">
                  <c:v>61.556600000000003</c:v>
                </c:pt>
                <c:pt idx="98">
                  <c:v>61.522300000000001</c:v>
                </c:pt>
                <c:pt idx="99">
                  <c:v>61.488</c:v>
                </c:pt>
                <c:pt idx="100">
                  <c:v>61.453800000000001</c:v>
                </c:pt>
                <c:pt idx="101">
                  <c:v>61.419499999999999</c:v>
                </c:pt>
                <c:pt idx="102">
                  <c:v>61.385300000000001</c:v>
                </c:pt>
                <c:pt idx="103">
                  <c:v>61.350999999999999</c:v>
                </c:pt>
                <c:pt idx="104">
                  <c:v>61.316699999999997</c:v>
                </c:pt>
                <c:pt idx="105">
                  <c:v>61.282499999999999</c:v>
                </c:pt>
                <c:pt idx="106">
                  <c:v>61.248199999999997</c:v>
                </c:pt>
                <c:pt idx="107">
                  <c:v>61.213900000000002</c:v>
                </c:pt>
                <c:pt idx="108">
                  <c:v>61.179699999999997</c:v>
                </c:pt>
                <c:pt idx="109">
                  <c:v>61.145400000000002</c:v>
                </c:pt>
                <c:pt idx="110">
                  <c:v>61.111199999999997</c:v>
                </c:pt>
                <c:pt idx="111">
                  <c:v>61.076900000000002</c:v>
                </c:pt>
                <c:pt idx="112">
                  <c:v>61.0426</c:v>
                </c:pt>
                <c:pt idx="113">
                  <c:v>61.008400000000002</c:v>
                </c:pt>
                <c:pt idx="114">
                  <c:v>60.9741</c:v>
                </c:pt>
                <c:pt idx="115">
                  <c:v>60.939900000000002</c:v>
                </c:pt>
                <c:pt idx="116">
                  <c:v>60.9056</c:v>
                </c:pt>
                <c:pt idx="117">
                  <c:v>60.871299999999998</c:v>
                </c:pt>
                <c:pt idx="118">
                  <c:v>60.8371</c:v>
                </c:pt>
                <c:pt idx="119">
                  <c:v>60.802799999999998</c:v>
                </c:pt>
                <c:pt idx="120">
                  <c:v>60.768500000000003</c:v>
                </c:pt>
                <c:pt idx="121">
                  <c:v>60.734299999999998</c:v>
                </c:pt>
                <c:pt idx="122">
                  <c:v>60.7</c:v>
                </c:pt>
                <c:pt idx="123">
                  <c:v>60.665799999999997</c:v>
                </c:pt>
                <c:pt idx="124">
                  <c:v>60.631500000000003</c:v>
                </c:pt>
                <c:pt idx="125">
                  <c:v>60.597200000000001</c:v>
                </c:pt>
                <c:pt idx="126">
                  <c:v>60.563000000000002</c:v>
                </c:pt>
                <c:pt idx="127">
                  <c:v>60.528700000000001</c:v>
                </c:pt>
                <c:pt idx="128">
                  <c:v>60.494500000000002</c:v>
                </c:pt>
                <c:pt idx="129">
                  <c:v>60.4602</c:v>
                </c:pt>
                <c:pt idx="130">
                  <c:v>60.425899999999999</c:v>
                </c:pt>
                <c:pt idx="131">
                  <c:v>60.3917</c:v>
                </c:pt>
                <c:pt idx="132">
                  <c:v>60.357399999999998</c:v>
                </c:pt>
                <c:pt idx="133">
                  <c:v>60.323099999999997</c:v>
                </c:pt>
                <c:pt idx="134">
                  <c:v>60.288899999999998</c:v>
                </c:pt>
                <c:pt idx="135">
                  <c:v>60.254600000000003</c:v>
                </c:pt>
                <c:pt idx="136">
                  <c:v>60.220399999999998</c:v>
                </c:pt>
                <c:pt idx="137">
                  <c:v>60.186100000000003</c:v>
                </c:pt>
                <c:pt idx="138">
                  <c:v>60.151800000000001</c:v>
                </c:pt>
                <c:pt idx="139">
                  <c:v>60.117600000000003</c:v>
                </c:pt>
                <c:pt idx="140">
                  <c:v>60.083300000000001</c:v>
                </c:pt>
                <c:pt idx="141">
                  <c:v>60.049100000000003</c:v>
                </c:pt>
                <c:pt idx="142">
                  <c:v>60.014800000000001</c:v>
                </c:pt>
                <c:pt idx="143">
                  <c:v>59.980499999999999</c:v>
                </c:pt>
                <c:pt idx="144">
                  <c:v>59.946300000000001</c:v>
                </c:pt>
                <c:pt idx="145">
                  <c:v>59.911999999999999</c:v>
                </c:pt>
                <c:pt idx="146">
                  <c:v>59.877699999999997</c:v>
                </c:pt>
                <c:pt idx="147">
                  <c:v>59.843499999999999</c:v>
                </c:pt>
                <c:pt idx="148">
                  <c:v>59.809199999999997</c:v>
                </c:pt>
                <c:pt idx="149">
                  <c:v>59.774999999999999</c:v>
                </c:pt>
                <c:pt idx="150">
                  <c:v>59.740699999999997</c:v>
                </c:pt>
                <c:pt idx="151">
                  <c:v>59.706400000000002</c:v>
                </c:pt>
                <c:pt idx="152">
                  <c:v>59.672199999999997</c:v>
                </c:pt>
                <c:pt idx="153">
                  <c:v>59.637900000000002</c:v>
                </c:pt>
                <c:pt idx="154">
                  <c:v>59.603700000000003</c:v>
                </c:pt>
                <c:pt idx="155">
                  <c:v>59.569400000000002</c:v>
                </c:pt>
                <c:pt idx="156">
                  <c:v>59.5351</c:v>
                </c:pt>
                <c:pt idx="157">
                  <c:v>59.500900000000001</c:v>
                </c:pt>
                <c:pt idx="158">
                  <c:v>59.4666</c:v>
                </c:pt>
                <c:pt idx="159">
                  <c:v>59.432299999999998</c:v>
                </c:pt>
                <c:pt idx="160">
                  <c:v>59.398099999999999</c:v>
                </c:pt>
                <c:pt idx="161">
                  <c:v>59.363799999999998</c:v>
                </c:pt>
                <c:pt idx="162">
                  <c:v>59.329599999999999</c:v>
                </c:pt>
                <c:pt idx="163">
                  <c:v>59.295299999999997</c:v>
                </c:pt>
                <c:pt idx="164">
                  <c:v>59.261000000000003</c:v>
                </c:pt>
                <c:pt idx="165">
                  <c:v>59.226799999999997</c:v>
                </c:pt>
                <c:pt idx="166">
                  <c:v>59.192500000000003</c:v>
                </c:pt>
                <c:pt idx="167">
                  <c:v>59.158299999999997</c:v>
                </c:pt>
                <c:pt idx="168">
                  <c:v>59.124000000000002</c:v>
                </c:pt>
                <c:pt idx="169">
                  <c:v>59.089700000000001</c:v>
                </c:pt>
                <c:pt idx="170">
                  <c:v>59.055500000000002</c:v>
                </c:pt>
                <c:pt idx="171">
                  <c:v>59.0212</c:v>
                </c:pt>
                <c:pt idx="172">
                  <c:v>58.986899999999999</c:v>
                </c:pt>
                <c:pt idx="173">
                  <c:v>58.9527</c:v>
                </c:pt>
                <c:pt idx="174">
                  <c:v>58.918399999999998</c:v>
                </c:pt>
                <c:pt idx="175">
                  <c:v>58.8842</c:v>
                </c:pt>
                <c:pt idx="176">
                  <c:v>58.849899999999998</c:v>
                </c:pt>
                <c:pt idx="177">
                  <c:v>58.815600000000003</c:v>
                </c:pt>
                <c:pt idx="178">
                  <c:v>58.781399999999998</c:v>
                </c:pt>
                <c:pt idx="179">
                  <c:v>58.747100000000003</c:v>
                </c:pt>
                <c:pt idx="180">
                  <c:v>58.712899999999998</c:v>
                </c:pt>
                <c:pt idx="181">
                  <c:v>58.678600000000003</c:v>
                </c:pt>
                <c:pt idx="182">
                  <c:v>58.644300000000001</c:v>
                </c:pt>
                <c:pt idx="183">
                  <c:v>58.610100000000003</c:v>
                </c:pt>
                <c:pt idx="184">
                  <c:v>58.575800000000001</c:v>
                </c:pt>
                <c:pt idx="185">
                  <c:v>58.541499999999999</c:v>
                </c:pt>
                <c:pt idx="186">
                  <c:v>58.507300000000001</c:v>
                </c:pt>
                <c:pt idx="187">
                  <c:v>58.472999999999999</c:v>
                </c:pt>
                <c:pt idx="188">
                  <c:v>58.438800000000001</c:v>
                </c:pt>
                <c:pt idx="189">
                  <c:v>58.404499999999999</c:v>
                </c:pt>
                <c:pt idx="190">
                  <c:v>58.370199999999997</c:v>
                </c:pt>
                <c:pt idx="191">
                  <c:v>58.335999999999999</c:v>
                </c:pt>
                <c:pt idx="192">
                  <c:v>58.301699999999997</c:v>
                </c:pt>
                <c:pt idx="193">
                  <c:v>58.267499999999998</c:v>
                </c:pt>
                <c:pt idx="194">
                  <c:v>58.233199999999997</c:v>
                </c:pt>
                <c:pt idx="195">
                  <c:v>58.198900000000002</c:v>
                </c:pt>
                <c:pt idx="196">
                  <c:v>58.164700000000003</c:v>
                </c:pt>
                <c:pt idx="197">
                  <c:v>58.130400000000002</c:v>
                </c:pt>
                <c:pt idx="198">
                  <c:v>58.0961</c:v>
                </c:pt>
                <c:pt idx="199">
                  <c:v>58.061900000000001</c:v>
                </c:pt>
                <c:pt idx="200">
                  <c:v>58.0276</c:v>
                </c:pt>
                <c:pt idx="201">
                  <c:v>57.993400000000001</c:v>
                </c:pt>
                <c:pt idx="202">
                  <c:v>57.959099999999999</c:v>
                </c:pt>
                <c:pt idx="203">
                  <c:v>57.924799999999998</c:v>
                </c:pt>
                <c:pt idx="204">
                  <c:v>57.890599999999999</c:v>
                </c:pt>
                <c:pt idx="205">
                  <c:v>57.856299999999997</c:v>
                </c:pt>
                <c:pt idx="206">
                  <c:v>57.822099999999999</c:v>
                </c:pt>
                <c:pt idx="207">
                  <c:v>57.787799999999997</c:v>
                </c:pt>
                <c:pt idx="208">
                  <c:v>57.753500000000003</c:v>
                </c:pt>
                <c:pt idx="209">
                  <c:v>57.719299999999997</c:v>
                </c:pt>
                <c:pt idx="210">
                  <c:v>57.685000000000002</c:v>
                </c:pt>
                <c:pt idx="211">
                  <c:v>57.650700000000001</c:v>
                </c:pt>
                <c:pt idx="212">
                  <c:v>57.616500000000002</c:v>
                </c:pt>
                <c:pt idx="213">
                  <c:v>57.5822</c:v>
                </c:pt>
                <c:pt idx="214">
                  <c:v>57.548000000000002</c:v>
                </c:pt>
                <c:pt idx="215">
                  <c:v>57.5137</c:v>
                </c:pt>
                <c:pt idx="216">
                  <c:v>57.479399999999998</c:v>
                </c:pt>
                <c:pt idx="217">
                  <c:v>57.4452</c:v>
                </c:pt>
                <c:pt idx="218">
                  <c:v>57.410899999999998</c:v>
                </c:pt>
                <c:pt idx="219">
                  <c:v>57.3767</c:v>
                </c:pt>
                <c:pt idx="220">
                  <c:v>57.342399999999998</c:v>
                </c:pt>
                <c:pt idx="221">
                  <c:v>57.308100000000003</c:v>
                </c:pt>
                <c:pt idx="222">
                  <c:v>57.273899999999998</c:v>
                </c:pt>
                <c:pt idx="223">
                  <c:v>57.239600000000003</c:v>
                </c:pt>
                <c:pt idx="224">
                  <c:v>57.205300000000001</c:v>
                </c:pt>
                <c:pt idx="225">
                  <c:v>57.171100000000003</c:v>
                </c:pt>
                <c:pt idx="226">
                  <c:v>57.136800000000001</c:v>
                </c:pt>
                <c:pt idx="227">
                  <c:v>57.102600000000002</c:v>
                </c:pt>
                <c:pt idx="228">
                  <c:v>57.068300000000001</c:v>
                </c:pt>
                <c:pt idx="229">
                  <c:v>57.033999999999999</c:v>
                </c:pt>
                <c:pt idx="230">
                  <c:v>56.9998</c:v>
                </c:pt>
                <c:pt idx="231">
                  <c:v>56.965499999999999</c:v>
                </c:pt>
                <c:pt idx="232">
                  <c:v>56.9313</c:v>
                </c:pt>
                <c:pt idx="233">
                  <c:v>56.896999999999998</c:v>
                </c:pt>
                <c:pt idx="234">
                  <c:v>56.862699999999997</c:v>
                </c:pt>
                <c:pt idx="235">
                  <c:v>56.828499999999998</c:v>
                </c:pt>
                <c:pt idx="236">
                  <c:v>56.794199999999996</c:v>
                </c:pt>
                <c:pt idx="237">
                  <c:v>56.759900000000002</c:v>
                </c:pt>
                <c:pt idx="238">
                  <c:v>56.725700000000003</c:v>
                </c:pt>
                <c:pt idx="239">
                  <c:v>56.691400000000002</c:v>
                </c:pt>
                <c:pt idx="240">
                  <c:v>56.657200000000003</c:v>
                </c:pt>
                <c:pt idx="241">
                  <c:v>56.622900000000001</c:v>
                </c:pt>
                <c:pt idx="242">
                  <c:v>56.5886</c:v>
                </c:pt>
                <c:pt idx="243">
                  <c:v>56.554400000000001</c:v>
                </c:pt>
                <c:pt idx="244">
                  <c:v>56.520099999999999</c:v>
                </c:pt>
                <c:pt idx="245">
                  <c:v>56.485900000000001</c:v>
                </c:pt>
                <c:pt idx="246">
                  <c:v>56.451599999999999</c:v>
                </c:pt>
                <c:pt idx="247">
                  <c:v>56.417299999999997</c:v>
                </c:pt>
                <c:pt idx="248">
                  <c:v>56.383099999999999</c:v>
                </c:pt>
                <c:pt idx="249">
                  <c:v>56.348799999999997</c:v>
                </c:pt>
                <c:pt idx="250">
                  <c:v>56.314500000000002</c:v>
                </c:pt>
                <c:pt idx="251">
                  <c:v>56.280299999999997</c:v>
                </c:pt>
                <c:pt idx="252">
                  <c:v>56.246000000000002</c:v>
                </c:pt>
                <c:pt idx="253">
                  <c:v>56.211799999999997</c:v>
                </c:pt>
                <c:pt idx="254">
                  <c:v>56.177500000000002</c:v>
                </c:pt>
                <c:pt idx="255">
                  <c:v>56.1432</c:v>
                </c:pt>
                <c:pt idx="256">
                  <c:v>56.109000000000002</c:v>
                </c:pt>
                <c:pt idx="257">
                  <c:v>56.0747</c:v>
                </c:pt>
                <c:pt idx="258">
                  <c:v>56.040500000000002</c:v>
                </c:pt>
                <c:pt idx="259">
                  <c:v>56.0062</c:v>
                </c:pt>
                <c:pt idx="260">
                  <c:v>55.971899999999998</c:v>
                </c:pt>
                <c:pt idx="261">
                  <c:v>55.9377</c:v>
                </c:pt>
                <c:pt idx="262">
                  <c:v>55.903399999999998</c:v>
                </c:pt>
                <c:pt idx="263">
                  <c:v>55.869100000000003</c:v>
                </c:pt>
                <c:pt idx="264">
                  <c:v>55.834899999999998</c:v>
                </c:pt>
                <c:pt idx="265">
                  <c:v>55.800600000000003</c:v>
                </c:pt>
                <c:pt idx="266">
                  <c:v>55.766399999999997</c:v>
                </c:pt>
                <c:pt idx="267">
                  <c:v>55.732100000000003</c:v>
                </c:pt>
                <c:pt idx="268">
                  <c:v>55.697800000000001</c:v>
                </c:pt>
                <c:pt idx="269">
                  <c:v>55.663600000000002</c:v>
                </c:pt>
                <c:pt idx="270">
                  <c:v>55.629300000000001</c:v>
                </c:pt>
                <c:pt idx="271">
                  <c:v>55.595100000000002</c:v>
                </c:pt>
                <c:pt idx="272">
                  <c:v>55.5608</c:v>
                </c:pt>
                <c:pt idx="273">
                  <c:v>55.526499999999999</c:v>
                </c:pt>
                <c:pt idx="274">
                  <c:v>55.4923</c:v>
                </c:pt>
                <c:pt idx="275">
                  <c:v>55.457999999999998</c:v>
                </c:pt>
                <c:pt idx="276">
                  <c:v>55.423699999999997</c:v>
                </c:pt>
                <c:pt idx="277">
                  <c:v>55.389499999999998</c:v>
                </c:pt>
                <c:pt idx="278">
                  <c:v>55.355200000000004</c:v>
                </c:pt>
                <c:pt idx="279">
                  <c:v>55.320999999999998</c:v>
                </c:pt>
                <c:pt idx="280">
                  <c:v>55.286700000000003</c:v>
                </c:pt>
                <c:pt idx="281">
                  <c:v>55.252400000000002</c:v>
                </c:pt>
                <c:pt idx="282">
                  <c:v>55.218200000000003</c:v>
                </c:pt>
                <c:pt idx="283">
                  <c:v>55.183900000000001</c:v>
                </c:pt>
                <c:pt idx="284">
                  <c:v>55.149700000000003</c:v>
                </c:pt>
                <c:pt idx="285">
                  <c:v>55.115400000000001</c:v>
                </c:pt>
                <c:pt idx="286">
                  <c:v>55.081099999999999</c:v>
                </c:pt>
                <c:pt idx="287">
                  <c:v>55.046900000000001</c:v>
                </c:pt>
                <c:pt idx="288">
                  <c:v>55.012599999999999</c:v>
                </c:pt>
                <c:pt idx="289">
                  <c:v>54.978299999999997</c:v>
                </c:pt>
                <c:pt idx="290">
                  <c:v>54.944099999999999</c:v>
                </c:pt>
                <c:pt idx="291">
                  <c:v>54.909799999999997</c:v>
                </c:pt>
                <c:pt idx="292">
                  <c:v>54.875599999999999</c:v>
                </c:pt>
                <c:pt idx="293">
                  <c:v>54.841299999999997</c:v>
                </c:pt>
                <c:pt idx="294">
                  <c:v>54.807000000000002</c:v>
                </c:pt>
                <c:pt idx="295">
                  <c:v>54.772799999999997</c:v>
                </c:pt>
                <c:pt idx="296">
                  <c:v>54.738500000000002</c:v>
                </c:pt>
                <c:pt idx="297">
                  <c:v>54.704300000000003</c:v>
                </c:pt>
                <c:pt idx="298">
                  <c:v>54.67</c:v>
                </c:pt>
                <c:pt idx="299">
                  <c:v>54.6357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E11-574E-A2B6-2AAA874344DD}"/>
            </c:ext>
          </c:extLst>
        </c:ser>
        <c:ser>
          <c:idx val="1"/>
          <c:order val="1"/>
          <c:tx>
            <c:strRef>
              <c:f>Simulation!$D$1</c:f>
              <c:strCache>
                <c:ptCount val="1"/>
                <c:pt idx="0">
                  <c:v>P50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Simulation!$D$2:$D$301</c:f>
              <c:numCache>
                <c:formatCode>General</c:formatCode>
                <c:ptCount val="300"/>
                <c:pt idx="0">
                  <c:v>68.294700000000006</c:v>
                </c:pt>
                <c:pt idx="1">
                  <c:v>67.801400000000001</c:v>
                </c:pt>
                <c:pt idx="2">
                  <c:v>67.715999999999994</c:v>
                </c:pt>
                <c:pt idx="3">
                  <c:v>67.0428</c:v>
                </c:pt>
                <c:pt idx="4">
                  <c:v>66.609099999999998</c:v>
                </c:pt>
                <c:pt idx="5">
                  <c:v>66.600399999999993</c:v>
                </c:pt>
                <c:pt idx="6">
                  <c:v>66.359899999999996</c:v>
                </c:pt>
                <c:pt idx="7">
                  <c:v>66.120599999999996</c:v>
                </c:pt>
                <c:pt idx="8">
                  <c:v>65.930499999999995</c:v>
                </c:pt>
                <c:pt idx="9">
                  <c:v>65.783900000000003</c:v>
                </c:pt>
                <c:pt idx="10">
                  <c:v>65.383499999999998</c:v>
                </c:pt>
                <c:pt idx="11">
                  <c:v>65.496399999999994</c:v>
                </c:pt>
                <c:pt idx="12">
                  <c:v>65.425899999999999</c:v>
                </c:pt>
                <c:pt idx="13">
                  <c:v>65.316800000000001</c:v>
                </c:pt>
                <c:pt idx="14">
                  <c:v>65.312399999999997</c:v>
                </c:pt>
                <c:pt idx="15">
                  <c:v>65.4709</c:v>
                </c:pt>
                <c:pt idx="16">
                  <c:v>65.074100000000001</c:v>
                </c:pt>
                <c:pt idx="17">
                  <c:v>65.384500000000003</c:v>
                </c:pt>
                <c:pt idx="18">
                  <c:v>65.383700000000005</c:v>
                </c:pt>
                <c:pt idx="19">
                  <c:v>64.921000000000006</c:v>
                </c:pt>
                <c:pt idx="20">
                  <c:v>64.671899999999994</c:v>
                </c:pt>
                <c:pt idx="21">
                  <c:v>64.665899999999993</c:v>
                </c:pt>
                <c:pt idx="22">
                  <c:v>64.580600000000004</c:v>
                </c:pt>
                <c:pt idx="23">
                  <c:v>64.753</c:v>
                </c:pt>
                <c:pt idx="24">
                  <c:v>64.5184</c:v>
                </c:pt>
                <c:pt idx="25">
                  <c:v>63.940199999999997</c:v>
                </c:pt>
                <c:pt idx="26">
                  <c:v>64.051199999999994</c:v>
                </c:pt>
                <c:pt idx="27">
                  <c:v>63.356000000000002</c:v>
                </c:pt>
                <c:pt idx="28">
                  <c:v>63.492600000000003</c:v>
                </c:pt>
                <c:pt idx="29">
                  <c:v>63.8812</c:v>
                </c:pt>
                <c:pt idx="30">
                  <c:v>63.822800000000001</c:v>
                </c:pt>
                <c:pt idx="31">
                  <c:v>63.611600000000003</c:v>
                </c:pt>
                <c:pt idx="32">
                  <c:v>63.688200000000002</c:v>
                </c:pt>
                <c:pt idx="33">
                  <c:v>63.705100000000002</c:v>
                </c:pt>
                <c:pt idx="34">
                  <c:v>63.259900000000002</c:v>
                </c:pt>
                <c:pt idx="35">
                  <c:v>63.463799999999999</c:v>
                </c:pt>
                <c:pt idx="36">
                  <c:v>63.579099999999997</c:v>
                </c:pt>
                <c:pt idx="37">
                  <c:v>63.822000000000003</c:v>
                </c:pt>
                <c:pt idx="38">
                  <c:v>63.89</c:v>
                </c:pt>
                <c:pt idx="39">
                  <c:v>64.002600000000001</c:v>
                </c:pt>
                <c:pt idx="40">
                  <c:v>63.587200000000003</c:v>
                </c:pt>
                <c:pt idx="41">
                  <c:v>63.627299999999998</c:v>
                </c:pt>
                <c:pt idx="42">
                  <c:v>63.357300000000002</c:v>
                </c:pt>
                <c:pt idx="43">
                  <c:v>62.892000000000003</c:v>
                </c:pt>
                <c:pt idx="44">
                  <c:v>63.613100000000003</c:v>
                </c:pt>
                <c:pt idx="45">
                  <c:v>63.198</c:v>
                </c:pt>
                <c:pt idx="46">
                  <c:v>63.062399999999997</c:v>
                </c:pt>
                <c:pt idx="47">
                  <c:v>62.844999999999999</c:v>
                </c:pt>
                <c:pt idx="48">
                  <c:v>62.6145</c:v>
                </c:pt>
                <c:pt idx="49">
                  <c:v>63.1053</c:v>
                </c:pt>
                <c:pt idx="50">
                  <c:v>62.860199999999999</c:v>
                </c:pt>
                <c:pt idx="51">
                  <c:v>62.910299999999999</c:v>
                </c:pt>
                <c:pt idx="52">
                  <c:v>62.301600000000001</c:v>
                </c:pt>
                <c:pt idx="53">
                  <c:v>62.481200000000001</c:v>
                </c:pt>
                <c:pt idx="54">
                  <c:v>62.362000000000002</c:v>
                </c:pt>
                <c:pt idx="55">
                  <c:v>62.566400000000002</c:v>
                </c:pt>
                <c:pt idx="56">
                  <c:v>62.761299999999999</c:v>
                </c:pt>
                <c:pt idx="57">
                  <c:v>63.337400000000002</c:v>
                </c:pt>
                <c:pt idx="58">
                  <c:v>62.783299999999997</c:v>
                </c:pt>
                <c:pt idx="59">
                  <c:v>62.422600000000003</c:v>
                </c:pt>
                <c:pt idx="60">
                  <c:v>62.588099999999997</c:v>
                </c:pt>
                <c:pt idx="61">
                  <c:v>62.356499999999997</c:v>
                </c:pt>
                <c:pt idx="62">
                  <c:v>62.613300000000002</c:v>
                </c:pt>
                <c:pt idx="63">
                  <c:v>62.583500000000001</c:v>
                </c:pt>
                <c:pt idx="64">
                  <c:v>63.014600000000002</c:v>
                </c:pt>
                <c:pt idx="65">
                  <c:v>62.804200000000002</c:v>
                </c:pt>
                <c:pt idx="66">
                  <c:v>62.8996</c:v>
                </c:pt>
                <c:pt idx="67">
                  <c:v>62.928100000000001</c:v>
                </c:pt>
                <c:pt idx="68">
                  <c:v>62.620800000000003</c:v>
                </c:pt>
                <c:pt idx="69">
                  <c:v>62.820099999999996</c:v>
                </c:pt>
                <c:pt idx="70">
                  <c:v>63.287399999999998</c:v>
                </c:pt>
                <c:pt idx="71">
                  <c:v>63.168700000000001</c:v>
                </c:pt>
                <c:pt idx="72">
                  <c:v>62.891599999999997</c:v>
                </c:pt>
                <c:pt idx="73">
                  <c:v>62.721299999999999</c:v>
                </c:pt>
                <c:pt idx="74">
                  <c:v>62.930500000000002</c:v>
                </c:pt>
                <c:pt idx="75">
                  <c:v>62.6355</c:v>
                </c:pt>
                <c:pt idx="76">
                  <c:v>62.648899999999998</c:v>
                </c:pt>
                <c:pt idx="77">
                  <c:v>62.814100000000003</c:v>
                </c:pt>
                <c:pt idx="78">
                  <c:v>63.0745</c:v>
                </c:pt>
                <c:pt idx="79">
                  <c:v>62.987400000000001</c:v>
                </c:pt>
                <c:pt idx="80">
                  <c:v>62.477699999999999</c:v>
                </c:pt>
                <c:pt idx="81">
                  <c:v>62.520099999999999</c:v>
                </c:pt>
                <c:pt idx="82">
                  <c:v>62.274299999999997</c:v>
                </c:pt>
                <c:pt idx="83">
                  <c:v>62.398000000000003</c:v>
                </c:pt>
                <c:pt idx="84">
                  <c:v>62.176699999999997</c:v>
                </c:pt>
                <c:pt idx="85">
                  <c:v>62.078299999999999</c:v>
                </c:pt>
                <c:pt idx="86">
                  <c:v>61.882800000000003</c:v>
                </c:pt>
                <c:pt idx="87">
                  <c:v>61.758800000000001</c:v>
                </c:pt>
                <c:pt idx="88">
                  <c:v>62.489800000000002</c:v>
                </c:pt>
                <c:pt idx="89">
                  <c:v>62.011600000000001</c:v>
                </c:pt>
                <c:pt idx="90">
                  <c:v>61.820099999999996</c:v>
                </c:pt>
                <c:pt idx="91">
                  <c:v>61.529000000000003</c:v>
                </c:pt>
                <c:pt idx="92">
                  <c:v>61.644199999999998</c:v>
                </c:pt>
                <c:pt idx="93">
                  <c:v>61.483800000000002</c:v>
                </c:pt>
                <c:pt idx="94">
                  <c:v>61.343000000000004</c:v>
                </c:pt>
                <c:pt idx="95">
                  <c:v>60.9542</c:v>
                </c:pt>
                <c:pt idx="96">
                  <c:v>60.433999999999997</c:v>
                </c:pt>
                <c:pt idx="97">
                  <c:v>60.3001</c:v>
                </c:pt>
                <c:pt idx="98">
                  <c:v>60.472999999999999</c:v>
                </c:pt>
                <c:pt idx="99">
                  <c:v>60.869599999999998</c:v>
                </c:pt>
                <c:pt idx="100">
                  <c:v>60.967199999999998</c:v>
                </c:pt>
                <c:pt idx="101">
                  <c:v>60.7791</c:v>
                </c:pt>
                <c:pt idx="102">
                  <c:v>61.364400000000003</c:v>
                </c:pt>
                <c:pt idx="103">
                  <c:v>61.255400000000002</c:v>
                </c:pt>
                <c:pt idx="104">
                  <c:v>61.037399999999998</c:v>
                </c:pt>
                <c:pt idx="105">
                  <c:v>61.084000000000003</c:v>
                </c:pt>
                <c:pt idx="106">
                  <c:v>61.1586</c:v>
                </c:pt>
                <c:pt idx="107">
                  <c:v>61.577399999999997</c:v>
                </c:pt>
                <c:pt idx="108">
                  <c:v>61.240200000000002</c:v>
                </c:pt>
                <c:pt idx="109">
                  <c:v>61.502299999999998</c:v>
                </c:pt>
                <c:pt idx="110">
                  <c:v>60.835599999999999</c:v>
                </c:pt>
                <c:pt idx="111">
                  <c:v>61.0535</c:v>
                </c:pt>
                <c:pt idx="112">
                  <c:v>60.529499999999999</c:v>
                </c:pt>
                <c:pt idx="113">
                  <c:v>60.994</c:v>
                </c:pt>
                <c:pt idx="114">
                  <c:v>60.7776</c:v>
                </c:pt>
                <c:pt idx="115">
                  <c:v>60.989199999999997</c:v>
                </c:pt>
                <c:pt idx="116">
                  <c:v>60.859000000000002</c:v>
                </c:pt>
                <c:pt idx="117">
                  <c:v>60.968400000000003</c:v>
                </c:pt>
                <c:pt idx="118">
                  <c:v>60.726399999999998</c:v>
                </c:pt>
                <c:pt idx="119">
                  <c:v>60.670499999999997</c:v>
                </c:pt>
                <c:pt idx="120">
                  <c:v>61.146299999999997</c:v>
                </c:pt>
                <c:pt idx="121">
                  <c:v>61.206400000000002</c:v>
                </c:pt>
                <c:pt idx="122">
                  <c:v>61.753700000000002</c:v>
                </c:pt>
                <c:pt idx="123">
                  <c:v>61.686599999999999</c:v>
                </c:pt>
                <c:pt idx="124">
                  <c:v>60.947600000000001</c:v>
                </c:pt>
                <c:pt idx="125">
                  <c:v>60.886899999999997</c:v>
                </c:pt>
                <c:pt idx="126">
                  <c:v>60.445799999999998</c:v>
                </c:pt>
                <c:pt idx="127">
                  <c:v>60.150300000000001</c:v>
                </c:pt>
                <c:pt idx="128">
                  <c:v>60.156999999999996</c:v>
                </c:pt>
                <c:pt idx="129">
                  <c:v>60.278799999999997</c:v>
                </c:pt>
                <c:pt idx="130">
                  <c:v>59.587400000000002</c:v>
                </c:pt>
                <c:pt idx="131">
                  <c:v>59.313600000000001</c:v>
                </c:pt>
                <c:pt idx="132">
                  <c:v>59.377499999999998</c:v>
                </c:pt>
                <c:pt idx="133">
                  <c:v>59.407899999999998</c:v>
                </c:pt>
                <c:pt idx="134">
                  <c:v>59.741799999999998</c:v>
                </c:pt>
                <c:pt idx="135">
                  <c:v>59.462400000000002</c:v>
                </c:pt>
                <c:pt idx="136">
                  <c:v>59.789299999999997</c:v>
                </c:pt>
                <c:pt idx="137">
                  <c:v>59.872399999999999</c:v>
                </c:pt>
                <c:pt idx="138">
                  <c:v>59.916400000000003</c:v>
                </c:pt>
                <c:pt idx="139">
                  <c:v>60.414400000000001</c:v>
                </c:pt>
                <c:pt idx="140">
                  <c:v>60.186</c:v>
                </c:pt>
                <c:pt idx="141">
                  <c:v>60.031100000000002</c:v>
                </c:pt>
                <c:pt idx="142">
                  <c:v>60.125399999999999</c:v>
                </c:pt>
                <c:pt idx="143">
                  <c:v>59.919600000000003</c:v>
                </c:pt>
                <c:pt idx="144">
                  <c:v>59.594900000000003</c:v>
                </c:pt>
                <c:pt idx="145">
                  <c:v>59.667400000000001</c:v>
                </c:pt>
                <c:pt idx="146">
                  <c:v>59.491300000000003</c:v>
                </c:pt>
                <c:pt idx="147">
                  <c:v>59.798499999999997</c:v>
                </c:pt>
                <c:pt idx="148">
                  <c:v>60.2316</c:v>
                </c:pt>
                <c:pt idx="149">
                  <c:v>60.200200000000002</c:v>
                </c:pt>
                <c:pt idx="150">
                  <c:v>59.999000000000002</c:v>
                </c:pt>
                <c:pt idx="151">
                  <c:v>59.941400000000002</c:v>
                </c:pt>
                <c:pt idx="152">
                  <c:v>60.151600000000002</c:v>
                </c:pt>
                <c:pt idx="153">
                  <c:v>60.090600000000002</c:v>
                </c:pt>
                <c:pt idx="154">
                  <c:v>59.853000000000002</c:v>
                </c:pt>
                <c:pt idx="155">
                  <c:v>59.837600000000002</c:v>
                </c:pt>
                <c:pt idx="156">
                  <c:v>59.904000000000003</c:v>
                </c:pt>
                <c:pt idx="157">
                  <c:v>60.064399999999999</c:v>
                </c:pt>
                <c:pt idx="158">
                  <c:v>60.2468</c:v>
                </c:pt>
                <c:pt idx="159">
                  <c:v>59.739600000000003</c:v>
                </c:pt>
                <c:pt idx="160">
                  <c:v>59.525199999999998</c:v>
                </c:pt>
                <c:pt idx="161">
                  <c:v>59.8279</c:v>
                </c:pt>
                <c:pt idx="162">
                  <c:v>59.814599999999999</c:v>
                </c:pt>
                <c:pt idx="163">
                  <c:v>59.204599999999999</c:v>
                </c:pt>
                <c:pt idx="164">
                  <c:v>59.776600000000002</c:v>
                </c:pt>
                <c:pt idx="165">
                  <c:v>59.235399999999998</c:v>
                </c:pt>
                <c:pt idx="166">
                  <c:v>59.460599999999999</c:v>
                </c:pt>
                <c:pt idx="167">
                  <c:v>59.320799999999998</c:v>
                </c:pt>
                <c:pt idx="168">
                  <c:v>59.476599999999998</c:v>
                </c:pt>
                <c:pt idx="169">
                  <c:v>59.312100000000001</c:v>
                </c:pt>
                <c:pt idx="170">
                  <c:v>59.968200000000003</c:v>
                </c:pt>
                <c:pt idx="171">
                  <c:v>59.154899999999998</c:v>
                </c:pt>
                <c:pt idx="172">
                  <c:v>59.2273</c:v>
                </c:pt>
                <c:pt idx="173">
                  <c:v>58.9161</c:v>
                </c:pt>
                <c:pt idx="174">
                  <c:v>58.901699999999998</c:v>
                </c:pt>
                <c:pt idx="175">
                  <c:v>58.7956</c:v>
                </c:pt>
                <c:pt idx="176">
                  <c:v>58.636499999999998</c:v>
                </c:pt>
                <c:pt idx="177">
                  <c:v>58.411799999999999</c:v>
                </c:pt>
                <c:pt idx="178">
                  <c:v>59.124600000000001</c:v>
                </c:pt>
                <c:pt idx="179">
                  <c:v>58.524299999999997</c:v>
                </c:pt>
                <c:pt idx="180">
                  <c:v>58.806399999999996</c:v>
                </c:pt>
                <c:pt idx="181">
                  <c:v>58.637</c:v>
                </c:pt>
                <c:pt idx="182">
                  <c:v>58.421100000000003</c:v>
                </c:pt>
                <c:pt idx="183">
                  <c:v>58.748800000000003</c:v>
                </c:pt>
                <c:pt idx="184">
                  <c:v>58.416600000000003</c:v>
                </c:pt>
                <c:pt idx="185">
                  <c:v>58.813800000000001</c:v>
                </c:pt>
                <c:pt idx="186">
                  <c:v>59.0899</c:v>
                </c:pt>
                <c:pt idx="187">
                  <c:v>59.006</c:v>
                </c:pt>
                <c:pt idx="188">
                  <c:v>59.099899999999998</c:v>
                </c:pt>
                <c:pt idx="189">
                  <c:v>58.677100000000003</c:v>
                </c:pt>
                <c:pt idx="190">
                  <c:v>58.001899999999999</c:v>
                </c:pt>
                <c:pt idx="191">
                  <c:v>58.121000000000002</c:v>
                </c:pt>
                <c:pt idx="192">
                  <c:v>58.175899999999999</c:v>
                </c:pt>
                <c:pt idx="193">
                  <c:v>58.313699999999997</c:v>
                </c:pt>
                <c:pt idx="194">
                  <c:v>58.316499999999998</c:v>
                </c:pt>
                <c:pt idx="195">
                  <c:v>59.061999999999998</c:v>
                </c:pt>
                <c:pt idx="196">
                  <c:v>58.623699999999999</c:v>
                </c:pt>
                <c:pt idx="197">
                  <c:v>58.728400000000001</c:v>
                </c:pt>
                <c:pt idx="198">
                  <c:v>58.811399999999999</c:v>
                </c:pt>
                <c:pt idx="199">
                  <c:v>58.820300000000003</c:v>
                </c:pt>
                <c:pt idx="200">
                  <c:v>59.194299999999998</c:v>
                </c:pt>
                <c:pt idx="201">
                  <c:v>58.099200000000003</c:v>
                </c:pt>
                <c:pt idx="202">
                  <c:v>57.761600000000001</c:v>
                </c:pt>
                <c:pt idx="203">
                  <c:v>58.112400000000001</c:v>
                </c:pt>
                <c:pt idx="204">
                  <c:v>58.2211</c:v>
                </c:pt>
                <c:pt idx="205">
                  <c:v>57.723199999999999</c:v>
                </c:pt>
                <c:pt idx="206">
                  <c:v>57.688400000000001</c:v>
                </c:pt>
                <c:pt idx="207">
                  <c:v>57.740200000000002</c:v>
                </c:pt>
                <c:pt idx="208">
                  <c:v>57.661700000000003</c:v>
                </c:pt>
                <c:pt idx="209">
                  <c:v>57.849299999999999</c:v>
                </c:pt>
                <c:pt idx="210">
                  <c:v>57.866100000000003</c:v>
                </c:pt>
                <c:pt idx="211">
                  <c:v>57.361600000000003</c:v>
                </c:pt>
                <c:pt idx="212">
                  <c:v>57.889800000000001</c:v>
                </c:pt>
                <c:pt idx="213">
                  <c:v>57.627899999999997</c:v>
                </c:pt>
                <c:pt idx="214">
                  <c:v>57.475099999999998</c:v>
                </c:pt>
                <c:pt idx="215">
                  <c:v>57.366199999999999</c:v>
                </c:pt>
                <c:pt idx="216">
                  <c:v>57.380899999999997</c:v>
                </c:pt>
                <c:pt idx="217">
                  <c:v>57.518000000000001</c:v>
                </c:pt>
                <c:pt idx="218">
                  <c:v>57.335099999999997</c:v>
                </c:pt>
                <c:pt idx="219">
                  <c:v>57.778300000000002</c:v>
                </c:pt>
                <c:pt idx="220">
                  <c:v>57.755600000000001</c:v>
                </c:pt>
                <c:pt idx="221">
                  <c:v>57.5916</c:v>
                </c:pt>
                <c:pt idx="222">
                  <c:v>57.982799999999997</c:v>
                </c:pt>
                <c:pt idx="223">
                  <c:v>58.2971</c:v>
                </c:pt>
                <c:pt idx="224">
                  <c:v>58.331000000000003</c:v>
                </c:pt>
                <c:pt idx="225">
                  <c:v>58.040999999999997</c:v>
                </c:pt>
                <c:pt idx="226">
                  <c:v>57.454799999999999</c:v>
                </c:pt>
                <c:pt idx="227">
                  <c:v>57.5411</c:v>
                </c:pt>
                <c:pt idx="228">
                  <c:v>57.635800000000003</c:v>
                </c:pt>
                <c:pt idx="229">
                  <c:v>57.844799999999999</c:v>
                </c:pt>
                <c:pt idx="230">
                  <c:v>57.862699999999997</c:v>
                </c:pt>
                <c:pt idx="231">
                  <c:v>57.587800000000001</c:v>
                </c:pt>
                <c:pt idx="232">
                  <c:v>57.799300000000002</c:v>
                </c:pt>
                <c:pt idx="233">
                  <c:v>57.183799999999998</c:v>
                </c:pt>
                <c:pt idx="234">
                  <c:v>57.244700000000002</c:v>
                </c:pt>
                <c:pt idx="235">
                  <c:v>57.238900000000001</c:v>
                </c:pt>
                <c:pt idx="236">
                  <c:v>57.369300000000003</c:v>
                </c:pt>
                <c:pt idx="237">
                  <c:v>57.975200000000001</c:v>
                </c:pt>
                <c:pt idx="238">
                  <c:v>57.563200000000002</c:v>
                </c:pt>
                <c:pt idx="239">
                  <c:v>57.431699999999999</c:v>
                </c:pt>
                <c:pt idx="240">
                  <c:v>57.059800000000003</c:v>
                </c:pt>
                <c:pt idx="241">
                  <c:v>57.019500000000001</c:v>
                </c:pt>
                <c:pt idx="242">
                  <c:v>57.063699999999997</c:v>
                </c:pt>
                <c:pt idx="243">
                  <c:v>57.352400000000003</c:v>
                </c:pt>
                <c:pt idx="244">
                  <c:v>57.4925</c:v>
                </c:pt>
                <c:pt idx="245">
                  <c:v>56.979799999999997</c:v>
                </c:pt>
                <c:pt idx="246">
                  <c:v>57.054400000000001</c:v>
                </c:pt>
                <c:pt idx="247">
                  <c:v>56.621000000000002</c:v>
                </c:pt>
                <c:pt idx="248">
                  <c:v>56.545400000000001</c:v>
                </c:pt>
                <c:pt idx="249">
                  <c:v>56.317799999999998</c:v>
                </c:pt>
                <c:pt idx="250">
                  <c:v>56.343299999999999</c:v>
                </c:pt>
                <c:pt idx="251">
                  <c:v>56.133899999999997</c:v>
                </c:pt>
                <c:pt idx="252">
                  <c:v>56.307299999999998</c:v>
                </c:pt>
                <c:pt idx="253">
                  <c:v>56.3294</c:v>
                </c:pt>
                <c:pt idx="254">
                  <c:v>56.040100000000002</c:v>
                </c:pt>
                <c:pt idx="255">
                  <c:v>55.600900000000003</c:v>
                </c:pt>
                <c:pt idx="256">
                  <c:v>55.866799999999998</c:v>
                </c:pt>
                <c:pt idx="257">
                  <c:v>56.117699999999999</c:v>
                </c:pt>
                <c:pt idx="258">
                  <c:v>56.387900000000002</c:v>
                </c:pt>
                <c:pt idx="259">
                  <c:v>56.37</c:v>
                </c:pt>
                <c:pt idx="260">
                  <c:v>56.283799999999999</c:v>
                </c:pt>
                <c:pt idx="261">
                  <c:v>56.153399999999998</c:v>
                </c:pt>
                <c:pt idx="262">
                  <c:v>55.9422</c:v>
                </c:pt>
                <c:pt idx="263">
                  <c:v>56.049100000000003</c:v>
                </c:pt>
                <c:pt idx="264">
                  <c:v>56.027000000000001</c:v>
                </c:pt>
                <c:pt idx="265">
                  <c:v>56.292099999999998</c:v>
                </c:pt>
                <c:pt idx="266">
                  <c:v>56.020099999999999</c:v>
                </c:pt>
                <c:pt idx="267">
                  <c:v>55.575099999999999</c:v>
                </c:pt>
                <c:pt idx="268">
                  <c:v>55.430799999999998</c:v>
                </c:pt>
                <c:pt idx="269">
                  <c:v>55.918999999999997</c:v>
                </c:pt>
                <c:pt idx="270">
                  <c:v>55.1798</c:v>
                </c:pt>
                <c:pt idx="271">
                  <c:v>55.441099999999999</c:v>
                </c:pt>
                <c:pt idx="272">
                  <c:v>55.448999999999998</c:v>
                </c:pt>
                <c:pt idx="273">
                  <c:v>54.765999999999998</c:v>
                </c:pt>
                <c:pt idx="274">
                  <c:v>54.488</c:v>
                </c:pt>
                <c:pt idx="275">
                  <c:v>54.8748</c:v>
                </c:pt>
                <c:pt idx="276">
                  <c:v>54.854999999999997</c:v>
                </c:pt>
                <c:pt idx="277">
                  <c:v>54.994700000000002</c:v>
                </c:pt>
                <c:pt idx="278">
                  <c:v>55.0124</c:v>
                </c:pt>
                <c:pt idx="279">
                  <c:v>55.299900000000001</c:v>
                </c:pt>
                <c:pt idx="280">
                  <c:v>55.047499999999999</c:v>
                </c:pt>
                <c:pt idx="281">
                  <c:v>54.958300000000001</c:v>
                </c:pt>
                <c:pt idx="282">
                  <c:v>55.636099999999999</c:v>
                </c:pt>
                <c:pt idx="283">
                  <c:v>55.528500000000001</c:v>
                </c:pt>
                <c:pt idx="284">
                  <c:v>55.348599999999998</c:v>
                </c:pt>
                <c:pt idx="285">
                  <c:v>54.8767</c:v>
                </c:pt>
                <c:pt idx="286">
                  <c:v>54.9223</c:v>
                </c:pt>
                <c:pt idx="287">
                  <c:v>55.137</c:v>
                </c:pt>
                <c:pt idx="288">
                  <c:v>55.7804</c:v>
                </c:pt>
                <c:pt idx="289">
                  <c:v>55.0518</c:v>
                </c:pt>
                <c:pt idx="290">
                  <c:v>55.185499999999998</c:v>
                </c:pt>
                <c:pt idx="291">
                  <c:v>55.273200000000003</c:v>
                </c:pt>
                <c:pt idx="292">
                  <c:v>54.8977</c:v>
                </c:pt>
                <c:pt idx="293">
                  <c:v>55.2318</c:v>
                </c:pt>
                <c:pt idx="294">
                  <c:v>55.400799999999997</c:v>
                </c:pt>
                <c:pt idx="295">
                  <c:v>55.449399999999997</c:v>
                </c:pt>
                <c:pt idx="296">
                  <c:v>55.0685</c:v>
                </c:pt>
                <c:pt idx="297">
                  <c:v>55.167099999999998</c:v>
                </c:pt>
                <c:pt idx="298">
                  <c:v>55.203600000000002</c:v>
                </c:pt>
                <c:pt idx="299">
                  <c:v>54.787700000000001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E11-574E-A2B6-2AAA874344DD}"/>
            </c:ext>
          </c:extLst>
        </c:ser>
        <c:ser>
          <c:idx val="2"/>
          <c:order val="2"/>
          <c:tx>
            <c:strRef>
              <c:f>Simulation!$F$1</c:f>
              <c:strCache>
                <c:ptCount val="1"/>
                <c:pt idx="0">
                  <c:v>P90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Simulation!$F$2:$F$301</c:f>
              <c:numCache>
                <c:formatCode>General</c:formatCode>
                <c:ptCount val="300"/>
                <c:pt idx="0">
                  <c:v>68.294700000000006</c:v>
                </c:pt>
                <c:pt idx="1">
                  <c:v>88.792000000000002</c:v>
                </c:pt>
                <c:pt idx="2">
                  <c:v>95.421899999999994</c:v>
                </c:pt>
                <c:pt idx="3">
                  <c:v>99.405100000000004</c:v>
                </c:pt>
                <c:pt idx="4">
                  <c:v>101.8293</c:v>
                </c:pt>
                <c:pt idx="5">
                  <c:v>103.20610000000001</c:v>
                </c:pt>
                <c:pt idx="6">
                  <c:v>104.5352</c:v>
                </c:pt>
                <c:pt idx="7">
                  <c:v>105.3618</c:v>
                </c:pt>
                <c:pt idx="8">
                  <c:v>106.68219999999999</c:v>
                </c:pt>
                <c:pt idx="9">
                  <c:v>106.2259</c:v>
                </c:pt>
                <c:pt idx="10">
                  <c:v>106.8023</c:v>
                </c:pt>
                <c:pt idx="11">
                  <c:v>107.48390000000001</c:v>
                </c:pt>
                <c:pt idx="12">
                  <c:v>107.7007</c:v>
                </c:pt>
                <c:pt idx="13">
                  <c:v>107.16670000000001</c:v>
                </c:pt>
                <c:pt idx="14">
                  <c:v>106.9542</c:v>
                </c:pt>
                <c:pt idx="15">
                  <c:v>107.1016</c:v>
                </c:pt>
                <c:pt idx="16">
                  <c:v>106.71169999999999</c:v>
                </c:pt>
                <c:pt idx="17">
                  <c:v>106.69750000000001</c:v>
                </c:pt>
                <c:pt idx="18">
                  <c:v>107.0715</c:v>
                </c:pt>
                <c:pt idx="19">
                  <c:v>106.3661</c:v>
                </c:pt>
                <c:pt idx="20">
                  <c:v>106.0552</c:v>
                </c:pt>
                <c:pt idx="21">
                  <c:v>106.54049999999999</c:v>
                </c:pt>
                <c:pt idx="22">
                  <c:v>106.2385</c:v>
                </c:pt>
                <c:pt idx="23">
                  <c:v>107.02119999999999</c:v>
                </c:pt>
                <c:pt idx="24">
                  <c:v>106.5809</c:v>
                </c:pt>
                <c:pt idx="25">
                  <c:v>106.9217</c:v>
                </c:pt>
                <c:pt idx="26">
                  <c:v>106.31789999999999</c:v>
                </c:pt>
                <c:pt idx="27">
                  <c:v>106.5489</c:v>
                </c:pt>
                <c:pt idx="28">
                  <c:v>107.00709999999999</c:v>
                </c:pt>
                <c:pt idx="29">
                  <c:v>106.4804</c:v>
                </c:pt>
                <c:pt idx="30">
                  <c:v>106.7461</c:v>
                </c:pt>
                <c:pt idx="31">
                  <c:v>106.28489999999999</c:v>
                </c:pt>
                <c:pt idx="32">
                  <c:v>105.93040000000001</c:v>
                </c:pt>
                <c:pt idx="33">
                  <c:v>106.3858</c:v>
                </c:pt>
                <c:pt idx="34">
                  <c:v>106.3125</c:v>
                </c:pt>
                <c:pt idx="35">
                  <c:v>106.08240000000001</c:v>
                </c:pt>
                <c:pt idx="36">
                  <c:v>106.5273</c:v>
                </c:pt>
                <c:pt idx="37">
                  <c:v>106.0641</c:v>
                </c:pt>
                <c:pt idx="38">
                  <c:v>106.3878</c:v>
                </c:pt>
                <c:pt idx="39">
                  <c:v>107.0149</c:v>
                </c:pt>
                <c:pt idx="40">
                  <c:v>106.5256</c:v>
                </c:pt>
                <c:pt idx="41">
                  <c:v>105.9055</c:v>
                </c:pt>
                <c:pt idx="42">
                  <c:v>105.6174</c:v>
                </c:pt>
                <c:pt idx="43">
                  <c:v>106.7486</c:v>
                </c:pt>
                <c:pt idx="44">
                  <c:v>106.6917</c:v>
                </c:pt>
                <c:pt idx="45">
                  <c:v>105.99630000000001</c:v>
                </c:pt>
                <c:pt idx="46">
                  <c:v>106.3837</c:v>
                </c:pt>
                <c:pt idx="47">
                  <c:v>105.53789999999999</c:v>
                </c:pt>
                <c:pt idx="48">
                  <c:v>105.8738</c:v>
                </c:pt>
                <c:pt idx="49">
                  <c:v>105.42019999999999</c:v>
                </c:pt>
                <c:pt idx="50">
                  <c:v>105.9263</c:v>
                </c:pt>
                <c:pt idx="51">
                  <c:v>105.9239</c:v>
                </c:pt>
                <c:pt idx="52">
                  <c:v>107.0939</c:v>
                </c:pt>
                <c:pt idx="53">
                  <c:v>106.59399999999999</c:v>
                </c:pt>
                <c:pt idx="54">
                  <c:v>106.0158</c:v>
                </c:pt>
                <c:pt idx="55">
                  <c:v>105.8965</c:v>
                </c:pt>
                <c:pt idx="56">
                  <c:v>105.88639999999999</c:v>
                </c:pt>
                <c:pt idx="57">
                  <c:v>105.34910000000001</c:v>
                </c:pt>
                <c:pt idx="58">
                  <c:v>105.0819</c:v>
                </c:pt>
                <c:pt idx="59">
                  <c:v>104.7962</c:v>
                </c:pt>
                <c:pt idx="60">
                  <c:v>104.6194</c:v>
                </c:pt>
                <c:pt idx="61">
                  <c:v>104.5851</c:v>
                </c:pt>
                <c:pt idx="62">
                  <c:v>104.42870000000001</c:v>
                </c:pt>
                <c:pt idx="63">
                  <c:v>105.0498</c:v>
                </c:pt>
                <c:pt idx="64">
                  <c:v>105.01730000000001</c:v>
                </c:pt>
                <c:pt idx="65">
                  <c:v>104.7948</c:v>
                </c:pt>
                <c:pt idx="66">
                  <c:v>105.1039</c:v>
                </c:pt>
                <c:pt idx="67">
                  <c:v>104.6435</c:v>
                </c:pt>
                <c:pt idx="68">
                  <c:v>105.58459999999999</c:v>
                </c:pt>
                <c:pt idx="69">
                  <c:v>105.0303</c:v>
                </c:pt>
                <c:pt idx="70">
                  <c:v>104.81950000000001</c:v>
                </c:pt>
                <c:pt idx="71">
                  <c:v>104.794</c:v>
                </c:pt>
                <c:pt idx="72">
                  <c:v>104.23560000000001</c:v>
                </c:pt>
                <c:pt idx="73">
                  <c:v>105.1266</c:v>
                </c:pt>
                <c:pt idx="74">
                  <c:v>104.3575</c:v>
                </c:pt>
                <c:pt idx="75">
                  <c:v>104.0579</c:v>
                </c:pt>
                <c:pt idx="76">
                  <c:v>104.74509999999999</c:v>
                </c:pt>
                <c:pt idx="77">
                  <c:v>105.3045</c:v>
                </c:pt>
                <c:pt idx="78">
                  <c:v>104.739</c:v>
                </c:pt>
                <c:pt idx="79">
                  <c:v>104.8005</c:v>
                </c:pt>
                <c:pt idx="80">
                  <c:v>105.56</c:v>
                </c:pt>
                <c:pt idx="81">
                  <c:v>105.27549999999999</c:v>
                </c:pt>
                <c:pt idx="82">
                  <c:v>105.35850000000001</c:v>
                </c:pt>
                <c:pt idx="83">
                  <c:v>104.9301</c:v>
                </c:pt>
                <c:pt idx="84">
                  <c:v>104.19370000000001</c:v>
                </c:pt>
                <c:pt idx="85">
                  <c:v>104.4503</c:v>
                </c:pt>
                <c:pt idx="86">
                  <c:v>104.4059</c:v>
                </c:pt>
                <c:pt idx="87">
                  <c:v>104.6636</c:v>
                </c:pt>
                <c:pt idx="88">
                  <c:v>103.9323</c:v>
                </c:pt>
                <c:pt idx="89">
                  <c:v>104.3646</c:v>
                </c:pt>
                <c:pt idx="90">
                  <c:v>104.11669999999999</c:v>
                </c:pt>
                <c:pt idx="91">
                  <c:v>103.1152</c:v>
                </c:pt>
                <c:pt idx="92">
                  <c:v>103.5711</c:v>
                </c:pt>
                <c:pt idx="93">
                  <c:v>103.7415</c:v>
                </c:pt>
                <c:pt idx="94">
                  <c:v>103.0638</c:v>
                </c:pt>
                <c:pt idx="95">
                  <c:v>103.24379999999999</c:v>
                </c:pt>
                <c:pt idx="96">
                  <c:v>103.4725</c:v>
                </c:pt>
                <c:pt idx="97">
                  <c:v>104.0874</c:v>
                </c:pt>
                <c:pt idx="98">
                  <c:v>103.7557</c:v>
                </c:pt>
                <c:pt idx="99">
                  <c:v>103.3719</c:v>
                </c:pt>
                <c:pt idx="100">
                  <c:v>102.8931</c:v>
                </c:pt>
                <c:pt idx="101">
                  <c:v>103.48</c:v>
                </c:pt>
                <c:pt idx="102">
                  <c:v>103.4362</c:v>
                </c:pt>
                <c:pt idx="103">
                  <c:v>103.6602</c:v>
                </c:pt>
                <c:pt idx="104">
                  <c:v>103.876</c:v>
                </c:pt>
                <c:pt idx="105">
                  <c:v>103.3539</c:v>
                </c:pt>
                <c:pt idx="106">
                  <c:v>104.0643</c:v>
                </c:pt>
                <c:pt idx="107">
                  <c:v>103.729</c:v>
                </c:pt>
                <c:pt idx="108">
                  <c:v>103.124</c:v>
                </c:pt>
                <c:pt idx="109">
                  <c:v>104.1474</c:v>
                </c:pt>
                <c:pt idx="110">
                  <c:v>103.8365</c:v>
                </c:pt>
                <c:pt idx="111">
                  <c:v>103.62779999999999</c:v>
                </c:pt>
                <c:pt idx="112">
                  <c:v>103.6986</c:v>
                </c:pt>
                <c:pt idx="113">
                  <c:v>104.1523</c:v>
                </c:pt>
                <c:pt idx="114">
                  <c:v>103.7169</c:v>
                </c:pt>
                <c:pt idx="115">
                  <c:v>102.9686</c:v>
                </c:pt>
                <c:pt idx="116">
                  <c:v>104.0425</c:v>
                </c:pt>
                <c:pt idx="117">
                  <c:v>103.405</c:v>
                </c:pt>
                <c:pt idx="118">
                  <c:v>104.0852</c:v>
                </c:pt>
                <c:pt idx="119">
                  <c:v>102.6712</c:v>
                </c:pt>
                <c:pt idx="120">
                  <c:v>102.8569</c:v>
                </c:pt>
                <c:pt idx="121">
                  <c:v>103.6764</c:v>
                </c:pt>
                <c:pt idx="122">
                  <c:v>102.9127</c:v>
                </c:pt>
                <c:pt idx="123">
                  <c:v>103.0419</c:v>
                </c:pt>
                <c:pt idx="124">
                  <c:v>102.3314</c:v>
                </c:pt>
                <c:pt idx="125">
                  <c:v>102.20659999999999</c:v>
                </c:pt>
                <c:pt idx="126">
                  <c:v>102.40049999999999</c:v>
                </c:pt>
                <c:pt idx="127">
                  <c:v>103.4308</c:v>
                </c:pt>
                <c:pt idx="128">
                  <c:v>102.1999</c:v>
                </c:pt>
                <c:pt idx="129">
                  <c:v>102.2739</c:v>
                </c:pt>
                <c:pt idx="130">
                  <c:v>102.51300000000001</c:v>
                </c:pt>
                <c:pt idx="131">
                  <c:v>102.4083</c:v>
                </c:pt>
                <c:pt idx="132">
                  <c:v>103.0194</c:v>
                </c:pt>
                <c:pt idx="133">
                  <c:v>102.6127</c:v>
                </c:pt>
                <c:pt idx="134">
                  <c:v>103.1204</c:v>
                </c:pt>
                <c:pt idx="135">
                  <c:v>102.2724</c:v>
                </c:pt>
                <c:pt idx="136">
                  <c:v>102.1324</c:v>
                </c:pt>
                <c:pt idx="137">
                  <c:v>102.39409999999999</c:v>
                </c:pt>
                <c:pt idx="138">
                  <c:v>101.65049999999999</c:v>
                </c:pt>
                <c:pt idx="139">
                  <c:v>101.8997</c:v>
                </c:pt>
                <c:pt idx="140">
                  <c:v>102.251</c:v>
                </c:pt>
                <c:pt idx="141">
                  <c:v>102.3168</c:v>
                </c:pt>
                <c:pt idx="142">
                  <c:v>103.2574</c:v>
                </c:pt>
                <c:pt idx="143">
                  <c:v>102.6332</c:v>
                </c:pt>
                <c:pt idx="144">
                  <c:v>102.9134</c:v>
                </c:pt>
                <c:pt idx="145">
                  <c:v>102.5651</c:v>
                </c:pt>
                <c:pt idx="146">
                  <c:v>102.9928</c:v>
                </c:pt>
                <c:pt idx="147">
                  <c:v>102.6515</c:v>
                </c:pt>
                <c:pt idx="148">
                  <c:v>101.60129999999999</c:v>
                </c:pt>
                <c:pt idx="149">
                  <c:v>102.0462</c:v>
                </c:pt>
                <c:pt idx="150">
                  <c:v>102.43300000000001</c:v>
                </c:pt>
                <c:pt idx="151">
                  <c:v>101.99169999999999</c:v>
                </c:pt>
                <c:pt idx="152">
                  <c:v>101.5997</c:v>
                </c:pt>
                <c:pt idx="153">
                  <c:v>101.5175</c:v>
                </c:pt>
                <c:pt idx="154">
                  <c:v>101.81180000000001</c:v>
                </c:pt>
                <c:pt idx="155">
                  <c:v>101.7285</c:v>
                </c:pt>
                <c:pt idx="156">
                  <c:v>101.84310000000001</c:v>
                </c:pt>
                <c:pt idx="157">
                  <c:v>102.3386</c:v>
                </c:pt>
                <c:pt idx="158">
                  <c:v>102.0985</c:v>
                </c:pt>
                <c:pt idx="159">
                  <c:v>102.76649999999999</c:v>
                </c:pt>
                <c:pt idx="160">
                  <c:v>102.9953</c:v>
                </c:pt>
                <c:pt idx="161">
                  <c:v>102.5698</c:v>
                </c:pt>
                <c:pt idx="162">
                  <c:v>101.4092</c:v>
                </c:pt>
                <c:pt idx="163">
                  <c:v>102.29349999999999</c:v>
                </c:pt>
                <c:pt idx="164">
                  <c:v>102.44159999999999</c:v>
                </c:pt>
                <c:pt idx="165">
                  <c:v>102.24160000000001</c:v>
                </c:pt>
                <c:pt idx="166">
                  <c:v>102.7966</c:v>
                </c:pt>
                <c:pt idx="167">
                  <c:v>102.2007</c:v>
                </c:pt>
                <c:pt idx="168">
                  <c:v>101.8429</c:v>
                </c:pt>
                <c:pt idx="169">
                  <c:v>101.6437</c:v>
                </c:pt>
                <c:pt idx="170">
                  <c:v>101.09010000000001</c:v>
                </c:pt>
                <c:pt idx="171">
                  <c:v>101.45059999999999</c:v>
                </c:pt>
                <c:pt idx="172">
                  <c:v>101.36409999999999</c:v>
                </c:pt>
                <c:pt idx="173">
                  <c:v>101.1601</c:v>
                </c:pt>
                <c:pt idx="174">
                  <c:v>101.69970000000001</c:v>
                </c:pt>
                <c:pt idx="175">
                  <c:v>101.75579999999999</c:v>
                </c:pt>
                <c:pt idx="176">
                  <c:v>101.642</c:v>
                </c:pt>
                <c:pt idx="177">
                  <c:v>101.24079999999999</c:v>
                </c:pt>
                <c:pt idx="178">
                  <c:v>101.84010000000001</c:v>
                </c:pt>
                <c:pt idx="179">
                  <c:v>102.12479999999999</c:v>
                </c:pt>
                <c:pt idx="180">
                  <c:v>102.17870000000001</c:v>
                </c:pt>
                <c:pt idx="181">
                  <c:v>101.43729999999999</c:v>
                </c:pt>
                <c:pt idx="182">
                  <c:v>101.8087</c:v>
                </c:pt>
                <c:pt idx="183">
                  <c:v>101.7594</c:v>
                </c:pt>
                <c:pt idx="184">
                  <c:v>100.8886</c:v>
                </c:pt>
                <c:pt idx="185">
                  <c:v>101.7694</c:v>
                </c:pt>
                <c:pt idx="186">
                  <c:v>101.6969</c:v>
                </c:pt>
                <c:pt idx="187">
                  <c:v>100.7578</c:v>
                </c:pt>
                <c:pt idx="188">
                  <c:v>100.8995</c:v>
                </c:pt>
                <c:pt idx="189">
                  <c:v>101.2963</c:v>
                </c:pt>
                <c:pt idx="190">
                  <c:v>101.434</c:v>
                </c:pt>
                <c:pt idx="191">
                  <c:v>101.25190000000001</c:v>
                </c:pt>
                <c:pt idx="192">
                  <c:v>101.35380000000001</c:v>
                </c:pt>
                <c:pt idx="193">
                  <c:v>101.0924</c:v>
                </c:pt>
                <c:pt idx="194">
                  <c:v>100.7328</c:v>
                </c:pt>
                <c:pt idx="195">
                  <c:v>101.4028</c:v>
                </c:pt>
                <c:pt idx="196">
                  <c:v>100.315</c:v>
                </c:pt>
                <c:pt idx="197">
                  <c:v>100.7097</c:v>
                </c:pt>
                <c:pt idx="198">
                  <c:v>99.936599999999999</c:v>
                </c:pt>
                <c:pt idx="199">
                  <c:v>100.5244</c:v>
                </c:pt>
                <c:pt idx="200">
                  <c:v>100.52979999999999</c:v>
                </c:pt>
                <c:pt idx="201">
                  <c:v>100.56270000000001</c:v>
                </c:pt>
                <c:pt idx="202">
                  <c:v>101.26730000000001</c:v>
                </c:pt>
                <c:pt idx="203">
                  <c:v>100.318</c:v>
                </c:pt>
                <c:pt idx="204">
                  <c:v>101.14660000000001</c:v>
                </c:pt>
                <c:pt idx="205">
                  <c:v>100.39790000000001</c:v>
                </c:pt>
                <c:pt idx="206">
                  <c:v>100.2668</c:v>
                </c:pt>
                <c:pt idx="207">
                  <c:v>100.4824</c:v>
                </c:pt>
                <c:pt idx="208">
                  <c:v>100.1611</c:v>
                </c:pt>
                <c:pt idx="209">
                  <c:v>100.7315</c:v>
                </c:pt>
                <c:pt idx="210">
                  <c:v>100.955</c:v>
                </c:pt>
                <c:pt idx="211">
                  <c:v>100.3673</c:v>
                </c:pt>
                <c:pt idx="212">
                  <c:v>100.2337</c:v>
                </c:pt>
                <c:pt idx="213">
                  <c:v>100.1961</c:v>
                </c:pt>
                <c:pt idx="214">
                  <c:v>99.870500000000007</c:v>
                </c:pt>
                <c:pt idx="215">
                  <c:v>99.554400000000001</c:v>
                </c:pt>
                <c:pt idx="216">
                  <c:v>99.727900000000005</c:v>
                </c:pt>
                <c:pt idx="217">
                  <c:v>100.1896</c:v>
                </c:pt>
                <c:pt idx="218">
                  <c:v>99.789100000000005</c:v>
                </c:pt>
                <c:pt idx="219">
                  <c:v>100.845</c:v>
                </c:pt>
                <c:pt idx="220">
                  <c:v>100.55240000000001</c:v>
                </c:pt>
                <c:pt idx="221">
                  <c:v>100.7236</c:v>
                </c:pt>
                <c:pt idx="222">
                  <c:v>100.83150000000001</c:v>
                </c:pt>
                <c:pt idx="223">
                  <c:v>99.891400000000004</c:v>
                </c:pt>
                <c:pt idx="224">
                  <c:v>100.8745</c:v>
                </c:pt>
                <c:pt idx="225">
                  <c:v>100.49169999999999</c:v>
                </c:pt>
                <c:pt idx="226">
                  <c:v>100.3511</c:v>
                </c:pt>
                <c:pt idx="227">
                  <c:v>100.3754</c:v>
                </c:pt>
                <c:pt idx="228">
                  <c:v>100.0886</c:v>
                </c:pt>
                <c:pt idx="229">
                  <c:v>100.55289999999999</c:v>
                </c:pt>
                <c:pt idx="230">
                  <c:v>99.490899999999996</c:v>
                </c:pt>
                <c:pt idx="231">
                  <c:v>100.2533</c:v>
                </c:pt>
                <c:pt idx="232">
                  <c:v>99.635000000000005</c:v>
                </c:pt>
                <c:pt idx="233">
                  <c:v>99.327799999999996</c:v>
                </c:pt>
                <c:pt idx="234">
                  <c:v>100.0309</c:v>
                </c:pt>
                <c:pt idx="235">
                  <c:v>99.275700000000001</c:v>
                </c:pt>
                <c:pt idx="236">
                  <c:v>99.905799999999999</c:v>
                </c:pt>
                <c:pt idx="237">
                  <c:v>99.717399999999998</c:v>
                </c:pt>
                <c:pt idx="238">
                  <c:v>99.501800000000003</c:v>
                </c:pt>
                <c:pt idx="239">
                  <c:v>100.2013</c:v>
                </c:pt>
                <c:pt idx="240">
                  <c:v>99.924599999999998</c:v>
                </c:pt>
                <c:pt idx="241">
                  <c:v>99.6434</c:v>
                </c:pt>
                <c:pt idx="242">
                  <c:v>100.2641</c:v>
                </c:pt>
                <c:pt idx="243">
                  <c:v>99.823700000000002</c:v>
                </c:pt>
                <c:pt idx="244">
                  <c:v>99.422300000000007</c:v>
                </c:pt>
                <c:pt idx="245">
                  <c:v>100.1323</c:v>
                </c:pt>
                <c:pt idx="246">
                  <c:v>99.182299999999998</c:v>
                </c:pt>
                <c:pt idx="247">
                  <c:v>98.911799999999999</c:v>
                </c:pt>
                <c:pt idx="248">
                  <c:v>98.702699999999993</c:v>
                </c:pt>
                <c:pt idx="249">
                  <c:v>98.417500000000004</c:v>
                </c:pt>
                <c:pt idx="250">
                  <c:v>99.028000000000006</c:v>
                </c:pt>
                <c:pt idx="251">
                  <c:v>99.036799999999999</c:v>
                </c:pt>
                <c:pt idx="252">
                  <c:v>99.232799999999997</c:v>
                </c:pt>
                <c:pt idx="253">
                  <c:v>98.9131</c:v>
                </c:pt>
                <c:pt idx="254">
                  <c:v>99.431899999999999</c:v>
                </c:pt>
                <c:pt idx="255">
                  <c:v>99.149299999999997</c:v>
                </c:pt>
                <c:pt idx="256">
                  <c:v>99.001199999999997</c:v>
                </c:pt>
                <c:pt idx="257">
                  <c:v>98.410899999999998</c:v>
                </c:pt>
                <c:pt idx="258">
                  <c:v>98.407200000000003</c:v>
                </c:pt>
                <c:pt idx="259">
                  <c:v>98.131100000000004</c:v>
                </c:pt>
                <c:pt idx="260">
                  <c:v>98.128500000000003</c:v>
                </c:pt>
                <c:pt idx="261">
                  <c:v>98.080600000000004</c:v>
                </c:pt>
                <c:pt idx="262">
                  <c:v>97.723500000000001</c:v>
                </c:pt>
                <c:pt idx="263">
                  <c:v>98.469200000000001</c:v>
                </c:pt>
                <c:pt idx="264">
                  <c:v>97.911600000000007</c:v>
                </c:pt>
                <c:pt idx="265">
                  <c:v>98.0792</c:v>
                </c:pt>
                <c:pt idx="266">
                  <c:v>98.495800000000003</c:v>
                </c:pt>
                <c:pt idx="267">
                  <c:v>98.351200000000006</c:v>
                </c:pt>
                <c:pt idx="268">
                  <c:v>97.255099999999999</c:v>
                </c:pt>
                <c:pt idx="269">
                  <c:v>97.260800000000003</c:v>
                </c:pt>
                <c:pt idx="270">
                  <c:v>97.0364</c:v>
                </c:pt>
                <c:pt idx="271">
                  <c:v>97.063800000000001</c:v>
                </c:pt>
                <c:pt idx="272">
                  <c:v>96.849900000000005</c:v>
                </c:pt>
                <c:pt idx="273">
                  <c:v>96.576599999999999</c:v>
                </c:pt>
                <c:pt idx="274">
                  <c:v>97.297300000000007</c:v>
                </c:pt>
                <c:pt idx="275">
                  <c:v>97.022900000000007</c:v>
                </c:pt>
                <c:pt idx="276">
                  <c:v>96.806799999999996</c:v>
                </c:pt>
                <c:pt idx="277">
                  <c:v>97.090900000000005</c:v>
                </c:pt>
                <c:pt idx="278">
                  <c:v>97.3078</c:v>
                </c:pt>
                <c:pt idx="279">
                  <c:v>98.006799999999998</c:v>
                </c:pt>
                <c:pt idx="280">
                  <c:v>97.8</c:v>
                </c:pt>
                <c:pt idx="281">
                  <c:v>97.215900000000005</c:v>
                </c:pt>
                <c:pt idx="282">
                  <c:v>97.407399999999996</c:v>
                </c:pt>
                <c:pt idx="283">
                  <c:v>97</c:v>
                </c:pt>
                <c:pt idx="284">
                  <c:v>97.294799999999995</c:v>
                </c:pt>
                <c:pt idx="285">
                  <c:v>98.680199999999999</c:v>
                </c:pt>
                <c:pt idx="286">
                  <c:v>97.782399999999996</c:v>
                </c:pt>
                <c:pt idx="287">
                  <c:v>97.395799999999994</c:v>
                </c:pt>
                <c:pt idx="288">
                  <c:v>97.242599999999996</c:v>
                </c:pt>
                <c:pt idx="289">
                  <c:v>97.208399999999997</c:v>
                </c:pt>
                <c:pt idx="290">
                  <c:v>97.206599999999995</c:v>
                </c:pt>
                <c:pt idx="291">
                  <c:v>97.394599999999997</c:v>
                </c:pt>
                <c:pt idx="292">
                  <c:v>98.322400000000002</c:v>
                </c:pt>
                <c:pt idx="293">
                  <c:v>97.313299999999998</c:v>
                </c:pt>
                <c:pt idx="294">
                  <c:v>97.4803</c:v>
                </c:pt>
                <c:pt idx="295">
                  <c:v>98.040599999999998</c:v>
                </c:pt>
                <c:pt idx="296">
                  <c:v>97.702799999999996</c:v>
                </c:pt>
                <c:pt idx="297">
                  <c:v>97.2149</c:v>
                </c:pt>
                <c:pt idx="298">
                  <c:v>97.247100000000003</c:v>
                </c:pt>
                <c:pt idx="299">
                  <c:v>97.016499999999994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FE11-574E-A2B6-2AAA874344DD}"/>
            </c:ext>
          </c:extLst>
        </c:ser>
        <c:ser>
          <c:idx val="3"/>
          <c:order val="3"/>
          <c:tx>
            <c:strRef>
              <c:f>Simulation!$I$1</c:f>
              <c:strCache>
                <c:ptCount val="1"/>
                <c:pt idx="0">
                  <c:v>P1</c:v>
                </c:pt>
              </c:strCache>
            </c:strRef>
          </c:tx>
          <c:spPr>
            <a:ln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Simulation!$I$2:$I$301</c:f>
              <c:numCache>
                <c:formatCode>General</c:formatCode>
                <c:ptCount val="300"/>
                <c:pt idx="0">
                  <c:v>68.294700000000006</c:v>
                </c:pt>
                <c:pt idx="1">
                  <c:v>29.904399999999999</c:v>
                </c:pt>
                <c:pt idx="2">
                  <c:v>16.7822</c:v>
                </c:pt>
                <c:pt idx="3">
                  <c:v>8.3993000000000002</c:v>
                </c:pt>
                <c:pt idx="4">
                  <c:v>1.8517999999999999</c:v>
                </c:pt>
                <c:pt idx="5">
                  <c:v>-0.58720000000000006</c:v>
                </c:pt>
                <c:pt idx="6">
                  <c:v>-3.1092</c:v>
                </c:pt>
                <c:pt idx="7">
                  <c:v>-3.7242999999999999</c:v>
                </c:pt>
                <c:pt idx="8">
                  <c:v>-6.282</c:v>
                </c:pt>
                <c:pt idx="9">
                  <c:v>-7.1670999999999996</c:v>
                </c:pt>
                <c:pt idx="10">
                  <c:v>-9.9291</c:v>
                </c:pt>
                <c:pt idx="11">
                  <c:v>-10.276999999999999</c:v>
                </c:pt>
                <c:pt idx="12">
                  <c:v>-10.3538</c:v>
                </c:pt>
                <c:pt idx="13">
                  <c:v>-10.622400000000001</c:v>
                </c:pt>
                <c:pt idx="14">
                  <c:v>-11.728199999999999</c:v>
                </c:pt>
                <c:pt idx="15">
                  <c:v>-10.784700000000001</c:v>
                </c:pt>
                <c:pt idx="16">
                  <c:v>-10.3581</c:v>
                </c:pt>
                <c:pt idx="17">
                  <c:v>-10.783799999999999</c:v>
                </c:pt>
                <c:pt idx="18">
                  <c:v>-10.436</c:v>
                </c:pt>
                <c:pt idx="19">
                  <c:v>-12.1113</c:v>
                </c:pt>
                <c:pt idx="20">
                  <c:v>-13.504</c:v>
                </c:pt>
                <c:pt idx="21">
                  <c:v>-13.9411</c:v>
                </c:pt>
                <c:pt idx="22">
                  <c:v>-13.647500000000001</c:v>
                </c:pt>
                <c:pt idx="23">
                  <c:v>-12.8962</c:v>
                </c:pt>
                <c:pt idx="24">
                  <c:v>-12.7455</c:v>
                </c:pt>
                <c:pt idx="25">
                  <c:v>-14.4254</c:v>
                </c:pt>
                <c:pt idx="26">
                  <c:v>-13.498100000000001</c:v>
                </c:pt>
                <c:pt idx="27">
                  <c:v>-13.906000000000001</c:v>
                </c:pt>
                <c:pt idx="28">
                  <c:v>-13.088100000000001</c:v>
                </c:pt>
                <c:pt idx="29">
                  <c:v>-13.6127</c:v>
                </c:pt>
                <c:pt idx="30">
                  <c:v>-14.2719</c:v>
                </c:pt>
                <c:pt idx="31">
                  <c:v>-14.798500000000001</c:v>
                </c:pt>
                <c:pt idx="32">
                  <c:v>-13.538500000000001</c:v>
                </c:pt>
                <c:pt idx="33">
                  <c:v>-11.889900000000001</c:v>
                </c:pt>
                <c:pt idx="34">
                  <c:v>-12.8583</c:v>
                </c:pt>
                <c:pt idx="35">
                  <c:v>-13.456300000000001</c:v>
                </c:pt>
                <c:pt idx="36">
                  <c:v>-12.6991</c:v>
                </c:pt>
                <c:pt idx="37">
                  <c:v>-13.132999999999999</c:v>
                </c:pt>
                <c:pt idx="38">
                  <c:v>-13.748699999999999</c:v>
                </c:pt>
                <c:pt idx="39">
                  <c:v>-10.923299999999999</c:v>
                </c:pt>
                <c:pt idx="40">
                  <c:v>-11.792199999999999</c:v>
                </c:pt>
                <c:pt idx="41">
                  <c:v>-12.793900000000001</c:v>
                </c:pt>
                <c:pt idx="42">
                  <c:v>-12.7378</c:v>
                </c:pt>
                <c:pt idx="43">
                  <c:v>-13.1998</c:v>
                </c:pt>
                <c:pt idx="44">
                  <c:v>-13.6732</c:v>
                </c:pt>
                <c:pt idx="45">
                  <c:v>-11.345700000000001</c:v>
                </c:pt>
                <c:pt idx="46">
                  <c:v>-13.978</c:v>
                </c:pt>
                <c:pt idx="47">
                  <c:v>-11.7179</c:v>
                </c:pt>
                <c:pt idx="48">
                  <c:v>-15.3363</c:v>
                </c:pt>
                <c:pt idx="49">
                  <c:v>-13.8474</c:v>
                </c:pt>
                <c:pt idx="50">
                  <c:v>-14.554600000000001</c:v>
                </c:pt>
                <c:pt idx="51">
                  <c:v>-13.6883</c:v>
                </c:pt>
                <c:pt idx="52">
                  <c:v>-14.742100000000001</c:v>
                </c:pt>
                <c:pt idx="53">
                  <c:v>-15.0685</c:v>
                </c:pt>
                <c:pt idx="54">
                  <c:v>-15.131</c:v>
                </c:pt>
                <c:pt idx="55">
                  <c:v>-15.072900000000001</c:v>
                </c:pt>
                <c:pt idx="56">
                  <c:v>-15.904400000000001</c:v>
                </c:pt>
                <c:pt idx="57">
                  <c:v>-12.8935</c:v>
                </c:pt>
                <c:pt idx="58">
                  <c:v>-13.5031</c:v>
                </c:pt>
                <c:pt idx="59">
                  <c:v>-14.852</c:v>
                </c:pt>
                <c:pt idx="60">
                  <c:v>-14.4422</c:v>
                </c:pt>
                <c:pt idx="61">
                  <c:v>-14.311299999999999</c:v>
                </c:pt>
                <c:pt idx="62">
                  <c:v>-14.1129</c:v>
                </c:pt>
                <c:pt idx="63">
                  <c:v>-15.600199999999999</c:v>
                </c:pt>
                <c:pt idx="64">
                  <c:v>-14.6386</c:v>
                </c:pt>
                <c:pt idx="65">
                  <c:v>-14.2339</c:v>
                </c:pt>
                <c:pt idx="66">
                  <c:v>-13.939</c:v>
                </c:pt>
                <c:pt idx="67">
                  <c:v>-13.5924</c:v>
                </c:pt>
                <c:pt idx="68">
                  <c:v>-14.416399999999999</c:v>
                </c:pt>
                <c:pt idx="69">
                  <c:v>-12.809699999999999</c:v>
                </c:pt>
                <c:pt idx="70">
                  <c:v>-12.5524</c:v>
                </c:pt>
                <c:pt idx="71">
                  <c:v>-14.5814</c:v>
                </c:pt>
                <c:pt idx="72">
                  <c:v>-14.459099999999999</c:v>
                </c:pt>
                <c:pt idx="73">
                  <c:v>-14.246700000000001</c:v>
                </c:pt>
                <c:pt idx="74">
                  <c:v>-13.198700000000001</c:v>
                </c:pt>
                <c:pt idx="75">
                  <c:v>-13.7272</c:v>
                </c:pt>
                <c:pt idx="76">
                  <c:v>-14.894299999999999</c:v>
                </c:pt>
                <c:pt idx="77">
                  <c:v>-14.1244</c:v>
                </c:pt>
                <c:pt idx="78">
                  <c:v>-14.9331</c:v>
                </c:pt>
                <c:pt idx="79">
                  <c:v>-14.484299999999999</c:v>
                </c:pt>
                <c:pt idx="80">
                  <c:v>-13.9704</c:v>
                </c:pt>
                <c:pt idx="81">
                  <c:v>-13.4672</c:v>
                </c:pt>
                <c:pt idx="82">
                  <c:v>-11.973000000000001</c:v>
                </c:pt>
                <c:pt idx="83">
                  <c:v>-14.044600000000001</c:v>
                </c:pt>
                <c:pt idx="84">
                  <c:v>-14.858700000000001</c:v>
                </c:pt>
                <c:pt idx="85">
                  <c:v>-17.5259</c:v>
                </c:pt>
                <c:pt idx="86">
                  <c:v>-16.604500000000002</c:v>
                </c:pt>
                <c:pt idx="87">
                  <c:v>-15.8719</c:v>
                </c:pt>
                <c:pt idx="88">
                  <c:v>-14.683</c:v>
                </c:pt>
                <c:pt idx="89">
                  <c:v>-15.2051</c:v>
                </c:pt>
                <c:pt idx="90">
                  <c:v>-14.3461</c:v>
                </c:pt>
                <c:pt idx="91">
                  <c:v>-13.7967</c:v>
                </c:pt>
                <c:pt idx="92">
                  <c:v>-14.792999999999999</c:v>
                </c:pt>
                <c:pt idx="93">
                  <c:v>-12.9876</c:v>
                </c:pt>
                <c:pt idx="94">
                  <c:v>-16.6783</c:v>
                </c:pt>
                <c:pt idx="95">
                  <c:v>-17.8401</c:v>
                </c:pt>
                <c:pt idx="96">
                  <c:v>-16.38</c:v>
                </c:pt>
                <c:pt idx="97">
                  <c:v>-14.069699999999999</c:v>
                </c:pt>
                <c:pt idx="98">
                  <c:v>-14.218400000000001</c:v>
                </c:pt>
                <c:pt idx="99">
                  <c:v>-14.901899999999999</c:v>
                </c:pt>
                <c:pt idx="100">
                  <c:v>-16.207899999999999</c:v>
                </c:pt>
                <c:pt idx="101">
                  <c:v>-15.758599999999999</c:v>
                </c:pt>
                <c:pt idx="102">
                  <c:v>-15.114800000000001</c:v>
                </c:pt>
                <c:pt idx="103">
                  <c:v>-16.111499999999999</c:v>
                </c:pt>
                <c:pt idx="104">
                  <c:v>-17.392700000000001</c:v>
                </c:pt>
                <c:pt idx="105">
                  <c:v>-14.813000000000001</c:v>
                </c:pt>
                <c:pt idx="106">
                  <c:v>-16.495899999999999</c:v>
                </c:pt>
                <c:pt idx="107">
                  <c:v>-15.9916</c:v>
                </c:pt>
                <c:pt idx="108">
                  <c:v>-15.6677</c:v>
                </c:pt>
                <c:pt idx="109">
                  <c:v>-15.3741</c:v>
                </c:pt>
                <c:pt idx="110">
                  <c:v>-16.553699999999999</c:v>
                </c:pt>
                <c:pt idx="111">
                  <c:v>-16.214200000000002</c:v>
                </c:pt>
                <c:pt idx="112">
                  <c:v>-15.9712</c:v>
                </c:pt>
                <c:pt idx="113">
                  <c:v>-16.410299999999999</c:v>
                </c:pt>
                <c:pt idx="114">
                  <c:v>-15.899100000000001</c:v>
                </c:pt>
                <c:pt idx="115">
                  <c:v>-19.121200000000002</c:v>
                </c:pt>
                <c:pt idx="116">
                  <c:v>-16.9329</c:v>
                </c:pt>
                <c:pt idx="117">
                  <c:v>-16.0822</c:v>
                </c:pt>
                <c:pt idx="118">
                  <c:v>-16.359400000000001</c:v>
                </c:pt>
                <c:pt idx="119">
                  <c:v>-17.661999999999999</c:v>
                </c:pt>
                <c:pt idx="120">
                  <c:v>-14.7202</c:v>
                </c:pt>
                <c:pt idx="121">
                  <c:v>-14.688499999999999</c:v>
                </c:pt>
                <c:pt idx="122">
                  <c:v>-17.2074</c:v>
                </c:pt>
                <c:pt idx="123">
                  <c:v>-16.354800000000001</c:v>
                </c:pt>
                <c:pt idx="124">
                  <c:v>-15.916399999999999</c:v>
                </c:pt>
                <c:pt idx="125">
                  <c:v>-17.090699999999998</c:v>
                </c:pt>
                <c:pt idx="126">
                  <c:v>-17.619299999999999</c:v>
                </c:pt>
                <c:pt idx="127">
                  <c:v>-17.385300000000001</c:v>
                </c:pt>
                <c:pt idx="128">
                  <c:v>-16.589500000000001</c:v>
                </c:pt>
                <c:pt idx="129">
                  <c:v>-17.134499999999999</c:v>
                </c:pt>
                <c:pt idx="130">
                  <c:v>-16.1617</c:v>
                </c:pt>
                <c:pt idx="131">
                  <c:v>-18.368500000000001</c:v>
                </c:pt>
                <c:pt idx="132">
                  <c:v>-16.144200000000001</c:v>
                </c:pt>
                <c:pt idx="133">
                  <c:v>-16.664000000000001</c:v>
                </c:pt>
                <c:pt idx="134">
                  <c:v>-17.2591</c:v>
                </c:pt>
                <c:pt idx="135">
                  <c:v>-17.153700000000001</c:v>
                </c:pt>
                <c:pt idx="136">
                  <c:v>-17.505700000000001</c:v>
                </c:pt>
                <c:pt idx="137">
                  <c:v>-17.065999999999999</c:v>
                </c:pt>
                <c:pt idx="138">
                  <c:v>-17.163499999999999</c:v>
                </c:pt>
                <c:pt idx="139">
                  <c:v>-18.004300000000001</c:v>
                </c:pt>
                <c:pt idx="140">
                  <c:v>-16.977399999999999</c:v>
                </c:pt>
                <c:pt idx="141">
                  <c:v>-17.2578</c:v>
                </c:pt>
                <c:pt idx="142">
                  <c:v>-14.4405</c:v>
                </c:pt>
                <c:pt idx="143">
                  <c:v>-16.2683</c:v>
                </c:pt>
                <c:pt idx="144">
                  <c:v>-15.579700000000001</c:v>
                </c:pt>
                <c:pt idx="145">
                  <c:v>-18.049800000000001</c:v>
                </c:pt>
                <c:pt idx="146">
                  <c:v>-16.027100000000001</c:v>
                </c:pt>
                <c:pt idx="147">
                  <c:v>-16.786799999999999</c:v>
                </c:pt>
                <c:pt idx="148">
                  <c:v>-16.519300000000001</c:v>
                </c:pt>
                <c:pt idx="149">
                  <c:v>-16.265899999999998</c:v>
                </c:pt>
                <c:pt idx="150">
                  <c:v>-17.402699999999999</c:v>
                </c:pt>
                <c:pt idx="151">
                  <c:v>-19.355499999999999</c:v>
                </c:pt>
                <c:pt idx="152">
                  <c:v>-16.6891</c:v>
                </c:pt>
                <c:pt idx="153">
                  <c:v>-16.014500000000002</c:v>
                </c:pt>
                <c:pt idx="154">
                  <c:v>-16.781400000000001</c:v>
                </c:pt>
                <c:pt idx="155">
                  <c:v>-14.247999999999999</c:v>
                </c:pt>
                <c:pt idx="156">
                  <c:v>-16.882000000000001</c:v>
                </c:pt>
                <c:pt idx="157">
                  <c:v>-16.5929</c:v>
                </c:pt>
                <c:pt idx="158">
                  <c:v>-18.084499999999998</c:v>
                </c:pt>
                <c:pt idx="159">
                  <c:v>-17.139099999999999</c:v>
                </c:pt>
                <c:pt idx="160">
                  <c:v>-17.9604</c:v>
                </c:pt>
                <c:pt idx="161">
                  <c:v>-14.891999999999999</c:v>
                </c:pt>
                <c:pt idx="162">
                  <c:v>-16.716000000000001</c:v>
                </c:pt>
                <c:pt idx="163">
                  <c:v>-16.325600000000001</c:v>
                </c:pt>
                <c:pt idx="164">
                  <c:v>-16.284600000000001</c:v>
                </c:pt>
                <c:pt idx="165">
                  <c:v>-18.9238</c:v>
                </c:pt>
                <c:pt idx="166">
                  <c:v>-18.526</c:v>
                </c:pt>
                <c:pt idx="167">
                  <c:v>-17.8521</c:v>
                </c:pt>
                <c:pt idx="168">
                  <c:v>-17.174700000000001</c:v>
                </c:pt>
                <c:pt idx="169">
                  <c:v>-16.756399999999999</c:v>
                </c:pt>
                <c:pt idx="170">
                  <c:v>-18.9239</c:v>
                </c:pt>
                <c:pt idx="171">
                  <c:v>-18.308399999999999</c:v>
                </c:pt>
                <c:pt idx="172">
                  <c:v>-17.3916</c:v>
                </c:pt>
                <c:pt idx="173">
                  <c:v>-16.803999999999998</c:v>
                </c:pt>
                <c:pt idx="174">
                  <c:v>-16.976299999999998</c:v>
                </c:pt>
                <c:pt idx="175">
                  <c:v>-18.064499999999999</c:v>
                </c:pt>
                <c:pt idx="176">
                  <c:v>-18.1587</c:v>
                </c:pt>
                <c:pt idx="177">
                  <c:v>-17.826499999999999</c:v>
                </c:pt>
                <c:pt idx="178">
                  <c:v>-18.7103</c:v>
                </c:pt>
                <c:pt idx="179">
                  <c:v>-15.448600000000001</c:v>
                </c:pt>
                <c:pt idx="180">
                  <c:v>-18.7454</c:v>
                </c:pt>
                <c:pt idx="181">
                  <c:v>-20.336500000000001</c:v>
                </c:pt>
                <c:pt idx="182">
                  <c:v>-18.9252</c:v>
                </c:pt>
                <c:pt idx="183">
                  <c:v>-19.575399999999998</c:v>
                </c:pt>
                <c:pt idx="184">
                  <c:v>-19.1358</c:v>
                </c:pt>
                <c:pt idx="185">
                  <c:v>-18.389600000000002</c:v>
                </c:pt>
                <c:pt idx="186">
                  <c:v>-16.8718</c:v>
                </c:pt>
                <c:pt idx="187">
                  <c:v>-15.5593</c:v>
                </c:pt>
                <c:pt idx="188">
                  <c:v>-15.9483</c:v>
                </c:pt>
                <c:pt idx="189">
                  <c:v>-16.099599999999999</c:v>
                </c:pt>
                <c:pt idx="190">
                  <c:v>-16.348600000000001</c:v>
                </c:pt>
                <c:pt idx="191">
                  <c:v>-17.384599999999999</c:v>
                </c:pt>
                <c:pt idx="192">
                  <c:v>-16.6051</c:v>
                </c:pt>
                <c:pt idx="193">
                  <c:v>-17.899100000000001</c:v>
                </c:pt>
                <c:pt idx="194">
                  <c:v>-16.925699999999999</c:v>
                </c:pt>
                <c:pt idx="195">
                  <c:v>-18.071100000000001</c:v>
                </c:pt>
                <c:pt idx="196">
                  <c:v>-17.4038</c:v>
                </c:pt>
                <c:pt idx="197">
                  <c:v>-18.041599999999999</c:v>
                </c:pt>
                <c:pt idx="198">
                  <c:v>-17.633400000000002</c:v>
                </c:pt>
                <c:pt idx="199">
                  <c:v>-17.7789</c:v>
                </c:pt>
                <c:pt idx="200">
                  <c:v>-17.724799999999998</c:v>
                </c:pt>
                <c:pt idx="201">
                  <c:v>-17.967500000000001</c:v>
                </c:pt>
                <c:pt idx="202">
                  <c:v>-17.124300000000002</c:v>
                </c:pt>
                <c:pt idx="203">
                  <c:v>-18.203700000000001</c:v>
                </c:pt>
                <c:pt idx="204">
                  <c:v>-17.694800000000001</c:v>
                </c:pt>
                <c:pt idx="205">
                  <c:v>-17.1401</c:v>
                </c:pt>
                <c:pt idx="206">
                  <c:v>-18.300799999999999</c:v>
                </c:pt>
                <c:pt idx="207">
                  <c:v>-18.218399999999999</c:v>
                </c:pt>
                <c:pt idx="208">
                  <c:v>-16.9313</c:v>
                </c:pt>
                <c:pt idx="209">
                  <c:v>-18.604600000000001</c:v>
                </c:pt>
                <c:pt idx="210">
                  <c:v>-17.496400000000001</c:v>
                </c:pt>
                <c:pt idx="211">
                  <c:v>-17.353200000000001</c:v>
                </c:pt>
                <c:pt idx="212">
                  <c:v>-17.677399999999999</c:v>
                </c:pt>
                <c:pt idx="213">
                  <c:v>-16.098600000000001</c:v>
                </c:pt>
                <c:pt idx="214">
                  <c:v>-17.7699</c:v>
                </c:pt>
                <c:pt idx="215">
                  <c:v>-18.800899999999999</c:v>
                </c:pt>
                <c:pt idx="216">
                  <c:v>-19.770199999999999</c:v>
                </c:pt>
                <c:pt idx="217">
                  <c:v>-19.703099999999999</c:v>
                </c:pt>
                <c:pt idx="218">
                  <c:v>-19.960599999999999</c:v>
                </c:pt>
                <c:pt idx="219">
                  <c:v>-19.046800000000001</c:v>
                </c:pt>
                <c:pt idx="220">
                  <c:v>-17.771100000000001</c:v>
                </c:pt>
                <c:pt idx="221">
                  <c:v>-18.825700000000001</c:v>
                </c:pt>
                <c:pt idx="222">
                  <c:v>-18.234100000000002</c:v>
                </c:pt>
                <c:pt idx="223">
                  <c:v>-19.758400000000002</c:v>
                </c:pt>
                <c:pt idx="224">
                  <c:v>-20.015699999999999</c:v>
                </c:pt>
                <c:pt idx="225">
                  <c:v>-19.678100000000001</c:v>
                </c:pt>
                <c:pt idx="226">
                  <c:v>-18.414400000000001</c:v>
                </c:pt>
                <c:pt idx="227">
                  <c:v>-17.879200000000001</c:v>
                </c:pt>
                <c:pt idx="228">
                  <c:v>-17.197199999999999</c:v>
                </c:pt>
                <c:pt idx="229">
                  <c:v>-19.5228</c:v>
                </c:pt>
                <c:pt idx="230">
                  <c:v>-17.334800000000001</c:v>
                </c:pt>
                <c:pt idx="231">
                  <c:v>-18.9572</c:v>
                </c:pt>
                <c:pt idx="232">
                  <c:v>-18.865300000000001</c:v>
                </c:pt>
                <c:pt idx="233">
                  <c:v>-17.145900000000001</c:v>
                </c:pt>
                <c:pt idx="234">
                  <c:v>-17.9178</c:v>
                </c:pt>
                <c:pt idx="235">
                  <c:v>-18.2806</c:v>
                </c:pt>
                <c:pt idx="236">
                  <c:v>-19.577000000000002</c:v>
                </c:pt>
                <c:pt idx="237">
                  <c:v>-19.3185</c:v>
                </c:pt>
                <c:pt idx="238">
                  <c:v>-20.639800000000001</c:v>
                </c:pt>
                <c:pt idx="239">
                  <c:v>-19.553100000000001</c:v>
                </c:pt>
                <c:pt idx="240">
                  <c:v>-18.9878</c:v>
                </c:pt>
                <c:pt idx="241">
                  <c:v>-18.323599999999999</c:v>
                </c:pt>
                <c:pt idx="242">
                  <c:v>-19.716000000000001</c:v>
                </c:pt>
                <c:pt idx="243">
                  <c:v>-19.682099999999998</c:v>
                </c:pt>
                <c:pt idx="244">
                  <c:v>-21.8307</c:v>
                </c:pt>
                <c:pt idx="245">
                  <c:v>-19.042899999999999</c:v>
                </c:pt>
                <c:pt idx="246">
                  <c:v>-19.404</c:v>
                </c:pt>
                <c:pt idx="247">
                  <c:v>-21.252700000000001</c:v>
                </c:pt>
                <c:pt idx="248">
                  <c:v>-20.4452</c:v>
                </c:pt>
                <c:pt idx="249">
                  <c:v>-19.484000000000002</c:v>
                </c:pt>
                <c:pt idx="250">
                  <c:v>-20.141200000000001</c:v>
                </c:pt>
                <c:pt idx="251">
                  <c:v>-18.296500000000002</c:v>
                </c:pt>
                <c:pt idx="252">
                  <c:v>-19.8691</c:v>
                </c:pt>
                <c:pt idx="253">
                  <c:v>-21.284300000000002</c:v>
                </c:pt>
                <c:pt idx="254">
                  <c:v>-19.895199999999999</c:v>
                </c:pt>
                <c:pt idx="255">
                  <c:v>-22.093</c:v>
                </c:pt>
                <c:pt idx="256">
                  <c:v>-20.2545</c:v>
                </c:pt>
                <c:pt idx="257">
                  <c:v>-18.61</c:v>
                </c:pt>
                <c:pt idx="258">
                  <c:v>-19.4603</c:v>
                </c:pt>
                <c:pt idx="259">
                  <c:v>-21.2194</c:v>
                </c:pt>
                <c:pt idx="260">
                  <c:v>-20.899000000000001</c:v>
                </c:pt>
                <c:pt idx="261">
                  <c:v>-21.126799999999999</c:v>
                </c:pt>
                <c:pt idx="262">
                  <c:v>-21.332599999999999</c:v>
                </c:pt>
                <c:pt idx="263">
                  <c:v>-19.827300000000001</c:v>
                </c:pt>
                <c:pt idx="264">
                  <c:v>-20.049399999999999</c:v>
                </c:pt>
                <c:pt idx="265">
                  <c:v>-18.419</c:v>
                </c:pt>
                <c:pt idx="266">
                  <c:v>-18.87</c:v>
                </c:pt>
                <c:pt idx="267">
                  <c:v>-19.613399999999999</c:v>
                </c:pt>
                <c:pt idx="268">
                  <c:v>-22.0198</c:v>
                </c:pt>
                <c:pt idx="269">
                  <c:v>-23.071300000000001</c:v>
                </c:pt>
                <c:pt idx="270">
                  <c:v>-21.671600000000002</c:v>
                </c:pt>
                <c:pt idx="271">
                  <c:v>-22.294</c:v>
                </c:pt>
                <c:pt idx="272">
                  <c:v>-22.080500000000001</c:v>
                </c:pt>
                <c:pt idx="273">
                  <c:v>-20.567499999999999</c:v>
                </c:pt>
                <c:pt idx="274">
                  <c:v>-22.7302</c:v>
                </c:pt>
                <c:pt idx="275">
                  <c:v>-22.1435</c:v>
                </c:pt>
                <c:pt idx="276">
                  <c:v>-22.362300000000001</c:v>
                </c:pt>
                <c:pt idx="277">
                  <c:v>-25.4892</c:v>
                </c:pt>
                <c:pt idx="278">
                  <c:v>-23.565000000000001</c:v>
                </c:pt>
                <c:pt idx="279">
                  <c:v>-23.048500000000001</c:v>
                </c:pt>
                <c:pt idx="280">
                  <c:v>-22.260100000000001</c:v>
                </c:pt>
                <c:pt idx="281">
                  <c:v>-21.223500000000001</c:v>
                </c:pt>
                <c:pt idx="282">
                  <c:v>-21.1982</c:v>
                </c:pt>
                <c:pt idx="283">
                  <c:v>-21.7029</c:v>
                </c:pt>
                <c:pt idx="284">
                  <c:v>-21.6966</c:v>
                </c:pt>
                <c:pt idx="285">
                  <c:v>-23.187899999999999</c:v>
                </c:pt>
                <c:pt idx="286">
                  <c:v>-23.2956</c:v>
                </c:pt>
                <c:pt idx="287">
                  <c:v>-23.188600000000001</c:v>
                </c:pt>
                <c:pt idx="288">
                  <c:v>-21.275200000000002</c:v>
                </c:pt>
                <c:pt idx="289">
                  <c:v>-22.515699999999999</c:v>
                </c:pt>
                <c:pt idx="290">
                  <c:v>-22.422000000000001</c:v>
                </c:pt>
                <c:pt idx="291">
                  <c:v>-20.835699999999999</c:v>
                </c:pt>
                <c:pt idx="292">
                  <c:v>-22.172599999999999</c:v>
                </c:pt>
                <c:pt idx="293">
                  <c:v>-21.653700000000001</c:v>
                </c:pt>
                <c:pt idx="294">
                  <c:v>-22.9984</c:v>
                </c:pt>
                <c:pt idx="295">
                  <c:v>-22.098800000000001</c:v>
                </c:pt>
                <c:pt idx="296">
                  <c:v>-21.165700000000001</c:v>
                </c:pt>
                <c:pt idx="297">
                  <c:v>-21.847300000000001</c:v>
                </c:pt>
                <c:pt idx="298">
                  <c:v>-21.403300000000002</c:v>
                </c:pt>
                <c:pt idx="299">
                  <c:v>-22.495999999999999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FE11-574E-A2B6-2AAA87434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Capture Price (EUR/MWh)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P50/P90/P99 at Key Project Horizons — DK1 Primary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Simulation!$L$2</c:f>
              <c:strCache>
                <c:ptCount val="1"/>
                <c:pt idx="0">
                  <c:v>P50</c:v>
                </c:pt>
              </c:strCache>
            </c:strRef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Simulation!$L$3:$L$7</c:f>
              <c:numCache>
                <c:formatCode>General</c:formatCode>
                <c:ptCount val="5"/>
                <c:pt idx="0">
                  <c:v>62.42</c:v>
                </c:pt>
                <c:pt idx="1">
                  <c:v>60.67</c:v>
                </c:pt>
                <c:pt idx="2">
                  <c:v>58.52</c:v>
                </c:pt>
                <c:pt idx="3">
                  <c:v>57.43</c:v>
                </c:pt>
                <c:pt idx="4">
                  <c:v>54.79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B575-724E-B8C0-E0EFA07FC9DB}"/>
            </c:ext>
          </c:extLst>
        </c:ser>
        <c:ser>
          <c:idx val="1"/>
          <c:order val="1"/>
          <c:tx>
            <c:strRef>
              <c:f>Simulation!$M$2</c:f>
              <c:strCache>
                <c:ptCount val="1"/>
                <c:pt idx="0">
                  <c:v>P90</c:v>
                </c:pt>
              </c:strCache>
            </c:strRef>
          </c:tx>
          <c:spPr>
            <a:solidFill>
              <a:srgbClr val="FF8C00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Simulation!$M$3:$M$7</c:f>
              <c:numCache>
                <c:formatCode>General</c:formatCode>
                <c:ptCount val="5"/>
                <c:pt idx="0">
                  <c:v>19.97</c:v>
                </c:pt>
                <c:pt idx="1">
                  <c:v>18.27</c:v>
                </c:pt>
                <c:pt idx="2">
                  <c:v>16.52</c:v>
                </c:pt>
                <c:pt idx="3">
                  <c:v>14.71</c:v>
                </c:pt>
                <c:pt idx="4">
                  <c:v>12.55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B575-724E-B8C0-E0EFA07FC9DB}"/>
            </c:ext>
          </c:extLst>
        </c:ser>
        <c:ser>
          <c:idx val="2"/>
          <c:order val="2"/>
          <c:tx>
            <c:strRef>
              <c:f>Simulation!$N$2</c:f>
              <c:strCache>
                <c:ptCount val="1"/>
                <c:pt idx="0">
                  <c:v>P99</c:v>
                </c:pt>
              </c:strCache>
            </c:strRef>
          </c:tx>
          <c:spPr>
            <a:solidFill>
              <a:srgbClr val="C00000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Simulation!$N$3:$N$7</c:f>
              <c:numCache>
                <c:formatCode>General</c:formatCode>
                <c:ptCount val="5"/>
                <c:pt idx="0">
                  <c:v>-14.85</c:v>
                </c:pt>
                <c:pt idx="1">
                  <c:v>-17.66</c:v>
                </c:pt>
                <c:pt idx="2">
                  <c:v>-15.45</c:v>
                </c:pt>
                <c:pt idx="3">
                  <c:v>-19.55</c:v>
                </c:pt>
                <c:pt idx="4">
                  <c:v>-22.5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B575-724E-B8C0-E0EFA07FC9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Project Year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Capture Price (EUR/MWh)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MC Simulation - DK1 P50/P90/P99 Capture Price Paths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Simulation!$C$1</c:f>
              <c:strCache>
                <c:ptCount val="1"/>
                <c:pt idx="0">
                  <c:v>mu_capture</c:v>
                </c:pt>
              </c:strCache>
            </c:strRef>
          </c:tx>
          <c:spPr>
            <a:ln>
              <a:solidFill>
                <a:srgbClr val="70AD47"/>
              </a:solidFill>
              <a:prstDash val="solid"/>
            </a:ln>
          </c:spPr>
          <c:marker>
            <c:symbol val="none"/>
          </c:marker>
          <c:val>
            <c:numRef>
              <c:f>Simulation!$C$2:$C$301</c:f>
              <c:numCache>
                <c:formatCode>General</c:formatCode>
                <c:ptCount val="300"/>
                <c:pt idx="0">
                  <c:v>64.879900000000006</c:v>
                </c:pt>
                <c:pt idx="1">
                  <c:v>64.845699999999994</c:v>
                </c:pt>
                <c:pt idx="2">
                  <c:v>64.811400000000006</c:v>
                </c:pt>
                <c:pt idx="3">
                  <c:v>64.777100000000004</c:v>
                </c:pt>
                <c:pt idx="4">
                  <c:v>64.742900000000006</c:v>
                </c:pt>
                <c:pt idx="5">
                  <c:v>64.708600000000004</c:v>
                </c:pt>
                <c:pt idx="6">
                  <c:v>64.674400000000006</c:v>
                </c:pt>
                <c:pt idx="7">
                  <c:v>64.640100000000004</c:v>
                </c:pt>
                <c:pt idx="8">
                  <c:v>64.605800000000002</c:v>
                </c:pt>
                <c:pt idx="9">
                  <c:v>64.571600000000004</c:v>
                </c:pt>
                <c:pt idx="10">
                  <c:v>64.537300000000002</c:v>
                </c:pt>
                <c:pt idx="11">
                  <c:v>64.503</c:v>
                </c:pt>
                <c:pt idx="12">
                  <c:v>64.468800000000002</c:v>
                </c:pt>
                <c:pt idx="13">
                  <c:v>64.4345</c:v>
                </c:pt>
                <c:pt idx="14">
                  <c:v>64.400300000000001</c:v>
                </c:pt>
                <c:pt idx="15">
                  <c:v>64.366</c:v>
                </c:pt>
                <c:pt idx="16">
                  <c:v>64.331699999999998</c:v>
                </c:pt>
                <c:pt idx="17">
                  <c:v>64.297499999999999</c:v>
                </c:pt>
                <c:pt idx="18">
                  <c:v>64.263199999999998</c:v>
                </c:pt>
                <c:pt idx="19">
                  <c:v>64.228999999999999</c:v>
                </c:pt>
                <c:pt idx="20">
                  <c:v>64.194699999999997</c:v>
                </c:pt>
                <c:pt idx="21">
                  <c:v>64.160399999999996</c:v>
                </c:pt>
                <c:pt idx="22">
                  <c:v>64.126199999999997</c:v>
                </c:pt>
                <c:pt idx="23">
                  <c:v>64.091899999999995</c:v>
                </c:pt>
                <c:pt idx="24">
                  <c:v>64.057599999999994</c:v>
                </c:pt>
                <c:pt idx="25">
                  <c:v>64.023399999999995</c:v>
                </c:pt>
                <c:pt idx="26">
                  <c:v>63.989100000000001</c:v>
                </c:pt>
                <c:pt idx="27">
                  <c:v>63.954900000000002</c:v>
                </c:pt>
                <c:pt idx="28">
                  <c:v>63.9206</c:v>
                </c:pt>
                <c:pt idx="29">
                  <c:v>63.886299999999999</c:v>
                </c:pt>
                <c:pt idx="30">
                  <c:v>63.8521</c:v>
                </c:pt>
                <c:pt idx="31">
                  <c:v>63.817799999999998</c:v>
                </c:pt>
                <c:pt idx="32">
                  <c:v>63.7836</c:v>
                </c:pt>
                <c:pt idx="33">
                  <c:v>63.749299999999998</c:v>
                </c:pt>
                <c:pt idx="34">
                  <c:v>63.715000000000003</c:v>
                </c:pt>
                <c:pt idx="35">
                  <c:v>63.680799999999998</c:v>
                </c:pt>
                <c:pt idx="36">
                  <c:v>63.646500000000003</c:v>
                </c:pt>
                <c:pt idx="37">
                  <c:v>63.612200000000001</c:v>
                </c:pt>
                <c:pt idx="38">
                  <c:v>63.578000000000003</c:v>
                </c:pt>
                <c:pt idx="39">
                  <c:v>63.543700000000001</c:v>
                </c:pt>
                <c:pt idx="40">
                  <c:v>63.509500000000003</c:v>
                </c:pt>
                <c:pt idx="41">
                  <c:v>63.475200000000001</c:v>
                </c:pt>
                <c:pt idx="42">
                  <c:v>63.440899999999999</c:v>
                </c:pt>
                <c:pt idx="43">
                  <c:v>63.406700000000001</c:v>
                </c:pt>
                <c:pt idx="44">
                  <c:v>63.372399999999999</c:v>
                </c:pt>
                <c:pt idx="45">
                  <c:v>63.338200000000001</c:v>
                </c:pt>
                <c:pt idx="46">
                  <c:v>63.303899999999999</c:v>
                </c:pt>
                <c:pt idx="47">
                  <c:v>63.269599999999997</c:v>
                </c:pt>
                <c:pt idx="48">
                  <c:v>63.235399999999998</c:v>
                </c:pt>
                <c:pt idx="49">
                  <c:v>63.201099999999997</c:v>
                </c:pt>
                <c:pt idx="50">
                  <c:v>63.166899999999998</c:v>
                </c:pt>
                <c:pt idx="51">
                  <c:v>63.132599999999996</c:v>
                </c:pt>
                <c:pt idx="52">
                  <c:v>63.098300000000002</c:v>
                </c:pt>
                <c:pt idx="53">
                  <c:v>63.064100000000003</c:v>
                </c:pt>
                <c:pt idx="54">
                  <c:v>63.029800000000002</c:v>
                </c:pt>
                <c:pt idx="55">
                  <c:v>62.9955</c:v>
                </c:pt>
                <c:pt idx="56">
                  <c:v>62.961300000000001</c:v>
                </c:pt>
                <c:pt idx="57">
                  <c:v>62.927</c:v>
                </c:pt>
                <c:pt idx="58">
                  <c:v>62.892800000000001</c:v>
                </c:pt>
                <c:pt idx="59">
                  <c:v>62.858499999999999</c:v>
                </c:pt>
                <c:pt idx="60">
                  <c:v>62.824199999999998</c:v>
                </c:pt>
                <c:pt idx="61">
                  <c:v>62.79</c:v>
                </c:pt>
                <c:pt idx="62">
                  <c:v>62.755699999999997</c:v>
                </c:pt>
                <c:pt idx="63">
                  <c:v>62.721499999999999</c:v>
                </c:pt>
                <c:pt idx="64">
                  <c:v>62.687199999999997</c:v>
                </c:pt>
                <c:pt idx="65">
                  <c:v>62.652900000000002</c:v>
                </c:pt>
                <c:pt idx="66">
                  <c:v>62.618699999999997</c:v>
                </c:pt>
                <c:pt idx="67">
                  <c:v>62.584400000000002</c:v>
                </c:pt>
                <c:pt idx="68">
                  <c:v>62.5501</c:v>
                </c:pt>
                <c:pt idx="69">
                  <c:v>62.515900000000002</c:v>
                </c:pt>
                <c:pt idx="70">
                  <c:v>62.4816</c:v>
                </c:pt>
                <c:pt idx="71">
                  <c:v>62.447400000000002</c:v>
                </c:pt>
                <c:pt idx="72">
                  <c:v>62.4131</c:v>
                </c:pt>
                <c:pt idx="73">
                  <c:v>62.378799999999998</c:v>
                </c:pt>
                <c:pt idx="74">
                  <c:v>62.3446</c:v>
                </c:pt>
                <c:pt idx="75">
                  <c:v>62.310299999999998</c:v>
                </c:pt>
                <c:pt idx="76">
                  <c:v>62.2761</c:v>
                </c:pt>
                <c:pt idx="77">
                  <c:v>62.241799999999998</c:v>
                </c:pt>
                <c:pt idx="78">
                  <c:v>62.207500000000003</c:v>
                </c:pt>
                <c:pt idx="79">
                  <c:v>62.173299999999998</c:v>
                </c:pt>
                <c:pt idx="80">
                  <c:v>62.139000000000003</c:v>
                </c:pt>
                <c:pt idx="81">
                  <c:v>62.104700000000001</c:v>
                </c:pt>
                <c:pt idx="82">
                  <c:v>62.070500000000003</c:v>
                </c:pt>
                <c:pt idx="83">
                  <c:v>62.036200000000001</c:v>
                </c:pt>
                <c:pt idx="84">
                  <c:v>62.002000000000002</c:v>
                </c:pt>
                <c:pt idx="85">
                  <c:v>61.967700000000001</c:v>
                </c:pt>
                <c:pt idx="86">
                  <c:v>61.933399999999999</c:v>
                </c:pt>
                <c:pt idx="87">
                  <c:v>61.8992</c:v>
                </c:pt>
                <c:pt idx="88">
                  <c:v>61.864899999999999</c:v>
                </c:pt>
                <c:pt idx="89">
                  <c:v>61.8307</c:v>
                </c:pt>
                <c:pt idx="90">
                  <c:v>61.796399999999998</c:v>
                </c:pt>
                <c:pt idx="91">
                  <c:v>61.762099999999997</c:v>
                </c:pt>
                <c:pt idx="92">
                  <c:v>61.727899999999998</c:v>
                </c:pt>
                <c:pt idx="93">
                  <c:v>61.693600000000004</c:v>
                </c:pt>
                <c:pt idx="94">
                  <c:v>61.659300000000002</c:v>
                </c:pt>
                <c:pt idx="95">
                  <c:v>61.625100000000003</c:v>
                </c:pt>
                <c:pt idx="96">
                  <c:v>61.590800000000002</c:v>
                </c:pt>
                <c:pt idx="97">
                  <c:v>61.556600000000003</c:v>
                </c:pt>
                <c:pt idx="98">
                  <c:v>61.522300000000001</c:v>
                </c:pt>
                <c:pt idx="99">
                  <c:v>61.488</c:v>
                </c:pt>
                <c:pt idx="100">
                  <c:v>61.453800000000001</c:v>
                </c:pt>
                <c:pt idx="101">
                  <c:v>61.419499999999999</c:v>
                </c:pt>
                <c:pt idx="102">
                  <c:v>61.385300000000001</c:v>
                </c:pt>
                <c:pt idx="103">
                  <c:v>61.350999999999999</c:v>
                </c:pt>
                <c:pt idx="104">
                  <c:v>61.316699999999997</c:v>
                </c:pt>
                <c:pt idx="105">
                  <c:v>61.282499999999999</c:v>
                </c:pt>
                <c:pt idx="106">
                  <c:v>61.248199999999997</c:v>
                </c:pt>
                <c:pt idx="107">
                  <c:v>61.213900000000002</c:v>
                </c:pt>
                <c:pt idx="108">
                  <c:v>61.179699999999997</c:v>
                </c:pt>
                <c:pt idx="109">
                  <c:v>61.145400000000002</c:v>
                </c:pt>
                <c:pt idx="110">
                  <c:v>61.111199999999997</c:v>
                </c:pt>
                <c:pt idx="111">
                  <c:v>61.076900000000002</c:v>
                </c:pt>
                <c:pt idx="112">
                  <c:v>61.0426</c:v>
                </c:pt>
                <c:pt idx="113">
                  <c:v>61.008400000000002</c:v>
                </c:pt>
                <c:pt idx="114">
                  <c:v>60.9741</c:v>
                </c:pt>
                <c:pt idx="115">
                  <c:v>60.939900000000002</c:v>
                </c:pt>
                <c:pt idx="116">
                  <c:v>60.9056</c:v>
                </c:pt>
                <c:pt idx="117">
                  <c:v>60.871299999999998</c:v>
                </c:pt>
                <c:pt idx="118">
                  <c:v>60.8371</c:v>
                </c:pt>
                <c:pt idx="119">
                  <c:v>60.802799999999998</c:v>
                </c:pt>
                <c:pt idx="120">
                  <c:v>60.768500000000003</c:v>
                </c:pt>
                <c:pt idx="121">
                  <c:v>60.734299999999998</c:v>
                </c:pt>
                <c:pt idx="122">
                  <c:v>60.7</c:v>
                </c:pt>
                <c:pt idx="123">
                  <c:v>60.665799999999997</c:v>
                </c:pt>
                <c:pt idx="124">
                  <c:v>60.631500000000003</c:v>
                </c:pt>
                <c:pt idx="125">
                  <c:v>60.597200000000001</c:v>
                </c:pt>
                <c:pt idx="126">
                  <c:v>60.563000000000002</c:v>
                </c:pt>
                <c:pt idx="127">
                  <c:v>60.528700000000001</c:v>
                </c:pt>
                <c:pt idx="128">
                  <c:v>60.494500000000002</c:v>
                </c:pt>
                <c:pt idx="129">
                  <c:v>60.4602</c:v>
                </c:pt>
                <c:pt idx="130">
                  <c:v>60.425899999999999</c:v>
                </c:pt>
                <c:pt idx="131">
                  <c:v>60.3917</c:v>
                </c:pt>
                <c:pt idx="132">
                  <c:v>60.357399999999998</c:v>
                </c:pt>
                <c:pt idx="133">
                  <c:v>60.323099999999997</c:v>
                </c:pt>
                <c:pt idx="134">
                  <c:v>60.288899999999998</c:v>
                </c:pt>
                <c:pt idx="135">
                  <c:v>60.254600000000003</c:v>
                </c:pt>
                <c:pt idx="136">
                  <c:v>60.220399999999998</c:v>
                </c:pt>
                <c:pt idx="137">
                  <c:v>60.186100000000003</c:v>
                </c:pt>
                <c:pt idx="138">
                  <c:v>60.151800000000001</c:v>
                </c:pt>
                <c:pt idx="139">
                  <c:v>60.117600000000003</c:v>
                </c:pt>
                <c:pt idx="140">
                  <c:v>60.083300000000001</c:v>
                </c:pt>
                <c:pt idx="141">
                  <c:v>60.049100000000003</c:v>
                </c:pt>
                <c:pt idx="142">
                  <c:v>60.014800000000001</c:v>
                </c:pt>
                <c:pt idx="143">
                  <c:v>59.980499999999999</c:v>
                </c:pt>
                <c:pt idx="144">
                  <c:v>59.946300000000001</c:v>
                </c:pt>
                <c:pt idx="145">
                  <c:v>59.911999999999999</c:v>
                </c:pt>
                <c:pt idx="146">
                  <c:v>59.877699999999997</c:v>
                </c:pt>
                <c:pt idx="147">
                  <c:v>59.843499999999999</c:v>
                </c:pt>
                <c:pt idx="148">
                  <c:v>59.809199999999997</c:v>
                </c:pt>
                <c:pt idx="149">
                  <c:v>59.774999999999999</c:v>
                </c:pt>
                <c:pt idx="150">
                  <c:v>59.740699999999997</c:v>
                </c:pt>
                <c:pt idx="151">
                  <c:v>59.706400000000002</c:v>
                </c:pt>
                <c:pt idx="152">
                  <c:v>59.672199999999997</c:v>
                </c:pt>
                <c:pt idx="153">
                  <c:v>59.637900000000002</c:v>
                </c:pt>
                <c:pt idx="154">
                  <c:v>59.603700000000003</c:v>
                </c:pt>
                <c:pt idx="155">
                  <c:v>59.569400000000002</c:v>
                </c:pt>
                <c:pt idx="156">
                  <c:v>59.5351</c:v>
                </c:pt>
                <c:pt idx="157">
                  <c:v>59.500900000000001</c:v>
                </c:pt>
                <c:pt idx="158">
                  <c:v>59.4666</c:v>
                </c:pt>
                <c:pt idx="159">
                  <c:v>59.432299999999998</c:v>
                </c:pt>
                <c:pt idx="160">
                  <c:v>59.398099999999999</c:v>
                </c:pt>
                <c:pt idx="161">
                  <c:v>59.363799999999998</c:v>
                </c:pt>
                <c:pt idx="162">
                  <c:v>59.329599999999999</c:v>
                </c:pt>
                <c:pt idx="163">
                  <c:v>59.295299999999997</c:v>
                </c:pt>
                <c:pt idx="164">
                  <c:v>59.261000000000003</c:v>
                </c:pt>
                <c:pt idx="165">
                  <c:v>59.226799999999997</c:v>
                </c:pt>
                <c:pt idx="166">
                  <c:v>59.192500000000003</c:v>
                </c:pt>
                <c:pt idx="167">
                  <c:v>59.158299999999997</c:v>
                </c:pt>
                <c:pt idx="168">
                  <c:v>59.124000000000002</c:v>
                </c:pt>
                <c:pt idx="169">
                  <c:v>59.089700000000001</c:v>
                </c:pt>
                <c:pt idx="170">
                  <c:v>59.055500000000002</c:v>
                </c:pt>
                <c:pt idx="171">
                  <c:v>59.0212</c:v>
                </c:pt>
                <c:pt idx="172">
                  <c:v>58.986899999999999</c:v>
                </c:pt>
                <c:pt idx="173">
                  <c:v>58.9527</c:v>
                </c:pt>
                <c:pt idx="174">
                  <c:v>58.918399999999998</c:v>
                </c:pt>
                <c:pt idx="175">
                  <c:v>58.8842</c:v>
                </c:pt>
                <c:pt idx="176">
                  <c:v>58.849899999999998</c:v>
                </c:pt>
                <c:pt idx="177">
                  <c:v>58.815600000000003</c:v>
                </c:pt>
                <c:pt idx="178">
                  <c:v>58.781399999999998</c:v>
                </c:pt>
                <c:pt idx="179">
                  <c:v>58.747100000000003</c:v>
                </c:pt>
                <c:pt idx="180">
                  <c:v>58.712899999999998</c:v>
                </c:pt>
                <c:pt idx="181">
                  <c:v>58.678600000000003</c:v>
                </c:pt>
                <c:pt idx="182">
                  <c:v>58.644300000000001</c:v>
                </c:pt>
                <c:pt idx="183">
                  <c:v>58.610100000000003</c:v>
                </c:pt>
                <c:pt idx="184">
                  <c:v>58.575800000000001</c:v>
                </c:pt>
                <c:pt idx="185">
                  <c:v>58.541499999999999</c:v>
                </c:pt>
                <c:pt idx="186">
                  <c:v>58.507300000000001</c:v>
                </c:pt>
                <c:pt idx="187">
                  <c:v>58.472999999999999</c:v>
                </c:pt>
                <c:pt idx="188">
                  <c:v>58.438800000000001</c:v>
                </c:pt>
                <c:pt idx="189">
                  <c:v>58.404499999999999</c:v>
                </c:pt>
                <c:pt idx="190">
                  <c:v>58.370199999999997</c:v>
                </c:pt>
                <c:pt idx="191">
                  <c:v>58.335999999999999</c:v>
                </c:pt>
                <c:pt idx="192">
                  <c:v>58.301699999999997</c:v>
                </c:pt>
                <c:pt idx="193">
                  <c:v>58.267499999999998</c:v>
                </c:pt>
                <c:pt idx="194">
                  <c:v>58.233199999999997</c:v>
                </c:pt>
                <c:pt idx="195">
                  <c:v>58.198900000000002</c:v>
                </c:pt>
                <c:pt idx="196">
                  <c:v>58.164700000000003</c:v>
                </c:pt>
                <c:pt idx="197">
                  <c:v>58.130400000000002</c:v>
                </c:pt>
                <c:pt idx="198">
                  <c:v>58.0961</c:v>
                </c:pt>
                <c:pt idx="199">
                  <c:v>58.061900000000001</c:v>
                </c:pt>
                <c:pt idx="200">
                  <c:v>58.0276</c:v>
                </c:pt>
                <c:pt idx="201">
                  <c:v>57.993400000000001</c:v>
                </c:pt>
                <c:pt idx="202">
                  <c:v>57.959099999999999</c:v>
                </c:pt>
                <c:pt idx="203">
                  <c:v>57.924799999999998</c:v>
                </c:pt>
                <c:pt idx="204">
                  <c:v>57.890599999999999</c:v>
                </c:pt>
                <c:pt idx="205">
                  <c:v>57.856299999999997</c:v>
                </c:pt>
                <c:pt idx="206">
                  <c:v>57.822099999999999</c:v>
                </c:pt>
                <c:pt idx="207">
                  <c:v>57.787799999999997</c:v>
                </c:pt>
                <c:pt idx="208">
                  <c:v>57.753500000000003</c:v>
                </c:pt>
                <c:pt idx="209">
                  <c:v>57.719299999999997</c:v>
                </c:pt>
                <c:pt idx="210">
                  <c:v>57.685000000000002</c:v>
                </c:pt>
                <c:pt idx="211">
                  <c:v>57.650700000000001</c:v>
                </c:pt>
                <c:pt idx="212">
                  <c:v>57.616500000000002</c:v>
                </c:pt>
                <c:pt idx="213">
                  <c:v>57.5822</c:v>
                </c:pt>
                <c:pt idx="214">
                  <c:v>57.548000000000002</c:v>
                </c:pt>
                <c:pt idx="215">
                  <c:v>57.5137</c:v>
                </c:pt>
                <c:pt idx="216">
                  <c:v>57.479399999999998</c:v>
                </c:pt>
                <c:pt idx="217">
                  <c:v>57.4452</c:v>
                </c:pt>
                <c:pt idx="218">
                  <c:v>57.410899999999998</c:v>
                </c:pt>
                <c:pt idx="219">
                  <c:v>57.3767</c:v>
                </c:pt>
                <c:pt idx="220">
                  <c:v>57.342399999999998</c:v>
                </c:pt>
                <c:pt idx="221">
                  <c:v>57.308100000000003</c:v>
                </c:pt>
                <c:pt idx="222">
                  <c:v>57.273899999999998</c:v>
                </c:pt>
                <c:pt idx="223">
                  <c:v>57.239600000000003</c:v>
                </c:pt>
                <c:pt idx="224">
                  <c:v>57.205300000000001</c:v>
                </c:pt>
                <c:pt idx="225">
                  <c:v>57.171100000000003</c:v>
                </c:pt>
                <c:pt idx="226">
                  <c:v>57.136800000000001</c:v>
                </c:pt>
                <c:pt idx="227">
                  <c:v>57.102600000000002</c:v>
                </c:pt>
                <c:pt idx="228">
                  <c:v>57.068300000000001</c:v>
                </c:pt>
                <c:pt idx="229">
                  <c:v>57.033999999999999</c:v>
                </c:pt>
                <c:pt idx="230">
                  <c:v>56.9998</c:v>
                </c:pt>
                <c:pt idx="231">
                  <c:v>56.965499999999999</c:v>
                </c:pt>
                <c:pt idx="232">
                  <c:v>56.9313</c:v>
                </c:pt>
                <c:pt idx="233">
                  <c:v>56.896999999999998</c:v>
                </c:pt>
                <c:pt idx="234">
                  <c:v>56.862699999999997</c:v>
                </c:pt>
                <c:pt idx="235">
                  <c:v>56.828499999999998</c:v>
                </c:pt>
                <c:pt idx="236">
                  <c:v>56.794199999999996</c:v>
                </c:pt>
                <c:pt idx="237">
                  <c:v>56.759900000000002</c:v>
                </c:pt>
                <c:pt idx="238">
                  <c:v>56.725700000000003</c:v>
                </c:pt>
                <c:pt idx="239">
                  <c:v>56.691400000000002</c:v>
                </c:pt>
                <c:pt idx="240">
                  <c:v>56.657200000000003</c:v>
                </c:pt>
                <c:pt idx="241">
                  <c:v>56.622900000000001</c:v>
                </c:pt>
                <c:pt idx="242">
                  <c:v>56.5886</c:v>
                </c:pt>
                <c:pt idx="243">
                  <c:v>56.554400000000001</c:v>
                </c:pt>
                <c:pt idx="244">
                  <c:v>56.520099999999999</c:v>
                </c:pt>
                <c:pt idx="245">
                  <c:v>56.485900000000001</c:v>
                </c:pt>
                <c:pt idx="246">
                  <c:v>56.451599999999999</c:v>
                </c:pt>
                <c:pt idx="247">
                  <c:v>56.417299999999997</c:v>
                </c:pt>
                <c:pt idx="248">
                  <c:v>56.383099999999999</c:v>
                </c:pt>
                <c:pt idx="249">
                  <c:v>56.348799999999997</c:v>
                </c:pt>
                <c:pt idx="250">
                  <c:v>56.314500000000002</c:v>
                </c:pt>
                <c:pt idx="251">
                  <c:v>56.280299999999997</c:v>
                </c:pt>
                <c:pt idx="252">
                  <c:v>56.246000000000002</c:v>
                </c:pt>
                <c:pt idx="253">
                  <c:v>56.211799999999997</c:v>
                </c:pt>
                <c:pt idx="254">
                  <c:v>56.177500000000002</c:v>
                </c:pt>
                <c:pt idx="255">
                  <c:v>56.1432</c:v>
                </c:pt>
                <c:pt idx="256">
                  <c:v>56.109000000000002</c:v>
                </c:pt>
                <c:pt idx="257">
                  <c:v>56.0747</c:v>
                </c:pt>
                <c:pt idx="258">
                  <c:v>56.040500000000002</c:v>
                </c:pt>
                <c:pt idx="259">
                  <c:v>56.0062</c:v>
                </c:pt>
                <c:pt idx="260">
                  <c:v>55.971899999999998</c:v>
                </c:pt>
                <c:pt idx="261">
                  <c:v>55.9377</c:v>
                </c:pt>
                <c:pt idx="262">
                  <c:v>55.903399999999998</c:v>
                </c:pt>
                <c:pt idx="263">
                  <c:v>55.869100000000003</c:v>
                </c:pt>
                <c:pt idx="264">
                  <c:v>55.834899999999998</c:v>
                </c:pt>
                <c:pt idx="265">
                  <c:v>55.800600000000003</c:v>
                </c:pt>
                <c:pt idx="266">
                  <c:v>55.766399999999997</c:v>
                </c:pt>
                <c:pt idx="267">
                  <c:v>55.732100000000003</c:v>
                </c:pt>
                <c:pt idx="268">
                  <c:v>55.697800000000001</c:v>
                </c:pt>
                <c:pt idx="269">
                  <c:v>55.663600000000002</c:v>
                </c:pt>
                <c:pt idx="270">
                  <c:v>55.629300000000001</c:v>
                </c:pt>
                <c:pt idx="271">
                  <c:v>55.595100000000002</c:v>
                </c:pt>
                <c:pt idx="272">
                  <c:v>55.5608</c:v>
                </c:pt>
                <c:pt idx="273">
                  <c:v>55.526499999999999</c:v>
                </c:pt>
                <c:pt idx="274">
                  <c:v>55.4923</c:v>
                </c:pt>
                <c:pt idx="275">
                  <c:v>55.457999999999998</c:v>
                </c:pt>
                <c:pt idx="276">
                  <c:v>55.423699999999997</c:v>
                </c:pt>
                <c:pt idx="277">
                  <c:v>55.389499999999998</c:v>
                </c:pt>
                <c:pt idx="278">
                  <c:v>55.355200000000004</c:v>
                </c:pt>
                <c:pt idx="279">
                  <c:v>55.320999999999998</c:v>
                </c:pt>
                <c:pt idx="280">
                  <c:v>55.286700000000003</c:v>
                </c:pt>
                <c:pt idx="281">
                  <c:v>55.252400000000002</c:v>
                </c:pt>
                <c:pt idx="282">
                  <c:v>55.218200000000003</c:v>
                </c:pt>
                <c:pt idx="283">
                  <c:v>55.183900000000001</c:v>
                </c:pt>
                <c:pt idx="284">
                  <c:v>55.149700000000003</c:v>
                </c:pt>
                <c:pt idx="285">
                  <c:v>55.115400000000001</c:v>
                </c:pt>
                <c:pt idx="286">
                  <c:v>55.081099999999999</c:v>
                </c:pt>
                <c:pt idx="287">
                  <c:v>55.046900000000001</c:v>
                </c:pt>
                <c:pt idx="288">
                  <c:v>55.012599999999999</c:v>
                </c:pt>
                <c:pt idx="289">
                  <c:v>54.978299999999997</c:v>
                </c:pt>
                <c:pt idx="290">
                  <c:v>54.944099999999999</c:v>
                </c:pt>
                <c:pt idx="291">
                  <c:v>54.909799999999997</c:v>
                </c:pt>
                <c:pt idx="292">
                  <c:v>54.875599999999999</c:v>
                </c:pt>
                <c:pt idx="293">
                  <c:v>54.841299999999997</c:v>
                </c:pt>
                <c:pt idx="294">
                  <c:v>54.807000000000002</c:v>
                </c:pt>
                <c:pt idx="295">
                  <c:v>54.772799999999997</c:v>
                </c:pt>
                <c:pt idx="296">
                  <c:v>54.738500000000002</c:v>
                </c:pt>
                <c:pt idx="297">
                  <c:v>54.704300000000003</c:v>
                </c:pt>
                <c:pt idx="298">
                  <c:v>54.67</c:v>
                </c:pt>
                <c:pt idx="299">
                  <c:v>54.6357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092-204D-8F0F-5A303733914F}"/>
            </c:ext>
          </c:extLst>
        </c:ser>
        <c:ser>
          <c:idx val="1"/>
          <c:order val="1"/>
          <c:tx>
            <c:strRef>
              <c:f>Simulation!$D$1</c:f>
              <c:strCache>
                <c:ptCount val="1"/>
                <c:pt idx="0">
                  <c:v>P50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Simulation!$D$2:$D$301</c:f>
              <c:numCache>
                <c:formatCode>General</c:formatCode>
                <c:ptCount val="300"/>
                <c:pt idx="0">
                  <c:v>68.294700000000006</c:v>
                </c:pt>
                <c:pt idx="1">
                  <c:v>67.801400000000001</c:v>
                </c:pt>
                <c:pt idx="2">
                  <c:v>67.715999999999994</c:v>
                </c:pt>
                <c:pt idx="3">
                  <c:v>67.0428</c:v>
                </c:pt>
                <c:pt idx="4">
                  <c:v>66.609099999999998</c:v>
                </c:pt>
                <c:pt idx="5">
                  <c:v>66.600399999999993</c:v>
                </c:pt>
                <c:pt idx="6">
                  <c:v>66.359899999999996</c:v>
                </c:pt>
                <c:pt idx="7">
                  <c:v>66.120599999999996</c:v>
                </c:pt>
                <c:pt idx="8">
                  <c:v>65.930499999999995</c:v>
                </c:pt>
                <c:pt idx="9">
                  <c:v>65.783900000000003</c:v>
                </c:pt>
                <c:pt idx="10">
                  <c:v>65.383499999999998</c:v>
                </c:pt>
                <c:pt idx="11">
                  <c:v>65.496399999999994</c:v>
                </c:pt>
                <c:pt idx="12">
                  <c:v>65.425899999999999</c:v>
                </c:pt>
                <c:pt idx="13">
                  <c:v>65.316800000000001</c:v>
                </c:pt>
                <c:pt idx="14">
                  <c:v>65.312399999999997</c:v>
                </c:pt>
                <c:pt idx="15">
                  <c:v>65.4709</c:v>
                </c:pt>
                <c:pt idx="16">
                  <c:v>65.074100000000001</c:v>
                </c:pt>
                <c:pt idx="17">
                  <c:v>65.384500000000003</c:v>
                </c:pt>
                <c:pt idx="18">
                  <c:v>65.383700000000005</c:v>
                </c:pt>
                <c:pt idx="19">
                  <c:v>64.921000000000006</c:v>
                </c:pt>
                <c:pt idx="20">
                  <c:v>64.671899999999994</c:v>
                </c:pt>
                <c:pt idx="21">
                  <c:v>64.665899999999993</c:v>
                </c:pt>
                <c:pt idx="22">
                  <c:v>64.580600000000004</c:v>
                </c:pt>
                <c:pt idx="23">
                  <c:v>64.753</c:v>
                </c:pt>
                <c:pt idx="24">
                  <c:v>64.5184</c:v>
                </c:pt>
                <c:pt idx="25">
                  <c:v>63.940199999999997</c:v>
                </c:pt>
                <c:pt idx="26">
                  <c:v>64.051199999999994</c:v>
                </c:pt>
                <c:pt idx="27">
                  <c:v>63.356000000000002</c:v>
                </c:pt>
                <c:pt idx="28">
                  <c:v>63.492600000000003</c:v>
                </c:pt>
                <c:pt idx="29">
                  <c:v>63.8812</c:v>
                </c:pt>
                <c:pt idx="30">
                  <c:v>63.822800000000001</c:v>
                </c:pt>
                <c:pt idx="31">
                  <c:v>63.611600000000003</c:v>
                </c:pt>
                <c:pt idx="32">
                  <c:v>63.688200000000002</c:v>
                </c:pt>
                <c:pt idx="33">
                  <c:v>63.705100000000002</c:v>
                </c:pt>
                <c:pt idx="34">
                  <c:v>63.259900000000002</c:v>
                </c:pt>
                <c:pt idx="35">
                  <c:v>63.463799999999999</c:v>
                </c:pt>
                <c:pt idx="36">
                  <c:v>63.579099999999997</c:v>
                </c:pt>
                <c:pt idx="37">
                  <c:v>63.822000000000003</c:v>
                </c:pt>
                <c:pt idx="38">
                  <c:v>63.89</c:v>
                </c:pt>
                <c:pt idx="39">
                  <c:v>64.002600000000001</c:v>
                </c:pt>
                <c:pt idx="40">
                  <c:v>63.587200000000003</c:v>
                </c:pt>
                <c:pt idx="41">
                  <c:v>63.627299999999998</c:v>
                </c:pt>
                <c:pt idx="42">
                  <c:v>63.357300000000002</c:v>
                </c:pt>
                <c:pt idx="43">
                  <c:v>62.892000000000003</c:v>
                </c:pt>
                <c:pt idx="44">
                  <c:v>63.613100000000003</c:v>
                </c:pt>
                <c:pt idx="45">
                  <c:v>63.198</c:v>
                </c:pt>
                <c:pt idx="46">
                  <c:v>63.062399999999997</c:v>
                </c:pt>
                <c:pt idx="47">
                  <c:v>62.844999999999999</c:v>
                </c:pt>
                <c:pt idx="48">
                  <c:v>62.6145</c:v>
                </c:pt>
                <c:pt idx="49">
                  <c:v>63.1053</c:v>
                </c:pt>
                <c:pt idx="50">
                  <c:v>62.860199999999999</c:v>
                </c:pt>
                <c:pt idx="51">
                  <c:v>62.910299999999999</c:v>
                </c:pt>
                <c:pt idx="52">
                  <c:v>62.301600000000001</c:v>
                </c:pt>
                <c:pt idx="53">
                  <c:v>62.481200000000001</c:v>
                </c:pt>
                <c:pt idx="54">
                  <c:v>62.362000000000002</c:v>
                </c:pt>
                <c:pt idx="55">
                  <c:v>62.566400000000002</c:v>
                </c:pt>
                <c:pt idx="56">
                  <c:v>62.761299999999999</c:v>
                </c:pt>
                <c:pt idx="57">
                  <c:v>63.337400000000002</c:v>
                </c:pt>
                <c:pt idx="58">
                  <c:v>62.783299999999997</c:v>
                </c:pt>
                <c:pt idx="59">
                  <c:v>62.422600000000003</c:v>
                </c:pt>
                <c:pt idx="60">
                  <c:v>62.588099999999997</c:v>
                </c:pt>
                <c:pt idx="61">
                  <c:v>62.356499999999997</c:v>
                </c:pt>
                <c:pt idx="62">
                  <c:v>62.613300000000002</c:v>
                </c:pt>
                <c:pt idx="63">
                  <c:v>62.583500000000001</c:v>
                </c:pt>
                <c:pt idx="64">
                  <c:v>63.014600000000002</c:v>
                </c:pt>
                <c:pt idx="65">
                  <c:v>62.804200000000002</c:v>
                </c:pt>
                <c:pt idx="66">
                  <c:v>62.8996</c:v>
                </c:pt>
                <c:pt idx="67">
                  <c:v>62.928100000000001</c:v>
                </c:pt>
                <c:pt idx="68">
                  <c:v>62.620800000000003</c:v>
                </c:pt>
                <c:pt idx="69">
                  <c:v>62.820099999999996</c:v>
                </c:pt>
                <c:pt idx="70">
                  <c:v>63.287399999999998</c:v>
                </c:pt>
                <c:pt idx="71">
                  <c:v>63.168700000000001</c:v>
                </c:pt>
                <c:pt idx="72">
                  <c:v>62.891599999999997</c:v>
                </c:pt>
                <c:pt idx="73">
                  <c:v>62.721299999999999</c:v>
                </c:pt>
                <c:pt idx="74">
                  <c:v>62.930500000000002</c:v>
                </c:pt>
                <c:pt idx="75">
                  <c:v>62.6355</c:v>
                </c:pt>
                <c:pt idx="76">
                  <c:v>62.648899999999998</c:v>
                </c:pt>
                <c:pt idx="77">
                  <c:v>62.814100000000003</c:v>
                </c:pt>
                <c:pt idx="78">
                  <c:v>63.0745</c:v>
                </c:pt>
                <c:pt idx="79">
                  <c:v>62.987400000000001</c:v>
                </c:pt>
                <c:pt idx="80">
                  <c:v>62.477699999999999</c:v>
                </c:pt>
                <c:pt idx="81">
                  <c:v>62.520099999999999</c:v>
                </c:pt>
                <c:pt idx="82">
                  <c:v>62.274299999999997</c:v>
                </c:pt>
                <c:pt idx="83">
                  <c:v>62.398000000000003</c:v>
                </c:pt>
                <c:pt idx="84">
                  <c:v>62.176699999999997</c:v>
                </c:pt>
                <c:pt idx="85">
                  <c:v>62.078299999999999</c:v>
                </c:pt>
                <c:pt idx="86">
                  <c:v>61.882800000000003</c:v>
                </c:pt>
                <c:pt idx="87">
                  <c:v>61.758800000000001</c:v>
                </c:pt>
                <c:pt idx="88">
                  <c:v>62.489800000000002</c:v>
                </c:pt>
                <c:pt idx="89">
                  <c:v>62.011600000000001</c:v>
                </c:pt>
                <c:pt idx="90">
                  <c:v>61.820099999999996</c:v>
                </c:pt>
                <c:pt idx="91">
                  <c:v>61.529000000000003</c:v>
                </c:pt>
                <c:pt idx="92">
                  <c:v>61.644199999999998</c:v>
                </c:pt>
                <c:pt idx="93">
                  <c:v>61.483800000000002</c:v>
                </c:pt>
                <c:pt idx="94">
                  <c:v>61.343000000000004</c:v>
                </c:pt>
                <c:pt idx="95">
                  <c:v>60.9542</c:v>
                </c:pt>
                <c:pt idx="96">
                  <c:v>60.433999999999997</c:v>
                </c:pt>
                <c:pt idx="97">
                  <c:v>60.3001</c:v>
                </c:pt>
                <c:pt idx="98">
                  <c:v>60.472999999999999</c:v>
                </c:pt>
                <c:pt idx="99">
                  <c:v>60.869599999999998</c:v>
                </c:pt>
                <c:pt idx="100">
                  <c:v>60.967199999999998</c:v>
                </c:pt>
                <c:pt idx="101">
                  <c:v>60.7791</c:v>
                </c:pt>
                <c:pt idx="102">
                  <c:v>61.364400000000003</c:v>
                </c:pt>
                <c:pt idx="103">
                  <c:v>61.255400000000002</c:v>
                </c:pt>
                <c:pt idx="104">
                  <c:v>61.037399999999998</c:v>
                </c:pt>
                <c:pt idx="105">
                  <c:v>61.084000000000003</c:v>
                </c:pt>
                <c:pt idx="106">
                  <c:v>61.1586</c:v>
                </c:pt>
                <c:pt idx="107">
                  <c:v>61.577399999999997</c:v>
                </c:pt>
                <c:pt idx="108">
                  <c:v>61.240200000000002</c:v>
                </c:pt>
                <c:pt idx="109">
                  <c:v>61.502299999999998</c:v>
                </c:pt>
                <c:pt idx="110">
                  <c:v>60.835599999999999</c:v>
                </c:pt>
                <c:pt idx="111">
                  <c:v>61.0535</c:v>
                </c:pt>
                <c:pt idx="112">
                  <c:v>60.529499999999999</c:v>
                </c:pt>
                <c:pt idx="113">
                  <c:v>60.994</c:v>
                </c:pt>
                <c:pt idx="114">
                  <c:v>60.7776</c:v>
                </c:pt>
                <c:pt idx="115">
                  <c:v>60.989199999999997</c:v>
                </c:pt>
                <c:pt idx="116">
                  <c:v>60.859000000000002</c:v>
                </c:pt>
                <c:pt idx="117">
                  <c:v>60.968400000000003</c:v>
                </c:pt>
                <c:pt idx="118">
                  <c:v>60.726399999999998</c:v>
                </c:pt>
                <c:pt idx="119">
                  <c:v>60.670499999999997</c:v>
                </c:pt>
                <c:pt idx="120">
                  <c:v>61.146299999999997</c:v>
                </c:pt>
                <c:pt idx="121">
                  <c:v>61.206400000000002</c:v>
                </c:pt>
                <c:pt idx="122">
                  <c:v>61.753700000000002</c:v>
                </c:pt>
                <c:pt idx="123">
                  <c:v>61.686599999999999</c:v>
                </c:pt>
                <c:pt idx="124">
                  <c:v>60.947600000000001</c:v>
                </c:pt>
                <c:pt idx="125">
                  <c:v>60.886899999999997</c:v>
                </c:pt>
                <c:pt idx="126">
                  <c:v>60.445799999999998</c:v>
                </c:pt>
                <c:pt idx="127">
                  <c:v>60.150300000000001</c:v>
                </c:pt>
                <c:pt idx="128">
                  <c:v>60.156999999999996</c:v>
                </c:pt>
                <c:pt idx="129">
                  <c:v>60.278799999999997</c:v>
                </c:pt>
                <c:pt idx="130">
                  <c:v>59.587400000000002</c:v>
                </c:pt>
                <c:pt idx="131">
                  <c:v>59.313600000000001</c:v>
                </c:pt>
                <c:pt idx="132">
                  <c:v>59.377499999999998</c:v>
                </c:pt>
                <c:pt idx="133">
                  <c:v>59.407899999999998</c:v>
                </c:pt>
                <c:pt idx="134">
                  <c:v>59.741799999999998</c:v>
                </c:pt>
                <c:pt idx="135">
                  <c:v>59.462400000000002</c:v>
                </c:pt>
                <c:pt idx="136">
                  <c:v>59.789299999999997</c:v>
                </c:pt>
                <c:pt idx="137">
                  <c:v>59.872399999999999</c:v>
                </c:pt>
                <c:pt idx="138">
                  <c:v>59.916400000000003</c:v>
                </c:pt>
                <c:pt idx="139">
                  <c:v>60.414400000000001</c:v>
                </c:pt>
                <c:pt idx="140">
                  <c:v>60.186</c:v>
                </c:pt>
                <c:pt idx="141">
                  <c:v>60.031100000000002</c:v>
                </c:pt>
                <c:pt idx="142">
                  <c:v>60.125399999999999</c:v>
                </c:pt>
                <c:pt idx="143">
                  <c:v>59.919600000000003</c:v>
                </c:pt>
                <c:pt idx="144">
                  <c:v>59.594900000000003</c:v>
                </c:pt>
                <c:pt idx="145">
                  <c:v>59.667400000000001</c:v>
                </c:pt>
                <c:pt idx="146">
                  <c:v>59.491300000000003</c:v>
                </c:pt>
                <c:pt idx="147">
                  <c:v>59.798499999999997</c:v>
                </c:pt>
                <c:pt idx="148">
                  <c:v>60.2316</c:v>
                </c:pt>
                <c:pt idx="149">
                  <c:v>60.200200000000002</c:v>
                </c:pt>
                <c:pt idx="150">
                  <c:v>59.999000000000002</c:v>
                </c:pt>
                <c:pt idx="151">
                  <c:v>59.941400000000002</c:v>
                </c:pt>
                <c:pt idx="152">
                  <c:v>60.151600000000002</c:v>
                </c:pt>
                <c:pt idx="153">
                  <c:v>60.090600000000002</c:v>
                </c:pt>
                <c:pt idx="154">
                  <c:v>59.853000000000002</c:v>
                </c:pt>
                <c:pt idx="155">
                  <c:v>59.837600000000002</c:v>
                </c:pt>
                <c:pt idx="156">
                  <c:v>59.904000000000003</c:v>
                </c:pt>
                <c:pt idx="157">
                  <c:v>60.064399999999999</c:v>
                </c:pt>
                <c:pt idx="158">
                  <c:v>60.2468</c:v>
                </c:pt>
                <c:pt idx="159">
                  <c:v>59.739600000000003</c:v>
                </c:pt>
                <c:pt idx="160">
                  <c:v>59.525199999999998</c:v>
                </c:pt>
                <c:pt idx="161">
                  <c:v>59.8279</c:v>
                </c:pt>
                <c:pt idx="162">
                  <c:v>59.814599999999999</c:v>
                </c:pt>
                <c:pt idx="163">
                  <c:v>59.204599999999999</c:v>
                </c:pt>
                <c:pt idx="164">
                  <c:v>59.776600000000002</c:v>
                </c:pt>
                <c:pt idx="165">
                  <c:v>59.235399999999998</c:v>
                </c:pt>
                <c:pt idx="166">
                  <c:v>59.460599999999999</c:v>
                </c:pt>
                <c:pt idx="167">
                  <c:v>59.320799999999998</c:v>
                </c:pt>
                <c:pt idx="168">
                  <c:v>59.476599999999998</c:v>
                </c:pt>
                <c:pt idx="169">
                  <c:v>59.312100000000001</c:v>
                </c:pt>
                <c:pt idx="170">
                  <c:v>59.968200000000003</c:v>
                </c:pt>
                <c:pt idx="171">
                  <c:v>59.154899999999998</c:v>
                </c:pt>
                <c:pt idx="172">
                  <c:v>59.2273</c:v>
                </c:pt>
                <c:pt idx="173">
                  <c:v>58.9161</c:v>
                </c:pt>
                <c:pt idx="174">
                  <c:v>58.901699999999998</c:v>
                </c:pt>
                <c:pt idx="175">
                  <c:v>58.7956</c:v>
                </c:pt>
                <c:pt idx="176">
                  <c:v>58.636499999999998</c:v>
                </c:pt>
                <c:pt idx="177">
                  <c:v>58.411799999999999</c:v>
                </c:pt>
                <c:pt idx="178">
                  <c:v>59.124600000000001</c:v>
                </c:pt>
                <c:pt idx="179">
                  <c:v>58.524299999999997</c:v>
                </c:pt>
                <c:pt idx="180">
                  <c:v>58.806399999999996</c:v>
                </c:pt>
                <c:pt idx="181">
                  <c:v>58.637</c:v>
                </c:pt>
                <c:pt idx="182">
                  <c:v>58.421100000000003</c:v>
                </c:pt>
                <c:pt idx="183">
                  <c:v>58.748800000000003</c:v>
                </c:pt>
                <c:pt idx="184">
                  <c:v>58.416600000000003</c:v>
                </c:pt>
                <c:pt idx="185">
                  <c:v>58.813800000000001</c:v>
                </c:pt>
                <c:pt idx="186">
                  <c:v>59.0899</c:v>
                </c:pt>
                <c:pt idx="187">
                  <c:v>59.006</c:v>
                </c:pt>
                <c:pt idx="188">
                  <c:v>59.099899999999998</c:v>
                </c:pt>
                <c:pt idx="189">
                  <c:v>58.677100000000003</c:v>
                </c:pt>
                <c:pt idx="190">
                  <c:v>58.001899999999999</c:v>
                </c:pt>
                <c:pt idx="191">
                  <c:v>58.121000000000002</c:v>
                </c:pt>
                <c:pt idx="192">
                  <c:v>58.175899999999999</c:v>
                </c:pt>
                <c:pt idx="193">
                  <c:v>58.313699999999997</c:v>
                </c:pt>
                <c:pt idx="194">
                  <c:v>58.316499999999998</c:v>
                </c:pt>
                <c:pt idx="195">
                  <c:v>59.061999999999998</c:v>
                </c:pt>
                <c:pt idx="196">
                  <c:v>58.623699999999999</c:v>
                </c:pt>
                <c:pt idx="197">
                  <c:v>58.728400000000001</c:v>
                </c:pt>
                <c:pt idx="198">
                  <c:v>58.811399999999999</c:v>
                </c:pt>
                <c:pt idx="199">
                  <c:v>58.820300000000003</c:v>
                </c:pt>
                <c:pt idx="200">
                  <c:v>59.194299999999998</c:v>
                </c:pt>
                <c:pt idx="201">
                  <c:v>58.099200000000003</c:v>
                </c:pt>
                <c:pt idx="202">
                  <c:v>57.761600000000001</c:v>
                </c:pt>
                <c:pt idx="203">
                  <c:v>58.112400000000001</c:v>
                </c:pt>
                <c:pt idx="204">
                  <c:v>58.2211</c:v>
                </c:pt>
                <c:pt idx="205">
                  <c:v>57.723199999999999</c:v>
                </c:pt>
                <c:pt idx="206">
                  <c:v>57.688400000000001</c:v>
                </c:pt>
                <c:pt idx="207">
                  <c:v>57.740200000000002</c:v>
                </c:pt>
                <c:pt idx="208">
                  <c:v>57.661700000000003</c:v>
                </c:pt>
                <c:pt idx="209">
                  <c:v>57.849299999999999</c:v>
                </c:pt>
                <c:pt idx="210">
                  <c:v>57.866100000000003</c:v>
                </c:pt>
                <c:pt idx="211">
                  <c:v>57.361600000000003</c:v>
                </c:pt>
                <c:pt idx="212">
                  <c:v>57.889800000000001</c:v>
                </c:pt>
                <c:pt idx="213">
                  <c:v>57.627899999999997</c:v>
                </c:pt>
                <c:pt idx="214">
                  <c:v>57.475099999999998</c:v>
                </c:pt>
                <c:pt idx="215">
                  <c:v>57.366199999999999</c:v>
                </c:pt>
                <c:pt idx="216">
                  <c:v>57.380899999999997</c:v>
                </c:pt>
                <c:pt idx="217">
                  <c:v>57.518000000000001</c:v>
                </c:pt>
                <c:pt idx="218">
                  <c:v>57.335099999999997</c:v>
                </c:pt>
                <c:pt idx="219">
                  <c:v>57.778300000000002</c:v>
                </c:pt>
                <c:pt idx="220">
                  <c:v>57.755600000000001</c:v>
                </c:pt>
                <c:pt idx="221">
                  <c:v>57.5916</c:v>
                </c:pt>
                <c:pt idx="222">
                  <c:v>57.982799999999997</c:v>
                </c:pt>
                <c:pt idx="223">
                  <c:v>58.2971</c:v>
                </c:pt>
                <c:pt idx="224">
                  <c:v>58.331000000000003</c:v>
                </c:pt>
                <c:pt idx="225">
                  <c:v>58.040999999999997</c:v>
                </c:pt>
                <c:pt idx="226">
                  <c:v>57.454799999999999</c:v>
                </c:pt>
                <c:pt idx="227">
                  <c:v>57.5411</c:v>
                </c:pt>
                <c:pt idx="228">
                  <c:v>57.635800000000003</c:v>
                </c:pt>
                <c:pt idx="229">
                  <c:v>57.844799999999999</c:v>
                </c:pt>
                <c:pt idx="230">
                  <c:v>57.862699999999997</c:v>
                </c:pt>
                <c:pt idx="231">
                  <c:v>57.587800000000001</c:v>
                </c:pt>
                <c:pt idx="232">
                  <c:v>57.799300000000002</c:v>
                </c:pt>
                <c:pt idx="233">
                  <c:v>57.183799999999998</c:v>
                </c:pt>
                <c:pt idx="234">
                  <c:v>57.244700000000002</c:v>
                </c:pt>
                <c:pt idx="235">
                  <c:v>57.238900000000001</c:v>
                </c:pt>
                <c:pt idx="236">
                  <c:v>57.369300000000003</c:v>
                </c:pt>
                <c:pt idx="237">
                  <c:v>57.975200000000001</c:v>
                </c:pt>
                <c:pt idx="238">
                  <c:v>57.563200000000002</c:v>
                </c:pt>
                <c:pt idx="239">
                  <c:v>57.431699999999999</c:v>
                </c:pt>
                <c:pt idx="240">
                  <c:v>57.059800000000003</c:v>
                </c:pt>
                <c:pt idx="241">
                  <c:v>57.019500000000001</c:v>
                </c:pt>
                <c:pt idx="242">
                  <c:v>57.063699999999997</c:v>
                </c:pt>
                <c:pt idx="243">
                  <c:v>57.352400000000003</c:v>
                </c:pt>
                <c:pt idx="244">
                  <c:v>57.4925</c:v>
                </c:pt>
                <c:pt idx="245">
                  <c:v>56.979799999999997</c:v>
                </c:pt>
                <c:pt idx="246">
                  <c:v>57.054400000000001</c:v>
                </c:pt>
                <c:pt idx="247">
                  <c:v>56.621000000000002</c:v>
                </c:pt>
                <c:pt idx="248">
                  <c:v>56.545400000000001</c:v>
                </c:pt>
                <c:pt idx="249">
                  <c:v>56.317799999999998</c:v>
                </c:pt>
                <c:pt idx="250">
                  <c:v>56.343299999999999</c:v>
                </c:pt>
                <c:pt idx="251">
                  <c:v>56.133899999999997</c:v>
                </c:pt>
                <c:pt idx="252">
                  <c:v>56.307299999999998</c:v>
                </c:pt>
                <c:pt idx="253">
                  <c:v>56.3294</c:v>
                </c:pt>
                <c:pt idx="254">
                  <c:v>56.040100000000002</c:v>
                </c:pt>
                <c:pt idx="255">
                  <c:v>55.600900000000003</c:v>
                </c:pt>
                <c:pt idx="256">
                  <c:v>55.866799999999998</c:v>
                </c:pt>
                <c:pt idx="257">
                  <c:v>56.117699999999999</c:v>
                </c:pt>
                <c:pt idx="258">
                  <c:v>56.387900000000002</c:v>
                </c:pt>
                <c:pt idx="259">
                  <c:v>56.37</c:v>
                </c:pt>
                <c:pt idx="260">
                  <c:v>56.283799999999999</c:v>
                </c:pt>
                <c:pt idx="261">
                  <c:v>56.153399999999998</c:v>
                </c:pt>
                <c:pt idx="262">
                  <c:v>55.9422</c:v>
                </c:pt>
                <c:pt idx="263">
                  <c:v>56.049100000000003</c:v>
                </c:pt>
                <c:pt idx="264">
                  <c:v>56.027000000000001</c:v>
                </c:pt>
                <c:pt idx="265">
                  <c:v>56.292099999999998</c:v>
                </c:pt>
                <c:pt idx="266">
                  <c:v>56.020099999999999</c:v>
                </c:pt>
                <c:pt idx="267">
                  <c:v>55.575099999999999</c:v>
                </c:pt>
                <c:pt idx="268">
                  <c:v>55.430799999999998</c:v>
                </c:pt>
                <c:pt idx="269">
                  <c:v>55.918999999999997</c:v>
                </c:pt>
                <c:pt idx="270">
                  <c:v>55.1798</c:v>
                </c:pt>
                <c:pt idx="271">
                  <c:v>55.441099999999999</c:v>
                </c:pt>
                <c:pt idx="272">
                  <c:v>55.448999999999998</c:v>
                </c:pt>
                <c:pt idx="273">
                  <c:v>54.765999999999998</c:v>
                </c:pt>
                <c:pt idx="274">
                  <c:v>54.488</c:v>
                </c:pt>
                <c:pt idx="275">
                  <c:v>54.8748</c:v>
                </c:pt>
                <c:pt idx="276">
                  <c:v>54.854999999999997</c:v>
                </c:pt>
                <c:pt idx="277">
                  <c:v>54.994700000000002</c:v>
                </c:pt>
                <c:pt idx="278">
                  <c:v>55.0124</c:v>
                </c:pt>
                <c:pt idx="279">
                  <c:v>55.299900000000001</c:v>
                </c:pt>
                <c:pt idx="280">
                  <c:v>55.047499999999999</c:v>
                </c:pt>
                <c:pt idx="281">
                  <c:v>54.958300000000001</c:v>
                </c:pt>
                <c:pt idx="282">
                  <c:v>55.636099999999999</c:v>
                </c:pt>
                <c:pt idx="283">
                  <c:v>55.528500000000001</c:v>
                </c:pt>
                <c:pt idx="284">
                  <c:v>55.348599999999998</c:v>
                </c:pt>
                <c:pt idx="285">
                  <c:v>54.8767</c:v>
                </c:pt>
                <c:pt idx="286">
                  <c:v>54.9223</c:v>
                </c:pt>
                <c:pt idx="287">
                  <c:v>55.137</c:v>
                </c:pt>
                <c:pt idx="288">
                  <c:v>55.7804</c:v>
                </c:pt>
                <c:pt idx="289">
                  <c:v>55.0518</c:v>
                </c:pt>
                <c:pt idx="290">
                  <c:v>55.185499999999998</c:v>
                </c:pt>
                <c:pt idx="291">
                  <c:v>55.273200000000003</c:v>
                </c:pt>
                <c:pt idx="292">
                  <c:v>54.8977</c:v>
                </c:pt>
                <c:pt idx="293">
                  <c:v>55.2318</c:v>
                </c:pt>
                <c:pt idx="294">
                  <c:v>55.400799999999997</c:v>
                </c:pt>
                <c:pt idx="295">
                  <c:v>55.449399999999997</c:v>
                </c:pt>
                <c:pt idx="296">
                  <c:v>55.0685</c:v>
                </c:pt>
                <c:pt idx="297">
                  <c:v>55.167099999999998</c:v>
                </c:pt>
                <c:pt idx="298">
                  <c:v>55.203600000000002</c:v>
                </c:pt>
                <c:pt idx="299">
                  <c:v>54.787700000000001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092-204D-8F0F-5A303733914F}"/>
            </c:ext>
          </c:extLst>
        </c:ser>
        <c:ser>
          <c:idx val="2"/>
          <c:order val="2"/>
          <c:tx>
            <c:strRef>
              <c:f>Simulation!$F$1</c:f>
              <c:strCache>
                <c:ptCount val="1"/>
                <c:pt idx="0">
                  <c:v>P90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Simulation!$F$2:$F$301</c:f>
              <c:numCache>
                <c:formatCode>General</c:formatCode>
                <c:ptCount val="300"/>
                <c:pt idx="0">
                  <c:v>68.294700000000006</c:v>
                </c:pt>
                <c:pt idx="1">
                  <c:v>88.792000000000002</c:v>
                </c:pt>
                <c:pt idx="2">
                  <c:v>95.421899999999994</c:v>
                </c:pt>
                <c:pt idx="3">
                  <c:v>99.405100000000004</c:v>
                </c:pt>
                <c:pt idx="4">
                  <c:v>101.8293</c:v>
                </c:pt>
                <c:pt idx="5">
                  <c:v>103.20610000000001</c:v>
                </c:pt>
                <c:pt idx="6">
                  <c:v>104.5352</c:v>
                </c:pt>
                <c:pt idx="7">
                  <c:v>105.3618</c:v>
                </c:pt>
                <c:pt idx="8">
                  <c:v>106.68219999999999</c:v>
                </c:pt>
                <c:pt idx="9">
                  <c:v>106.2259</c:v>
                </c:pt>
                <c:pt idx="10">
                  <c:v>106.8023</c:v>
                </c:pt>
                <c:pt idx="11">
                  <c:v>107.48390000000001</c:v>
                </c:pt>
                <c:pt idx="12">
                  <c:v>107.7007</c:v>
                </c:pt>
                <c:pt idx="13">
                  <c:v>107.16670000000001</c:v>
                </c:pt>
                <c:pt idx="14">
                  <c:v>106.9542</c:v>
                </c:pt>
                <c:pt idx="15">
                  <c:v>107.1016</c:v>
                </c:pt>
                <c:pt idx="16">
                  <c:v>106.71169999999999</c:v>
                </c:pt>
                <c:pt idx="17">
                  <c:v>106.69750000000001</c:v>
                </c:pt>
                <c:pt idx="18">
                  <c:v>107.0715</c:v>
                </c:pt>
                <c:pt idx="19">
                  <c:v>106.3661</c:v>
                </c:pt>
                <c:pt idx="20">
                  <c:v>106.0552</c:v>
                </c:pt>
                <c:pt idx="21">
                  <c:v>106.54049999999999</c:v>
                </c:pt>
                <c:pt idx="22">
                  <c:v>106.2385</c:v>
                </c:pt>
                <c:pt idx="23">
                  <c:v>107.02119999999999</c:v>
                </c:pt>
                <c:pt idx="24">
                  <c:v>106.5809</c:v>
                </c:pt>
                <c:pt idx="25">
                  <c:v>106.9217</c:v>
                </c:pt>
                <c:pt idx="26">
                  <c:v>106.31789999999999</c:v>
                </c:pt>
                <c:pt idx="27">
                  <c:v>106.5489</c:v>
                </c:pt>
                <c:pt idx="28">
                  <c:v>107.00709999999999</c:v>
                </c:pt>
                <c:pt idx="29">
                  <c:v>106.4804</c:v>
                </c:pt>
                <c:pt idx="30">
                  <c:v>106.7461</c:v>
                </c:pt>
                <c:pt idx="31">
                  <c:v>106.28489999999999</c:v>
                </c:pt>
                <c:pt idx="32">
                  <c:v>105.93040000000001</c:v>
                </c:pt>
                <c:pt idx="33">
                  <c:v>106.3858</c:v>
                </c:pt>
                <c:pt idx="34">
                  <c:v>106.3125</c:v>
                </c:pt>
                <c:pt idx="35">
                  <c:v>106.08240000000001</c:v>
                </c:pt>
                <c:pt idx="36">
                  <c:v>106.5273</c:v>
                </c:pt>
                <c:pt idx="37">
                  <c:v>106.0641</c:v>
                </c:pt>
                <c:pt idx="38">
                  <c:v>106.3878</c:v>
                </c:pt>
                <c:pt idx="39">
                  <c:v>107.0149</c:v>
                </c:pt>
                <c:pt idx="40">
                  <c:v>106.5256</c:v>
                </c:pt>
                <c:pt idx="41">
                  <c:v>105.9055</c:v>
                </c:pt>
                <c:pt idx="42">
                  <c:v>105.6174</c:v>
                </c:pt>
                <c:pt idx="43">
                  <c:v>106.7486</c:v>
                </c:pt>
                <c:pt idx="44">
                  <c:v>106.6917</c:v>
                </c:pt>
                <c:pt idx="45">
                  <c:v>105.99630000000001</c:v>
                </c:pt>
                <c:pt idx="46">
                  <c:v>106.3837</c:v>
                </c:pt>
                <c:pt idx="47">
                  <c:v>105.53789999999999</c:v>
                </c:pt>
                <c:pt idx="48">
                  <c:v>105.8738</c:v>
                </c:pt>
                <c:pt idx="49">
                  <c:v>105.42019999999999</c:v>
                </c:pt>
                <c:pt idx="50">
                  <c:v>105.9263</c:v>
                </c:pt>
                <c:pt idx="51">
                  <c:v>105.9239</c:v>
                </c:pt>
                <c:pt idx="52">
                  <c:v>107.0939</c:v>
                </c:pt>
                <c:pt idx="53">
                  <c:v>106.59399999999999</c:v>
                </c:pt>
                <c:pt idx="54">
                  <c:v>106.0158</c:v>
                </c:pt>
                <c:pt idx="55">
                  <c:v>105.8965</c:v>
                </c:pt>
                <c:pt idx="56">
                  <c:v>105.88639999999999</c:v>
                </c:pt>
                <c:pt idx="57">
                  <c:v>105.34910000000001</c:v>
                </c:pt>
                <c:pt idx="58">
                  <c:v>105.0819</c:v>
                </c:pt>
                <c:pt idx="59">
                  <c:v>104.7962</c:v>
                </c:pt>
                <c:pt idx="60">
                  <c:v>104.6194</c:v>
                </c:pt>
                <c:pt idx="61">
                  <c:v>104.5851</c:v>
                </c:pt>
                <c:pt idx="62">
                  <c:v>104.42870000000001</c:v>
                </c:pt>
                <c:pt idx="63">
                  <c:v>105.0498</c:v>
                </c:pt>
                <c:pt idx="64">
                  <c:v>105.01730000000001</c:v>
                </c:pt>
                <c:pt idx="65">
                  <c:v>104.7948</c:v>
                </c:pt>
                <c:pt idx="66">
                  <c:v>105.1039</c:v>
                </c:pt>
                <c:pt idx="67">
                  <c:v>104.6435</c:v>
                </c:pt>
                <c:pt idx="68">
                  <c:v>105.58459999999999</c:v>
                </c:pt>
                <c:pt idx="69">
                  <c:v>105.0303</c:v>
                </c:pt>
                <c:pt idx="70">
                  <c:v>104.81950000000001</c:v>
                </c:pt>
                <c:pt idx="71">
                  <c:v>104.794</c:v>
                </c:pt>
                <c:pt idx="72">
                  <c:v>104.23560000000001</c:v>
                </c:pt>
                <c:pt idx="73">
                  <c:v>105.1266</c:v>
                </c:pt>
                <c:pt idx="74">
                  <c:v>104.3575</c:v>
                </c:pt>
                <c:pt idx="75">
                  <c:v>104.0579</c:v>
                </c:pt>
                <c:pt idx="76">
                  <c:v>104.74509999999999</c:v>
                </c:pt>
                <c:pt idx="77">
                  <c:v>105.3045</c:v>
                </c:pt>
                <c:pt idx="78">
                  <c:v>104.739</c:v>
                </c:pt>
                <c:pt idx="79">
                  <c:v>104.8005</c:v>
                </c:pt>
                <c:pt idx="80">
                  <c:v>105.56</c:v>
                </c:pt>
                <c:pt idx="81">
                  <c:v>105.27549999999999</c:v>
                </c:pt>
                <c:pt idx="82">
                  <c:v>105.35850000000001</c:v>
                </c:pt>
                <c:pt idx="83">
                  <c:v>104.9301</c:v>
                </c:pt>
                <c:pt idx="84">
                  <c:v>104.19370000000001</c:v>
                </c:pt>
                <c:pt idx="85">
                  <c:v>104.4503</c:v>
                </c:pt>
                <c:pt idx="86">
                  <c:v>104.4059</c:v>
                </c:pt>
                <c:pt idx="87">
                  <c:v>104.6636</c:v>
                </c:pt>
                <c:pt idx="88">
                  <c:v>103.9323</c:v>
                </c:pt>
                <c:pt idx="89">
                  <c:v>104.3646</c:v>
                </c:pt>
                <c:pt idx="90">
                  <c:v>104.11669999999999</c:v>
                </c:pt>
                <c:pt idx="91">
                  <c:v>103.1152</c:v>
                </c:pt>
                <c:pt idx="92">
                  <c:v>103.5711</c:v>
                </c:pt>
                <c:pt idx="93">
                  <c:v>103.7415</c:v>
                </c:pt>
                <c:pt idx="94">
                  <c:v>103.0638</c:v>
                </c:pt>
                <c:pt idx="95">
                  <c:v>103.24379999999999</c:v>
                </c:pt>
                <c:pt idx="96">
                  <c:v>103.4725</c:v>
                </c:pt>
                <c:pt idx="97">
                  <c:v>104.0874</c:v>
                </c:pt>
                <c:pt idx="98">
                  <c:v>103.7557</c:v>
                </c:pt>
                <c:pt idx="99">
                  <c:v>103.3719</c:v>
                </c:pt>
                <c:pt idx="100">
                  <c:v>102.8931</c:v>
                </c:pt>
                <c:pt idx="101">
                  <c:v>103.48</c:v>
                </c:pt>
                <c:pt idx="102">
                  <c:v>103.4362</c:v>
                </c:pt>
                <c:pt idx="103">
                  <c:v>103.6602</c:v>
                </c:pt>
                <c:pt idx="104">
                  <c:v>103.876</c:v>
                </c:pt>
                <c:pt idx="105">
                  <c:v>103.3539</c:v>
                </c:pt>
                <c:pt idx="106">
                  <c:v>104.0643</c:v>
                </c:pt>
                <c:pt idx="107">
                  <c:v>103.729</c:v>
                </c:pt>
                <c:pt idx="108">
                  <c:v>103.124</c:v>
                </c:pt>
                <c:pt idx="109">
                  <c:v>104.1474</c:v>
                </c:pt>
                <c:pt idx="110">
                  <c:v>103.8365</c:v>
                </c:pt>
                <c:pt idx="111">
                  <c:v>103.62779999999999</c:v>
                </c:pt>
                <c:pt idx="112">
                  <c:v>103.6986</c:v>
                </c:pt>
                <c:pt idx="113">
                  <c:v>104.1523</c:v>
                </c:pt>
                <c:pt idx="114">
                  <c:v>103.7169</c:v>
                </c:pt>
                <c:pt idx="115">
                  <c:v>102.9686</c:v>
                </c:pt>
                <c:pt idx="116">
                  <c:v>104.0425</c:v>
                </c:pt>
                <c:pt idx="117">
                  <c:v>103.405</c:v>
                </c:pt>
                <c:pt idx="118">
                  <c:v>104.0852</c:v>
                </c:pt>
                <c:pt idx="119">
                  <c:v>102.6712</c:v>
                </c:pt>
                <c:pt idx="120">
                  <c:v>102.8569</c:v>
                </c:pt>
                <c:pt idx="121">
                  <c:v>103.6764</c:v>
                </c:pt>
                <c:pt idx="122">
                  <c:v>102.9127</c:v>
                </c:pt>
                <c:pt idx="123">
                  <c:v>103.0419</c:v>
                </c:pt>
                <c:pt idx="124">
                  <c:v>102.3314</c:v>
                </c:pt>
                <c:pt idx="125">
                  <c:v>102.20659999999999</c:v>
                </c:pt>
                <c:pt idx="126">
                  <c:v>102.40049999999999</c:v>
                </c:pt>
                <c:pt idx="127">
                  <c:v>103.4308</c:v>
                </c:pt>
                <c:pt idx="128">
                  <c:v>102.1999</c:v>
                </c:pt>
                <c:pt idx="129">
                  <c:v>102.2739</c:v>
                </c:pt>
                <c:pt idx="130">
                  <c:v>102.51300000000001</c:v>
                </c:pt>
                <c:pt idx="131">
                  <c:v>102.4083</c:v>
                </c:pt>
                <c:pt idx="132">
                  <c:v>103.0194</c:v>
                </c:pt>
                <c:pt idx="133">
                  <c:v>102.6127</c:v>
                </c:pt>
                <c:pt idx="134">
                  <c:v>103.1204</c:v>
                </c:pt>
                <c:pt idx="135">
                  <c:v>102.2724</c:v>
                </c:pt>
                <c:pt idx="136">
                  <c:v>102.1324</c:v>
                </c:pt>
                <c:pt idx="137">
                  <c:v>102.39409999999999</c:v>
                </c:pt>
                <c:pt idx="138">
                  <c:v>101.65049999999999</c:v>
                </c:pt>
                <c:pt idx="139">
                  <c:v>101.8997</c:v>
                </c:pt>
                <c:pt idx="140">
                  <c:v>102.251</c:v>
                </c:pt>
                <c:pt idx="141">
                  <c:v>102.3168</c:v>
                </c:pt>
                <c:pt idx="142">
                  <c:v>103.2574</c:v>
                </c:pt>
                <c:pt idx="143">
                  <c:v>102.6332</c:v>
                </c:pt>
                <c:pt idx="144">
                  <c:v>102.9134</c:v>
                </c:pt>
                <c:pt idx="145">
                  <c:v>102.5651</c:v>
                </c:pt>
                <c:pt idx="146">
                  <c:v>102.9928</c:v>
                </c:pt>
                <c:pt idx="147">
                  <c:v>102.6515</c:v>
                </c:pt>
                <c:pt idx="148">
                  <c:v>101.60129999999999</c:v>
                </c:pt>
                <c:pt idx="149">
                  <c:v>102.0462</c:v>
                </c:pt>
                <c:pt idx="150">
                  <c:v>102.43300000000001</c:v>
                </c:pt>
                <c:pt idx="151">
                  <c:v>101.99169999999999</c:v>
                </c:pt>
                <c:pt idx="152">
                  <c:v>101.5997</c:v>
                </c:pt>
                <c:pt idx="153">
                  <c:v>101.5175</c:v>
                </c:pt>
                <c:pt idx="154">
                  <c:v>101.81180000000001</c:v>
                </c:pt>
                <c:pt idx="155">
                  <c:v>101.7285</c:v>
                </c:pt>
                <c:pt idx="156">
                  <c:v>101.84310000000001</c:v>
                </c:pt>
                <c:pt idx="157">
                  <c:v>102.3386</c:v>
                </c:pt>
                <c:pt idx="158">
                  <c:v>102.0985</c:v>
                </c:pt>
                <c:pt idx="159">
                  <c:v>102.76649999999999</c:v>
                </c:pt>
                <c:pt idx="160">
                  <c:v>102.9953</c:v>
                </c:pt>
                <c:pt idx="161">
                  <c:v>102.5698</c:v>
                </c:pt>
                <c:pt idx="162">
                  <c:v>101.4092</c:v>
                </c:pt>
                <c:pt idx="163">
                  <c:v>102.29349999999999</c:v>
                </c:pt>
                <c:pt idx="164">
                  <c:v>102.44159999999999</c:v>
                </c:pt>
                <c:pt idx="165">
                  <c:v>102.24160000000001</c:v>
                </c:pt>
                <c:pt idx="166">
                  <c:v>102.7966</c:v>
                </c:pt>
                <c:pt idx="167">
                  <c:v>102.2007</c:v>
                </c:pt>
                <c:pt idx="168">
                  <c:v>101.8429</c:v>
                </c:pt>
                <c:pt idx="169">
                  <c:v>101.6437</c:v>
                </c:pt>
                <c:pt idx="170">
                  <c:v>101.09010000000001</c:v>
                </c:pt>
                <c:pt idx="171">
                  <c:v>101.45059999999999</c:v>
                </c:pt>
                <c:pt idx="172">
                  <c:v>101.36409999999999</c:v>
                </c:pt>
                <c:pt idx="173">
                  <c:v>101.1601</c:v>
                </c:pt>
                <c:pt idx="174">
                  <c:v>101.69970000000001</c:v>
                </c:pt>
                <c:pt idx="175">
                  <c:v>101.75579999999999</c:v>
                </c:pt>
                <c:pt idx="176">
                  <c:v>101.642</c:v>
                </c:pt>
                <c:pt idx="177">
                  <c:v>101.24079999999999</c:v>
                </c:pt>
                <c:pt idx="178">
                  <c:v>101.84010000000001</c:v>
                </c:pt>
                <c:pt idx="179">
                  <c:v>102.12479999999999</c:v>
                </c:pt>
                <c:pt idx="180">
                  <c:v>102.17870000000001</c:v>
                </c:pt>
                <c:pt idx="181">
                  <c:v>101.43729999999999</c:v>
                </c:pt>
                <c:pt idx="182">
                  <c:v>101.8087</c:v>
                </c:pt>
                <c:pt idx="183">
                  <c:v>101.7594</c:v>
                </c:pt>
                <c:pt idx="184">
                  <c:v>100.8886</c:v>
                </c:pt>
                <c:pt idx="185">
                  <c:v>101.7694</c:v>
                </c:pt>
                <c:pt idx="186">
                  <c:v>101.6969</c:v>
                </c:pt>
                <c:pt idx="187">
                  <c:v>100.7578</c:v>
                </c:pt>
                <c:pt idx="188">
                  <c:v>100.8995</c:v>
                </c:pt>
                <c:pt idx="189">
                  <c:v>101.2963</c:v>
                </c:pt>
                <c:pt idx="190">
                  <c:v>101.434</c:v>
                </c:pt>
                <c:pt idx="191">
                  <c:v>101.25190000000001</c:v>
                </c:pt>
                <c:pt idx="192">
                  <c:v>101.35380000000001</c:v>
                </c:pt>
                <c:pt idx="193">
                  <c:v>101.0924</c:v>
                </c:pt>
                <c:pt idx="194">
                  <c:v>100.7328</c:v>
                </c:pt>
                <c:pt idx="195">
                  <c:v>101.4028</c:v>
                </c:pt>
                <c:pt idx="196">
                  <c:v>100.315</c:v>
                </c:pt>
                <c:pt idx="197">
                  <c:v>100.7097</c:v>
                </c:pt>
                <c:pt idx="198">
                  <c:v>99.936599999999999</c:v>
                </c:pt>
                <c:pt idx="199">
                  <c:v>100.5244</c:v>
                </c:pt>
                <c:pt idx="200">
                  <c:v>100.52979999999999</c:v>
                </c:pt>
                <c:pt idx="201">
                  <c:v>100.56270000000001</c:v>
                </c:pt>
                <c:pt idx="202">
                  <c:v>101.26730000000001</c:v>
                </c:pt>
                <c:pt idx="203">
                  <c:v>100.318</c:v>
                </c:pt>
                <c:pt idx="204">
                  <c:v>101.14660000000001</c:v>
                </c:pt>
                <c:pt idx="205">
                  <c:v>100.39790000000001</c:v>
                </c:pt>
                <c:pt idx="206">
                  <c:v>100.2668</c:v>
                </c:pt>
                <c:pt idx="207">
                  <c:v>100.4824</c:v>
                </c:pt>
                <c:pt idx="208">
                  <c:v>100.1611</c:v>
                </c:pt>
                <c:pt idx="209">
                  <c:v>100.7315</c:v>
                </c:pt>
                <c:pt idx="210">
                  <c:v>100.955</c:v>
                </c:pt>
                <c:pt idx="211">
                  <c:v>100.3673</c:v>
                </c:pt>
                <c:pt idx="212">
                  <c:v>100.2337</c:v>
                </c:pt>
                <c:pt idx="213">
                  <c:v>100.1961</c:v>
                </c:pt>
                <c:pt idx="214">
                  <c:v>99.870500000000007</c:v>
                </c:pt>
                <c:pt idx="215">
                  <c:v>99.554400000000001</c:v>
                </c:pt>
                <c:pt idx="216">
                  <c:v>99.727900000000005</c:v>
                </c:pt>
                <c:pt idx="217">
                  <c:v>100.1896</c:v>
                </c:pt>
                <c:pt idx="218">
                  <c:v>99.789100000000005</c:v>
                </c:pt>
                <c:pt idx="219">
                  <c:v>100.845</c:v>
                </c:pt>
                <c:pt idx="220">
                  <c:v>100.55240000000001</c:v>
                </c:pt>
                <c:pt idx="221">
                  <c:v>100.7236</c:v>
                </c:pt>
                <c:pt idx="222">
                  <c:v>100.83150000000001</c:v>
                </c:pt>
                <c:pt idx="223">
                  <c:v>99.891400000000004</c:v>
                </c:pt>
                <c:pt idx="224">
                  <c:v>100.8745</c:v>
                </c:pt>
                <c:pt idx="225">
                  <c:v>100.49169999999999</c:v>
                </c:pt>
                <c:pt idx="226">
                  <c:v>100.3511</c:v>
                </c:pt>
                <c:pt idx="227">
                  <c:v>100.3754</c:v>
                </c:pt>
                <c:pt idx="228">
                  <c:v>100.0886</c:v>
                </c:pt>
                <c:pt idx="229">
                  <c:v>100.55289999999999</c:v>
                </c:pt>
                <c:pt idx="230">
                  <c:v>99.490899999999996</c:v>
                </c:pt>
                <c:pt idx="231">
                  <c:v>100.2533</c:v>
                </c:pt>
                <c:pt idx="232">
                  <c:v>99.635000000000005</c:v>
                </c:pt>
                <c:pt idx="233">
                  <c:v>99.327799999999996</c:v>
                </c:pt>
                <c:pt idx="234">
                  <c:v>100.0309</c:v>
                </c:pt>
                <c:pt idx="235">
                  <c:v>99.275700000000001</c:v>
                </c:pt>
                <c:pt idx="236">
                  <c:v>99.905799999999999</c:v>
                </c:pt>
                <c:pt idx="237">
                  <c:v>99.717399999999998</c:v>
                </c:pt>
                <c:pt idx="238">
                  <c:v>99.501800000000003</c:v>
                </c:pt>
                <c:pt idx="239">
                  <c:v>100.2013</c:v>
                </c:pt>
                <c:pt idx="240">
                  <c:v>99.924599999999998</c:v>
                </c:pt>
                <c:pt idx="241">
                  <c:v>99.6434</c:v>
                </c:pt>
                <c:pt idx="242">
                  <c:v>100.2641</c:v>
                </c:pt>
                <c:pt idx="243">
                  <c:v>99.823700000000002</c:v>
                </c:pt>
                <c:pt idx="244">
                  <c:v>99.422300000000007</c:v>
                </c:pt>
                <c:pt idx="245">
                  <c:v>100.1323</c:v>
                </c:pt>
                <c:pt idx="246">
                  <c:v>99.182299999999998</c:v>
                </c:pt>
                <c:pt idx="247">
                  <c:v>98.911799999999999</c:v>
                </c:pt>
                <c:pt idx="248">
                  <c:v>98.702699999999993</c:v>
                </c:pt>
                <c:pt idx="249">
                  <c:v>98.417500000000004</c:v>
                </c:pt>
                <c:pt idx="250">
                  <c:v>99.028000000000006</c:v>
                </c:pt>
                <c:pt idx="251">
                  <c:v>99.036799999999999</c:v>
                </c:pt>
                <c:pt idx="252">
                  <c:v>99.232799999999997</c:v>
                </c:pt>
                <c:pt idx="253">
                  <c:v>98.9131</c:v>
                </c:pt>
                <c:pt idx="254">
                  <c:v>99.431899999999999</c:v>
                </c:pt>
                <c:pt idx="255">
                  <c:v>99.149299999999997</c:v>
                </c:pt>
                <c:pt idx="256">
                  <c:v>99.001199999999997</c:v>
                </c:pt>
                <c:pt idx="257">
                  <c:v>98.410899999999998</c:v>
                </c:pt>
                <c:pt idx="258">
                  <c:v>98.407200000000003</c:v>
                </c:pt>
                <c:pt idx="259">
                  <c:v>98.131100000000004</c:v>
                </c:pt>
                <c:pt idx="260">
                  <c:v>98.128500000000003</c:v>
                </c:pt>
                <c:pt idx="261">
                  <c:v>98.080600000000004</c:v>
                </c:pt>
                <c:pt idx="262">
                  <c:v>97.723500000000001</c:v>
                </c:pt>
                <c:pt idx="263">
                  <c:v>98.469200000000001</c:v>
                </c:pt>
                <c:pt idx="264">
                  <c:v>97.911600000000007</c:v>
                </c:pt>
                <c:pt idx="265">
                  <c:v>98.0792</c:v>
                </c:pt>
                <c:pt idx="266">
                  <c:v>98.495800000000003</c:v>
                </c:pt>
                <c:pt idx="267">
                  <c:v>98.351200000000006</c:v>
                </c:pt>
                <c:pt idx="268">
                  <c:v>97.255099999999999</c:v>
                </c:pt>
                <c:pt idx="269">
                  <c:v>97.260800000000003</c:v>
                </c:pt>
                <c:pt idx="270">
                  <c:v>97.0364</c:v>
                </c:pt>
                <c:pt idx="271">
                  <c:v>97.063800000000001</c:v>
                </c:pt>
                <c:pt idx="272">
                  <c:v>96.849900000000005</c:v>
                </c:pt>
                <c:pt idx="273">
                  <c:v>96.576599999999999</c:v>
                </c:pt>
                <c:pt idx="274">
                  <c:v>97.297300000000007</c:v>
                </c:pt>
                <c:pt idx="275">
                  <c:v>97.022900000000007</c:v>
                </c:pt>
                <c:pt idx="276">
                  <c:v>96.806799999999996</c:v>
                </c:pt>
                <c:pt idx="277">
                  <c:v>97.090900000000005</c:v>
                </c:pt>
                <c:pt idx="278">
                  <c:v>97.3078</c:v>
                </c:pt>
                <c:pt idx="279">
                  <c:v>98.006799999999998</c:v>
                </c:pt>
                <c:pt idx="280">
                  <c:v>97.8</c:v>
                </c:pt>
                <c:pt idx="281">
                  <c:v>97.215900000000005</c:v>
                </c:pt>
                <c:pt idx="282">
                  <c:v>97.407399999999996</c:v>
                </c:pt>
                <c:pt idx="283">
                  <c:v>97</c:v>
                </c:pt>
                <c:pt idx="284">
                  <c:v>97.294799999999995</c:v>
                </c:pt>
                <c:pt idx="285">
                  <c:v>98.680199999999999</c:v>
                </c:pt>
                <c:pt idx="286">
                  <c:v>97.782399999999996</c:v>
                </c:pt>
                <c:pt idx="287">
                  <c:v>97.395799999999994</c:v>
                </c:pt>
                <c:pt idx="288">
                  <c:v>97.242599999999996</c:v>
                </c:pt>
                <c:pt idx="289">
                  <c:v>97.208399999999997</c:v>
                </c:pt>
                <c:pt idx="290">
                  <c:v>97.206599999999995</c:v>
                </c:pt>
                <c:pt idx="291">
                  <c:v>97.394599999999997</c:v>
                </c:pt>
                <c:pt idx="292">
                  <c:v>98.322400000000002</c:v>
                </c:pt>
                <c:pt idx="293">
                  <c:v>97.313299999999998</c:v>
                </c:pt>
                <c:pt idx="294">
                  <c:v>97.4803</c:v>
                </c:pt>
                <c:pt idx="295">
                  <c:v>98.040599999999998</c:v>
                </c:pt>
                <c:pt idx="296">
                  <c:v>97.702799999999996</c:v>
                </c:pt>
                <c:pt idx="297">
                  <c:v>97.2149</c:v>
                </c:pt>
                <c:pt idx="298">
                  <c:v>97.247100000000003</c:v>
                </c:pt>
                <c:pt idx="299">
                  <c:v>97.016499999999994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F092-204D-8F0F-5A303733914F}"/>
            </c:ext>
          </c:extLst>
        </c:ser>
        <c:ser>
          <c:idx val="3"/>
          <c:order val="3"/>
          <c:tx>
            <c:strRef>
              <c:f>Simulation!$I$1</c:f>
              <c:strCache>
                <c:ptCount val="1"/>
                <c:pt idx="0">
                  <c:v>P1</c:v>
                </c:pt>
              </c:strCache>
            </c:strRef>
          </c:tx>
          <c:spPr>
            <a:ln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Simulation!$I$2:$I$301</c:f>
              <c:numCache>
                <c:formatCode>General</c:formatCode>
                <c:ptCount val="300"/>
                <c:pt idx="0">
                  <c:v>68.294700000000006</c:v>
                </c:pt>
                <c:pt idx="1">
                  <c:v>29.904399999999999</c:v>
                </c:pt>
                <c:pt idx="2">
                  <c:v>16.7822</c:v>
                </c:pt>
                <c:pt idx="3">
                  <c:v>8.3993000000000002</c:v>
                </c:pt>
                <c:pt idx="4">
                  <c:v>1.8517999999999999</c:v>
                </c:pt>
                <c:pt idx="5">
                  <c:v>-0.58720000000000006</c:v>
                </c:pt>
                <c:pt idx="6">
                  <c:v>-3.1092</c:v>
                </c:pt>
                <c:pt idx="7">
                  <c:v>-3.7242999999999999</c:v>
                </c:pt>
                <c:pt idx="8">
                  <c:v>-6.282</c:v>
                </c:pt>
                <c:pt idx="9">
                  <c:v>-7.1670999999999996</c:v>
                </c:pt>
                <c:pt idx="10">
                  <c:v>-9.9291</c:v>
                </c:pt>
                <c:pt idx="11">
                  <c:v>-10.276999999999999</c:v>
                </c:pt>
                <c:pt idx="12">
                  <c:v>-10.3538</c:v>
                </c:pt>
                <c:pt idx="13">
                  <c:v>-10.622400000000001</c:v>
                </c:pt>
                <c:pt idx="14">
                  <c:v>-11.728199999999999</c:v>
                </c:pt>
                <c:pt idx="15">
                  <c:v>-10.784700000000001</c:v>
                </c:pt>
                <c:pt idx="16">
                  <c:v>-10.3581</c:v>
                </c:pt>
                <c:pt idx="17">
                  <c:v>-10.783799999999999</c:v>
                </c:pt>
                <c:pt idx="18">
                  <c:v>-10.436</c:v>
                </c:pt>
                <c:pt idx="19">
                  <c:v>-12.1113</c:v>
                </c:pt>
                <c:pt idx="20">
                  <c:v>-13.504</c:v>
                </c:pt>
                <c:pt idx="21">
                  <c:v>-13.9411</c:v>
                </c:pt>
                <c:pt idx="22">
                  <c:v>-13.647500000000001</c:v>
                </c:pt>
                <c:pt idx="23">
                  <c:v>-12.8962</c:v>
                </c:pt>
                <c:pt idx="24">
                  <c:v>-12.7455</c:v>
                </c:pt>
                <c:pt idx="25">
                  <c:v>-14.4254</c:v>
                </c:pt>
                <c:pt idx="26">
                  <c:v>-13.498100000000001</c:v>
                </c:pt>
                <c:pt idx="27">
                  <c:v>-13.906000000000001</c:v>
                </c:pt>
                <c:pt idx="28">
                  <c:v>-13.088100000000001</c:v>
                </c:pt>
                <c:pt idx="29">
                  <c:v>-13.6127</c:v>
                </c:pt>
                <c:pt idx="30">
                  <c:v>-14.2719</c:v>
                </c:pt>
                <c:pt idx="31">
                  <c:v>-14.798500000000001</c:v>
                </c:pt>
                <c:pt idx="32">
                  <c:v>-13.538500000000001</c:v>
                </c:pt>
                <c:pt idx="33">
                  <c:v>-11.889900000000001</c:v>
                </c:pt>
                <c:pt idx="34">
                  <c:v>-12.8583</c:v>
                </c:pt>
                <c:pt idx="35">
                  <c:v>-13.456300000000001</c:v>
                </c:pt>
                <c:pt idx="36">
                  <c:v>-12.6991</c:v>
                </c:pt>
                <c:pt idx="37">
                  <c:v>-13.132999999999999</c:v>
                </c:pt>
                <c:pt idx="38">
                  <c:v>-13.748699999999999</c:v>
                </c:pt>
                <c:pt idx="39">
                  <c:v>-10.923299999999999</c:v>
                </c:pt>
                <c:pt idx="40">
                  <c:v>-11.792199999999999</c:v>
                </c:pt>
                <c:pt idx="41">
                  <c:v>-12.793900000000001</c:v>
                </c:pt>
                <c:pt idx="42">
                  <c:v>-12.7378</c:v>
                </c:pt>
                <c:pt idx="43">
                  <c:v>-13.1998</c:v>
                </c:pt>
                <c:pt idx="44">
                  <c:v>-13.6732</c:v>
                </c:pt>
                <c:pt idx="45">
                  <c:v>-11.345700000000001</c:v>
                </c:pt>
                <c:pt idx="46">
                  <c:v>-13.978</c:v>
                </c:pt>
                <c:pt idx="47">
                  <c:v>-11.7179</c:v>
                </c:pt>
                <c:pt idx="48">
                  <c:v>-15.3363</c:v>
                </c:pt>
                <c:pt idx="49">
                  <c:v>-13.8474</c:v>
                </c:pt>
                <c:pt idx="50">
                  <c:v>-14.554600000000001</c:v>
                </c:pt>
                <c:pt idx="51">
                  <c:v>-13.6883</c:v>
                </c:pt>
                <c:pt idx="52">
                  <c:v>-14.742100000000001</c:v>
                </c:pt>
                <c:pt idx="53">
                  <c:v>-15.0685</c:v>
                </c:pt>
                <c:pt idx="54">
                  <c:v>-15.131</c:v>
                </c:pt>
                <c:pt idx="55">
                  <c:v>-15.072900000000001</c:v>
                </c:pt>
                <c:pt idx="56">
                  <c:v>-15.904400000000001</c:v>
                </c:pt>
                <c:pt idx="57">
                  <c:v>-12.8935</c:v>
                </c:pt>
                <c:pt idx="58">
                  <c:v>-13.5031</c:v>
                </c:pt>
                <c:pt idx="59">
                  <c:v>-14.852</c:v>
                </c:pt>
                <c:pt idx="60">
                  <c:v>-14.4422</c:v>
                </c:pt>
                <c:pt idx="61">
                  <c:v>-14.311299999999999</c:v>
                </c:pt>
                <c:pt idx="62">
                  <c:v>-14.1129</c:v>
                </c:pt>
                <c:pt idx="63">
                  <c:v>-15.600199999999999</c:v>
                </c:pt>
                <c:pt idx="64">
                  <c:v>-14.6386</c:v>
                </c:pt>
                <c:pt idx="65">
                  <c:v>-14.2339</c:v>
                </c:pt>
                <c:pt idx="66">
                  <c:v>-13.939</c:v>
                </c:pt>
                <c:pt idx="67">
                  <c:v>-13.5924</c:v>
                </c:pt>
                <c:pt idx="68">
                  <c:v>-14.416399999999999</c:v>
                </c:pt>
                <c:pt idx="69">
                  <c:v>-12.809699999999999</c:v>
                </c:pt>
                <c:pt idx="70">
                  <c:v>-12.5524</c:v>
                </c:pt>
                <c:pt idx="71">
                  <c:v>-14.5814</c:v>
                </c:pt>
                <c:pt idx="72">
                  <c:v>-14.459099999999999</c:v>
                </c:pt>
                <c:pt idx="73">
                  <c:v>-14.246700000000001</c:v>
                </c:pt>
                <c:pt idx="74">
                  <c:v>-13.198700000000001</c:v>
                </c:pt>
                <c:pt idx="75">
                  <c:v>-13.7272</c:v>
                </c:pt>
                <c:pt idx="76">
                  <c:v>-14.894299999999999</c:v>
                </c:pt>
                <c:pt idx="77">
                  <c:v>-14.1244</c:v>
                </c:pt>
                <c:pt idx="78">
                  <c:v>-14.9331</c:v>
                </c:pt>
                <c:pt idx="79">
                  <c:v>-14.484299999999999</c:v>
                </c:pt>
                <c:pt idx="80">
                  <c:v>-13.9704</c:v>
                </c:pt>
                <c:pt idx="81">
                  <c:v>-13.4672</c:v>
                </c:pt>
                <c:pt idx="82">
                  <c:v>-11.973000000000001</c:v>
                </c:pt>
                <c:pt idx="83">
                  <c:v>-14.044600000000001</c:v>
                </c:pt>
                <c:pt idx="84">
                  <c:v>-14.858700000000001</c:v>
                </c:pt>
                <c:pt idx="85">
                  <c:v>-17.5259</c:v>
                </c:pt>
                <c:pt idx="86">
                  <c:v>-16.604500000000002</c:v>
                </c:pt>
                <c:pt idx="87">
                  <c:v>-15.8719</c:v>
                </c:pt>
                <c:pt idx="88">
                  <c:v>-14.683</c:v>
                </c:pt>
                <c:pt idx="89">
                  <c:v>-15.2051</c:v>
                </c:pt>
                <c:pt idx="90">
                  <c:v>-14.3461</c:v>
                </c:pt>
                <c:pt idx="91">
                  <c:v>-13.7967</c:v>
                </c:pt>
                <c:pt idx="92">
                  <c:v>-14.792999999999999</c:v>
                </c:pt>
                <c:pt idx="93">
                  <c:v>-12.9876</c:v>
                </c:pt>
                <c:pt idx="94">
                  <c:v>-16.6783</c:v>
                </c:pt>
                <c:pt idx="95">
                  <c:v>-17.8401</c:v>
                </c:pt>
                <c:pt idx="96">
                  <c:v>-16.38</c:v>
                </c:pt>
                <c:pt idx="97">
                  <c:v>-14.069699999999999</c:v>
                </c:pt>
                <c:pt idx="98">
                  <c:v>-14.218400000000001</c:v>
                </c:pt>
                <c:pt idx="99">
                  <c:v>-14.901899999999999</c:v>
                </c:pt>
                <c:pt idx="100">
                  <c:v>-16.207899999999999</c:v>
                </c:pt>
                <c:pt idx="101">
                  <c:v>-15.758599999999999</c:v>
                </c:pt>
                <c:pt idx="102">
                  <c:v>-15.114800000000001</c:v>
                </c:pt>
                <c:pt idx="103">
                  <c:v>-16.111499999999999</c:v>
                </c:pt>
                <c:pt idx="104">
                  <c:v>-17.392700000000001</c:v>
                </c:pt>
                <c:pt idx="105">
                  <c:v>-14.813000000000001</c:v>
                </c:pt>
                <c:pt idx="106">
                  <c:v>-16.495899999999999</c:v>
                </c:pt>
                <c:pt idx="107">
                  <c:v>-15.9916</c:v>
                </c:pt>
                <c:pt idx="108">
                  <c:v>-15.6677</c:v>
                </c:pt>
                <c:pt idx="109">
                  <c:v>-15.3741</c:v>
                </c:pt>
                <c:pt idx="110">
                  <c:v>-16.553699999999999</c:v>
                </c:pt>
                <c:pt idx="111">
                  <c:v>-16.214200000000002</c:v>
                </c:pt>
                <c:pt idx="112">
                  <c:v>-15.9712</c:v>
                </c:pt>
                <c:pt idx="113">
                  <c:v>-16.410299999999999</c:v>
                </c:pt>
                <c:pt idx="114">
                  <c:v>-15.899100000000001</c:v>
                </c:pt>
                <c:pt idx="115">
                  <c:v>-19.121200000000002</c:v>
                </c:pt>
                <c:pt idx="116">
                  <c:v>-16.9329</c:v>
                </c:pt>
                <c:pt idx="117">
                  <c:v>-16.0822</c:v>
                </c:pt>
                <c:pt idx="118">
                  <c:v>-16.359400000000001</c:v>
                </c:pt>
                <c:pt idx="119">
                  <c:v>-17.661999999999999</c:v>
                </c:pt>
                <c:pt idx="120">
                  <c:v>-14.7202</c:v>
                </c:pt>
                <c:pt idx="121">
                  <c:v>-14.688499999999999</c:v>
                </c:pt>
                <c:pt idx="122">
                  <c:v>-17.2074</c:v>
                </c:pt>
                <c:pt idx="123">
                  <c:v>-16.354800000000001</c:v>
                </c:pt>
                <c:pt idx="124">
                  <c:v>-15.916399999999999</c:v>
                </c:pt>
                <c:pt idx="125">
                  <c:v>-17.090699999999998</c:v>
                </c:pt>
                <c:pt idx="126">
                  <c:v>-17.619299999999999</c:v>
                </c:pt>
                <c:pt idx="127">
                  <c:v>-17.385300000000001</c:v>
                </c:pt>
                <c:pt idx="128">
                  <c:v>-16.589500000000001</c:v>
                </c:pt>
                <c:pt idx="129">
                  <c:v>-17.134499999999999</c:v>
                </c:pt>
                <c:pt idx="130">
                  <c:v>-16.1617</c:v>
                </c:pt>
                <c:pt idx="131">
                  <c:v>-18.368500000000001</c:v>
                </c:pt>
                <c:pt idx="132">
                  <c:v>-16.144200000000001</c:v>
                </c:pt>
                <c:pt idx="133">
                  <c:v>-16.664000000000001</c:v>
                </c:pt>
                <c:pt idx="134">
                  <c:v>-17.2591</c:v>
                </c:pt>
                <c:pt idx="135">
                  <c:v>-17.153700000000001</c:v>
                </c:pt>
                <c:pt idx="136">
                  <c:v>-17.505700000000001</c:v>
                </c:pt>
                <c:pt idx="137">
                  <c:v>-17.065999999999999</c:v>
                </c:pt>
                <c:pt idx="138">
                  <c:v>-17.163499999999999</c:v>
                </c:pt>
                <c:pt idx="139">
                  <c:v>-18.004300000000001</c:v>
                </c:pt>
                <c:pt idx="140">
                  <c:v>-16.977399999999999</c:v>
                </c:pt>
                <c:pt idx="141">
                  <c:v>-17.2578</c:v>
                </c:pt>
                <c:pt idx="142">
                  <c:v>-14.4405</c:v>
                </c:pt>
                <c:pt idx="143">
                  <c:v>-16.2683</c:v>
                </c:pt>
                <c:pt idx="144">
                  <c:v>-15.579700000000001</c:v>
                </c:pt>
                <c:pt idx="145">
                  <c:v>-18.049800000000001</c:v>
                </c:pt>
                <c:pt idx="146">
                  <c:v>-16.027100000000001</c:v>
                </c:pt>
                <c:pt idx="147">
                  <c:v>-16.786799999999999</c:v>
                </c:pt>
                <c:pt idx="148">
                  <c:v>-16.519300000000001</c:v>
                </c:pt>
                <c:pt idx="149">
                  <c:v>-16.265899999999998</c:v>
                </c:pt>
                <c:pt idx="150">
                  <c:v>-17.402699999999999</c:v>
                </c:pt>
                <c:pt idx="151">
                  <c:v>-19.355499999999999</c:v>
                </c:pt>
                <c:pt idx="152">
                  <c:v>-16.6891</c:v>
                </c:pt>
                <c:pt idx="153">
                  <c:v>-16.014500000000002</c:v>
                </c:pt>
                <c:pt idx="154">
                  <c:v>-16.781400000000001</c:v>
                </c:pt>
                <c:pt idx="155">
                  <c:v>-14.247999999999999</c:v>
                </c:pt>
                <c:pt idx="156">
                  <c:v>-16.882000000000001</c:v>
                </c:pt>
                <c:pt idx="157">
                  <c:v>-16.5929</c:v>
                </c:pt>
                <c:pt idx="158">
                  <c:v>-18.084499999999998</c:v>
                </c:pt>
                <c:pt idx="159">
                  <c:v>-17.139099999999999</c:v>
                </c:pt>
                <c:pt idx="160">
                  <c:v>-17.9604</c:v>
                </c:pt>
                <c:pt idx="161">
                  <c:v>-14.891999999999999</c:v>
                </c:pt>
                <c:pt idx="162">
                  <c:v>-16.716000000000001</c:v>
                </c:pt>
                <c:pt idx="163">
                  <c:v>-16.325600000000001</c:v>
                </c:pt>
                <c:pt idx="164">
                  <c:v>-16.284600000000001</c:v>
                </c:pt>
                <c:pt idx="165">
                  <c:v>-18.9238</c:v>
                </c:pt>
                <c:pt idx="166">
                  <c:v>-18.526</c:v>
                </c:pt>
                <c:pt idx="167">
                  <c:v>-17.8521</c:v>
                </c:pt>
                <c:pt idx="168">
                  <c:v>-17.174700000000001</c:v>
                </c:pt>
                <c:pt idx="169">
                  <c:v>-16.756399999999999</c:v>
                </c:pt>
                <c:pt idx="170">
                  <c:v>-18.9239</c:v>
                </c:pt>
                <c:pt idx="171">
                  <c:v>-18.308399999999999</c:v>
                </c:pt>
                <c:pt idx="172">
                  <c:v>-17.3916</c:v>
                </c:pt>
                <c:pt idx="173">
                  <c:v>-16.803999999999998</c:v>
                </c:pt>
                <c:pt idx="174">
                  <c:v>-16.976299999999998</c:v>
                </c:pt>
                <c:pt idx="175">
                  <c:v>-18.064499999999999</c:v>
                </c:pt>
                <c:pt idx="176">
                  <c:v>-18.1587</c:v>
                </c:pt>
                <c:pt idx="177">
                  <c:v>-17.826499999999999</c:v>
                </c:pt>
                <c:pt idx="178">
                  <c:v>-18.7103</c:v>
                </c:pt>
                <c:pt idx="179">
                  <c:v>-15.448600000000001</c:v>
                </c:pt>
                <c:pt idx="180">
                  <c:v>-18.7454</c:v>
                </c:pt>
                <c:pt idx="181">
                  <c:v>-20.336500000000001</c:v>
                </c:pt>
                <c:pt idx="182">
                  <c:v>-18.9252</c:v>
                </c:pt>
                <c:pt idx="183">
                  <c:v>-19.575399999999998</c:v>
                </c:pt>
                <c:pt idx="184">
                  <c:v>-19.1358</c:v>
                </c:pt>
                <c:pt idx="185">
                  <c:v>-18.389600000000002</c:v>
                </c:pt>
                <c:pt idx="186">
                  <c:v>-16.8718</c:v>
                </c:pt>
                <c:pt idx="187">
                  <c:v>-15.5593</c:v>
                </c:pt>
                <c:pt idx="188">
                  <c:v>-15.9483</c:v>
                </c:pt>
                <c:pt idx="189">
                  <c:v>-16.099599999999999</c:v>
                </c:pt>
                <c:pt idx="190">
                  <c:v>-16.348600000000001</c:v>
                </c:pt>
                <c:pt idx="191">
                  <c:v>-17.384599999999999</c:v>
                </c:pt>
                <c:pt idx="192">
                  <c:v>-16.6051</c:v>
                </c:pt>
                <c:pt idx="193">
                  <c:v>-17.899100000000001</c:v>
                </c:pt>
                <c:pt idx="194">
                  <c:v>-16.925699999999999</c:v>
                </c:pt>
                <c:pt idx="195">
                  <c:v>-18.071100000000001</c:v>
                </c:pt>
                <c:pt idx="196">
                  <c:v>-17.4038</c:v>
                </c:pt>
                <c:pt idx="197">
                  <c:v>-18.041599999999999</c:v>
                </c:pt>
                <c:pt idx="198">
                  <c:v>-17.633400000000002</c:v>
                </c:pt>
                <c:pt idx="199">
                  <c:v>-17.7789</c:v>
                </c:pt>
                <c:pt idx="200">
                  <c:v>-17.724799999999998</c:v>
                </c:pt>
                <c:pt idx="201">
                  <c:v>-17.967500000000001</c:v>
                </c:pt>
                <c:pt idx="202">
                  <c:v>-17.124300000000002</c:v>
                </c:pt>
                <c:pt idx="203">
                  <c:v>-18.203700000000001</c:v>
                </c:pt>
                <c:pt idx="204">
                  <c:v>-17.694800000000001</c:v>
                </c:pt>
                <c:pt idx="205">
                  <c:v>-17.1401</c:v>
                </c:pt>
                <c:pt idx="206">
                  <c:v>-18.300799999999999</c:v>
                </c:pt>
                <c:pt idx="207">
                  <c:v>-18.218399999999999</c:v>
                </c:pt>
                <c:pt idx="208">
                  <c:v>-16.9313</c:v>
                </c:pt>
                <c:pt idx="209">
                  <c:v>-18.604600000000001</c:v>
                </c:pt>
                <c:pt idx="210">
                  <c:v>-17.496400000000001</c:v>
                </c:pt>
                <c:pt idx="211">
                  <c:v>-17.353200000000001</c:v>
                </c:pt>
                <c:pt idx="212">
                  <c:v>-17.677399999999999</c:v>
                </c:pt>
                <c:pt idx="213">
                  <c:v>-16.098600000000001</c:v>
                </c:pt>
                <c:pt idx="214">
                  <c:v>-17.7699</c:v>
                </c:pt>
                <c:pt idx="215">
                  <c:v>-18.800899999999999</c:v>
                </c:pt>
                <c:pt idx="216">
                  <c:v>-19.770199999999999</c:v>
                </c:pt>
                <c:pt idx="217">
                  <c:v>-19.703099999999999</c:v>
                </c:pt>
                <c:pt idx="218">
                  <c:v>-19.960599999999999</c:v>
                </c:pt>
                <c:pt idx="219">
                  <c:v>-19.046800000000001</c:v>
                </c:pt>
                <c:pt idx="220">
                  <c:v>-17.771100000000001</c:v>
                </c:pt>
                <c:pt idx="221">
                  <c:v>-18.825700000000001</c:v>
                </c:pt>
                <c:pt idx="222">
                  <c:v>-18.234100000000002</c:v>
                </c:pt>
                <c:pt idx="223">
                  <c:v>-19.758400000000002</c:v>
                </c:pt>
                <c:pt idx="224">
                  <c:v>-20.015699999999999</c:v>
                </c:pt>
                <c:pt idx="225">
                  <c:v>-19.678100000000001</c:v>
                </c:pt>
                <c:pt idx="226">
                  <c:v>-18.414400000000001</c:v>
                </c:pt>
                <c:pt idx="227">
                  <c:v>-17.879200000000001</c:v>
                </c:pt>
                <c:pt idx="228">
                  <c:v>-17.197199999999999</c:v>
                </c:pt>
                <c:pt idx="229">
                  <c:v>-19.5228</c:v>
                </c:pt>
                <c:pt idx="230">
                  <c:v>-17.334800000000001</c:v>
                </c:pt>
                <c:pt idx="231">
                  <c:v>-18.9572</c:v>
                </c:pt>
                <c:pt idx="232">
                  <c:v>-18.865300000000001</c:v>
                </c:pt>
                <c:pt idx="233">
                  <c:v>-17.145900000000001</c:v>
                </c:pt>
                <c:pt idx="234">
                  <c:v>-17.9178</c:v>
                </c:pt>
                <c:pt idx="235">
                  <c:v>-18.2806</c:v>
                </c:pt>
                <c:pt idx="236">
                  <c:v>-19.577000000000002</c:v>
                </c:pt>
                <c:pt idx="237">
                  <c:v>-19.3185</c:v>
                </c:pt>
                <c:pt idx="238">
                  <c:v>-20.639800000000001</c:v>
                </c:pt>
                <c:pt idx="239">
                  <c:v>-19.553100000000001</c:v>
                </c:pt>
                <c:pt idx="240">
                  <c:v>-18.9878</c:v>
                </c:pt>
                <c:pt idx="241">
                  <c:v>-18.323599999999999</c:v>
                </c:pt>
                <c:pt idx="242">
                  <c:v>-19.716000000000001</c:v>
                </c:pt>
                <c:pt idx="243">
                  <c:v>-19.682099999999998</c:v>
                </c:pt>
                <c:pt idx="244">
                  <c:v>-21.8307</c:v>
                </c:pt>
                <c:pt idx="245">
                  <c:v>-19.042899999999999</c:v>
                </c:pt>
                <c:pt idx="246">
                  <c:v>-19.404</c:v>
                </c:pt>
                <c:pt idx="247">
                  <c:v>-21.252700000000001</c:v>
                </c:pt>
                <c:pt idx="248">
                  <c:v>-20.4452</c:v>
                </c:pt>
                <c:pt idx="249">
                  <c:v>-19.484000000000002</c:v>
                </c:pt>
                <c:pt idx="250">
                  <c:v>-20.141200000000001</c:v>
                </c:pt>
                <c:pt idx="251">
                  <c:v>-18.296500000000002</c:v>
                </c:pt>
                <c:pt idx="252">
                  <c:v>-19.8691</c:v>
                </c:pt>
                <c:pt idx="253">
                  <c:v>-21.284300000000002</c:v>
                </c:pt>
                <c:pt idx="254">
                  <c:v>-19.895199999999999</c:v>
                </c:pt>
                <c:pt idx="255">
                  <c:v>-22.093</c:v>
                </c:pt>
                <c:pt idx="256">
                  <c:v>-20.2545</c:v>
                </c:pt>
                <c:pt idx="257">
                  <c:v>-18.61</c:v>
                </c:pt>
                <c:pt idx="258">
                  <c:v>-19.4603</c:v>
                </c:pt>
                <c:pt idx="259">
                  <c:v>-21.2194</c:v>
                </c:pt>
                <c:pt idx="260">
                  <c:v>-20.899000000000001</c:v>
                </c:pt>
                <c:pt idx="261">
                  <c:v>-21.126799999999999</c:v>
                </c:pt>
                <c:pt idx="262">
                  <c:v>-21.332599999999999</c:v>
                </c:pt>
                <c:pt idx="263">
                  <c:v>-19.827300000000001</c:v>
                </c:pt>
                <c:pt idx="264">
                  <c:v>-20.049399999999999</c:v>
                </c:pt>
                <c:pt idx="265">
                  <c:v>-18.419</c:v>
                </c:pt>
                <c:pt idx="266">
                  <c:v>-18.87</c:v>
                </c:pt>
                <c:pt idx="267">
                  <c:v>-19.613399999999999</c:v>
                </c:pt>
                <c:pt idx="268">
                  <c:v>-22.0198</c:v>
                </c:pt>
                <c:pt idx="269">
                  <c:v>-23.071300000000001</c:v>
                </c:pt>
                <c:pt idx="270">
                  <c:v>-21.671600000000002</c:v>
                </c:pt>
                <c:pt idx="271">
                  <c:v>-22.294</c:v>
                </c:pt>
                <c:pt idx="272">
                  <c:v>-22.080500000000001</c:v>
                </c:pt>
                <c:pt idx="273">
                  <c:v>-20.567499999999999</c:v>
                </c:pt>
                <c:pt idx="274">
                  <c:v>-22.7302</c:v>
                </c:pt>
                <c:pt idx="275">
                  <c:v>-22.1435</c:v>
                </c:pt>
                <c:pt idx="276">
                  <c:v>-22.362300000000001</c:v>
                </c:pt>
                <c:pt idx="277">
                  <c:v>-25.4892</c:v>
                </c:pt>
                <c:pt idx="278">
                  <c:v>-23.565000000000001</c:v>
                </c:pt>
                <c:pt idx="279">
                  <c:v>-23.048500000000001</c:v>
                </c:pt>
                <c:pt idx="280">
                  <c:v>-22.260100000000001</c:v>
                </c:pt>
                <c:pt idx="281">
                  <c:v>-21.223500000000001</c:v>
                </c:pt>
                <c:pt idx="282">
                  <c:v>-21.1982</c:v>
                </c:pt>
                <c:pt idx="283">
                  <c:v>-21.7029</c:v>
                </c:pt>
                <c:pt idx="284">
                  <c:v>-21.6966</c:v>
                </c:pt>
                <c:pt idx="285">
                  <c:v>-23.187899999999999</c:v>
                </c:pt>
                <c:pt idx="286">
                  <c:v>-23.2956</c:v>
                </c:pt>
                <c:pt idx="287">
                  <c:v>-23.188600000000001</c:v>
                </c:pt>
                <c:pt idx="288">
                  <c:v>-21.275200000000002</c:v>
                </c:pt>
                <c:pt idx="289">
                  <c:v>-22.515699999999999</c:v>
                </c:pt>
                <c:pt idx="290">
                  <c:v>-22.422000000000001</c:v>
                </c:pt>
                <c:pt idx="291">
                  <c:v>-20.835699999999999</c:v>
                </c:pt>
                <c:pt idx="292">
                  <c:v>-22.172599999999999</c:v>
                </c:pt>
                <c:pt idx="293">
                  <c:v>-21.653700000000001</c:v>
                </c:pt>
                <c:pt idx="294">
                  <c:v>-22.9984</c:v>
                </c:pt>
                <c:pt idx="295">
                  <c:v>-22.098800000000001</c:v>
                </c:pt>
                <c:pt idx="296">
                  <c:v>-21.165700000000001</c:v>
                </c:pt>
                <c:pt idx="297">
                  <c:v>-21.847300000000001</c:v>
                </c:pt>
                <c:pt idx="298">
                  <c:v>-21.403300000000002</c:v>
                </c:pt>
                <c:pt idx="299">
                  <c:v>-22.495999999999999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F092-204D-8F0F-5A30373391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Capture Price (EUR/MWh)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P50/P90/P99 at Key Project Horizons — DK1 Primary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Simulation!$L$2</c:f>
              <c:strCache>
                <c:ptCount val="1"/>
                <c:pt idx="0">
                  <c:v>P50</c:v>
                </c:pt>
              </c:strCache>
            </c:strRef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Simulation!$L$3:$L$7</c:f>
              <c:numCache>
                <c:formatCode>General</c:formatCode>
                <c:ptCount val="5"/>
                <c:pt idx="0">
                  <c:v>62.42</c:v>
                </c:pt>
                <c:pt idx="1">
                  <c:v>60.67</c:v>
                </c:pt>
                <c:pt idx="2">
                  <c:v>58.52</c:v>
                </c:pt>
                <c:pt idx="3">
                  <c:v>57.43</c:v>
                </c:pt>
                <c:pt idx="4">
                  <c:v>54.79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11F5-E34E-A1C5-6035D8F72719}"/>
            </c:ext>
          </c:extLst>
        </c:ser>
        <c:ser>
          <c:idx val="1"/>
          <c:order val="1"/>
          <c:tx>
            <c:strRef>
              <c:f>Simulation!$M$2</c:f>
              <c:strCache>
                <c:ptCount val="1"/>
                <c:pt idx="0">
                  <c:v>P90</c:v>
                </c:pt>
              </c:strCache>
            </c:strRef>
          </c:tx>
          <c:spPr>
            <a:solidFill>
              <a:srgbClr val="FF8C00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Simulation!$M$3:$M$7</c:f>
              <c:numCache>
                <c:formatCode>General</c:formatCode>
                <c:ptCount val="5"/>
                <c:pt idx="0">
                  <c:v>19.97</c:v>
                </c:pt>
                <c:pt idx="1">
                  <c:v>18.27</c:v>
                </c:pt>
                <c:pt idx="2">
                  <c:v>16.52</c:v>
                </c:pt>
                <c:pt idx="3">
                  <c:v>14.71</c:v>
                </c:pt>
                <c:pt idx="4">
                  <c:v>12.55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11F5-E34E-A1C5-6035D8F72719}"/>
            </c:ext>
          </c:extLst>
        </c:ser>
        <c:ser>
          <c:idx val="2"/>
          <c:order val="2"/>
          <c:tx>
            <c:strRef>
              <c:f>Simulation!$N$2</c:f>
              <c:strCache>
                <c:ptCount val="1"/>
                <c:pt idx="0">
                  <c:v>P99</c:v>
                </c:pt>
              </c:strCache>
            </c:strRef>
          </c:tx>
          <c:spPr>
            <a:solidFill>
              <a:srgbClr val="C00000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Simulation!$N$3:$N$7</c:f>
              <c:numCache>
                <c:formatCode>General</c:formatCode>
                <c:ptCount val="5"/>
                <c:pt idx="0">
                  <c:v>-14.85</c:v>
                </c:pt>
                <c:pt idx="1">
                  <c:v>-17.66</c:v>
                </c:pt>
                <c:pt idx="2">
                  <c:v>-15.45</c:v>
                </c:pt>
                <c:pt idx="3">
                  <c:v>-19.55</c:v>
                </c:pt>
                <c:pt idx="4">
                  <c:v>-22.5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11F5-E34E-A1C5-6035D8F727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Project Year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Capture Price (EUR/MWh)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MC Simulation - DK1 P50/P90/P99 Capture Price Paths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Simulation!$C$1</c:f>
              <c:strCache>
                <c:ptCount val="1"/>
                <c:pt idx="0">
                  <c:v>mu_capture</c:v>
                </c:pt>
              </c:strCache>
            </c:strRef>
          </c:tx>
          <c:spPr>
            <a:ln>
              <a:solidFill>
                <a:srgbClr val="70AD47"/>
              </a:solidFill>
              <a:prstDash val="solid"/>
            </a:ln>
          </c:spPr>
          <c:marker>
            <c:symbol val="none"/>
          </c:marker>
          <c:val>
            <c:numRef>
              <c:f>Simulation!$C$2:$C$301</c:f>
              <c:numCache>
                <c:formatCode>General</c:formatCode>
                <c:ptCount val="300"/>
                <c:pt idx="0">
                  <c:v>64.879900000000006</c:v>
                </c:pt>
                <c:pt idx="1">
                  <c:v>64.845699999999994</c:v>
                </c:pt>
                <c:pt idx="2">
                  <c:v>64.811400000000006</c:v>
                </c:pt>
                <c:pt idx="3">
                  <c:v>64.777100000000004</c:v>
                </c:pt>
                <c:pt idx="4">
                  <c:v>64.742900000000006</c:v>
                </c:pt>
                <c:pt idx="5">
                  <c:v>64.708600000000004</c:v>
                </c:pt>
                <c:pt idx="6">
                  <c:v>64.674400000000006</c:v>
                </c:pt>
                <c:pt idx="7">
                  <c:v>64.640100000000004</c:v>
                </c:pt>
                <c:pt idx="8">
                  <c:v>64.605800000000002</c:v>
                </c:pt>
                <c:pt idx="9">
                  <c:v>64.571600000000004</c:v>
                </c:pt>
                <c:pt idx="10">
                  <c:v>64.537300000000002</c:v>
                </c:pt>
                <c:pt idx="11">
                  <c:v>64.503</c:v>
                </c:pt>
                <c:pt idx="12">
                  <c:v>64.468800000000002</c:v>
                </c:pt>
                <c:pt idx="13">
                  <c:v>64.4345</c:v>
                </c:pt>
                <c:pt idx="14">
                  <c:v>64.400300000000001</c:v>
                </c:pt>
                <c:pt idx="15">
                  <c:v>64.366</c:v>
                </c:pt>
                <c:pt idx="16">
                  <c:v>64.331699999999998</c:v>
                </c:pt>
                <c:pt idx="17">
                  <c:v>64.297499999999999</c:v>
                </c:pt>
                <c:pt idx="18">
                  <c:v>64.263199999999998</c:v>
                </c:pt>
                <c:pt idx="19">
                  <c:v>64.228999999999999</c:v>
                </c:pt>
                <c:pt idx="20">
                  <c:v>64.194699999999997</c:v>
                </c:pt>
                <c:pt idx="21">
                  <c:v>64.160399999999996</c:v>
                </c:pt>
                <c:pt idx="22">
                  <c:v>64.126199999999997</c:v>
                </c:pt>
                <c:pt idx="23">
                  <c:v>64.091899999999995</c:v>
                </c:pt>
                <c:pt idx="24">
                  <c:v>64.057599999999994</c:v>
                </c:pt>
                <c:pt idx="25">
                  <c:v>64.023399999999995</c:v>
                </c:pt>
                <c:pt idx="26">
                  <c:v>63.989100000000001</c:v>
                </c:pt>
                <c:pt idx="27">
                  <c:v>63.954900000000002</c:v>
                </c:pt>
                <c:pt idx="28">
                  <c:v>63.9206</c:v>
                </c:pt>
                <c:pt idx="29">
                  <c:v>63.886299999999999</c:v>
                </c:pt>
                <c:pt idx="30">
                  <c:v>63.8521</c:v>
                </c:pt>
                <c:pt idx="31">
                  <c:v>63.817799999999998</c:v>
                </c:pt>
                <c:pt idx="32">
                  <c:v>63.7836</c:v>
                </c:pt>
                <c:pt idx="33">
                  <c:v>63.749299999999998</c:v>
                </c:pt>
                <c:pt idx="34">
                  <c:v>63.715000000000003</c:v>
                </c:pt>
                <c:pt idx="35">
                  <c:v>63.680799999999998</c:v>
                </c:pt>
                <c:pt idx="36">
                  <c:v>63.646500000000003</c:v>
                </c:pt>
                <c:pt idx="37">
                  <c:v>63.612200000000001</c:v>
                </c:pt>
                <c:pt idx="38">
                  <c:v>63.578000000000003</c:v>
                </c:pt>
                <c:pt idx="39">
                  <c:v>63.543700000000001</c:v>
                </c:pt>
                <c:pt idx="40">
                  <c:v>63.509500000000003</c:v>
                </c:pt>
                <c:pt idx="41">
                  <c:v>63.475200000000001</c:v>
                </c:pt>
                <c:pt idx="42">
                  <c:v>63.440899999999999</c:v>
                </c:pt>
                <c:pt idx="43">
                  <c:v>63.406700000000001</c:v>
                </c:pt>
                <c:pt idx="44">
                  <c:v>63.372399999999999</c:v>
                </c:pt>
                <c:pt idx="45">
                  <c:v>63.338200000000001</c:v>
                </c:pt>
                <c:pt idx="46">
                  <c:v>63.303899999999999</c:v>
                </c:pt>
                <c:pt idx="47">
                  <c:v>63.269599999999997</c:v>
                </c:pt>
                <c:pt idx="48">
                  <c:v>63.235399999999998</c:v>
                </c:pt>
                <c:pt idx="49">
                  <c:v>63.201099999999997</c:v>
                </c:pt>
                <c:pt idx="50">
                  <c:v>63.166899999999998</c:v>
                </c:pt>
                <c:pt idx="51">
                  <c:v>63.132599999999996</c:v>
                </c:pt>
                <c:pt idx="52">
                  <c:v>63.098300000000002</c:v>
                </c:pt>
                <c:pt idx="53">
                  <c:v>63.064100000000003</c:v>
                </c:pt>
                <c:pt idx="54">
                  <c:v>63.029800000000002</c:v>
                </c:pt>
                <c:pt idx="55">
                  <c:v>62.9955</c:v>
                </c:pt>
                <c:pt idx="56">
                  <c:v>62.961300000000001</c:v>
                </c:pt>
                <c:pt idx="57">
                  <c:v>62.927</c:v>
                </c:pt>
                <c:pt idx="58">
                  <c:v>62.892800000000001</c:v>
                </c:pt>
                <c:pt idx="59">
                  <c:v>62.858499999999999</c:v>
                </c:pt>
                <c:pt idx="60">
                  <c:v>62.824199999999998</c:v>
                </c:pt>
                <c:pt idx="61">
                  <c:v>62.79</c:v>
                </c:pt>
                <c:pt idx="62">
                  <c:v>62.755699999999997</c:v>
                </c:pt>
                <c:pt idx="63">
                  <c:v>62.721499999999999</c:v>
                </c:pt>
                <c:pt idx="64">
                  <c:v>62.687199999999997</c:v>
                </c:pt>
                <c:pt idx="65">
                  <c:v>62.652900000000002</c:v>
                </c:pt>
                <c:pt idx="66">
                  <c:v>62.618699999999997</c:v>
                </c:pt>
                <c:pt idx="67">
                  <c:v>62.584400000000002</c:v>
                </c:pt>
                <c:pt idx="68">
                  <c:v>62.5501</c:v>
                </c:pt>
                <c:pt idx="69">
                  <c:v>62.515900000000002</c:v>
                </c:pt>
                <c:pt idx="70">
                  <c:v>62.4816</c:v>
                </c:pt>
                <c:pt idx="71">
                  <c:v>62.447400000000002</c:v>
                </c:pt>
                <c:pt idx="72">
                  <c:v>62.4131</c:v>
                </c:pt>
                <c:pt idx="73">
                  <c:v>62.378799999999998</c:v>
                </c:pt>
                <c:pt idx="74">
                  <c:v>62.3446</c:v>
                </c:pt>
                <c:pt idx="75">
                  <c:v>62.310299999999998</c:v>
                </c:pt>
                <c:pt idx="76">
                  <c:v>62.2761</c:v>
                </c:pt>
                <c:pt idx="77">
                  <c:v>62.241799999999998</c:v>
                </c:pt>
                <c:pt idx="78">
                  <c:v>62.207500000000003</c:v>
                </c:pt>
                <c:pt idx="79">
                  <c:v>62.173299999999998</c:v>
                </c:pt>
                <c:pt idx="80">
                  <c:v>62.139000000000003</c:v>
                </c:pt>
                <c:pt idx="81">
                  <c:v>62.104700000000001</c:v>
                </c:pt>
                <c:pt idx="82">
                  <c:v>62.070500000000003</c:v>
                </c:pt>
                <c:pt idx="83">
                  <c:v>62.036200000000001</c:v>
                </c:pt>
                <c:pt idx="84">
                  <c:v>62.002000000000002</c:v>
                </c:pt>
                <c:pt idx="85">
                  <c:v>61.967700000000001</c:v>
                </c:pt>
                <c:pt idx="86">
                  <c:v>61.933399999999999</c:v>
                </c:pt>
                <c:pt idx="87">
                  <c:v>61.8992</c:v>
                </c:pt>
                <c:pt idx="88">
                  <c:v>61.864899999999999</c:v>
                </c:pt>
                <c:pt idx="89">
                  <c:v>61.8307</c:v>
                </c:pt>
                <c:pt idx="90">
                  <c:v>61.796399999999998</c:v>
                </c:pt>
                <c:pt idx="91">
                  <c:v>61.762099999999997</c:v>
                </c:pt>
                <c:pt idx="92">
                  <c:v>61.727899999999998</c:v>
                </c:pt>
                <c:pt idx="93">
                  <c:v>61.693600000000004</c:v>
                </c:pt>
                <c:pt idx="94">
                  <c:v>61.659300000000002</c:v>
                </c:pt>
                <c:pt idx="95">
                  <c:v>61.625100000000003</c:v>
                </c:pt>
                <c:pt idx="96">
                  <c:v>61.590800000000002</c:v>
                </c:pt>
                <c:pt idx="97">
                  <c:v>61.556600000000003</c:v>
                </c:pt>
                <c:pt idx="98">
                  <c:v>61.522300000000001</c:v>
                </c:pt>
                <c:pt idx="99">
                  <c:v>61.488</c:v>
                </c:pt>
                <c:pt idx="100">
                  <c:v>61.453800000000001</c:v>
                </c:pt>
                <c:pt idx="101">
                  <c:v>61.419499999999999</c:v>
                </c:pt>
                <c:pt idx="102">
                  <c:v>61.385300000000001</c:v>
                </c:pt>
                <c:pt idx="103">
                  <c:v>61.350999999999999</c:v>
                </c:pt>
                <c:pt idx="104">
                  <c:v>61.316699999999997</c:v>
                </c:pt>
                <c:pt idx="105">
                  <c:v>61.282499999999999</c:v>
                </c:pt>
                <c:pt idx="106">
                  <c:v>61.248199999999997</c:v>
                </c:pt>
                <c:pt idx="107">
                  <c:v>61.213900000000002</c:v>
                </c:pt>
                <c:pt idx="108">
                  <c:v>61.179699999999997</c:v>
                </c:pt>
                <c:pt idx="109">
                  <c:v>61.145400000000002</c:v>
                </c:pt>
                <c:pt idx="110">
                  <c:v>61.111199999999997</c:v>
                </c:pt>
                <c:pt idx="111">
                  <c:v>61.076900000000002</c:v>
                </c:pt>
                <c:pt idx="112">
                  <c:v>61.0426</c:v>
                </c:pt>
                <c:pt idx="113">
                  <c:v>61.008400000000002</c:v>
                </c:pt>
                <c:pt idx="114">
                  <c:v>60.9741</c:v>
                </c:pt>
                <c:pt idx="115">
                  <c:v>60.939900000000002</c:v>
                </c:pt>
                <c:pt idx="116">
                  <c:v>60.9056</c:v>
                </c:pt>
                <c:pt idx="117">
                  <c:v>60.871299999999998</c:v>
                </c:pt>
                <c:pt idx="118">
                  <c:v>60.8371</c:v>
                </c:pt>
                <c:pt idx="119">
                  <c:v>60.802799999999998</c:v>
                </c:pt>
                <c:pt idx="120">
                  <c:v>60.768500000000003</c:v>
                </c:pt>
                <c:pt idx="121">
                  <c:v>60.734299999999998</c:v>
                </c:pt>
                <c:pt idx="122">
                  <c:v>60.7</c:v>
                </c:pt>
                <c:pt idx="123">
                  <c:v>60.665799999999997</c:v>
                </c:pt>
                <c:pt idx="124">
                  <c:v>60.631500000000003</c:v>
                </c:pt>
                <c:pt idx="125">
                  <c:v>60.597200000000001</c:v>
                </c:pt>
                <c:pt idx="126">
                  <c:v>60.563000000000002</c:v>
                </c:pt>
                <c:pt idx="127">
                  <c:v>60.528700000000001</c:v>
                </c:pt>
                <c:pt idx="128">
                  <c:v>60.494500000000002</c:v>
                </c:pt>
                <c:pt idx="129">
                  <c:v>60.4602</c:v>
                </c:pt>
                <c:pt idx="130">
                  <c:v>60.425899999999999</c:v>
                </c:pt>
                <c:pt idx="131">
                  <c:v>60.3917</c:v>
                </c:pt>
                <c:pt idx="132">
                  <c:v>60.357399999999998</c:v>
                </c:pt>
                <c:pt idx="133">
                  <c:v>60.323099999999997</c:v>
                </c:pt>
                <c:pt idx="134">
                  <c:v>60.288899999999998</c:v>
                </c:pt>
                <c:pt idx="135">
                  <c:v>60.254600000000003</c:v>
                </c:pt>
                <c:pt idx="136">
                  <c:v>60.220399999999998</c:v>
                </c:pt>
                <c:pt idx="137">
                  <c:v>60.186100000000003</c:v>
                </c:pt>
                <c:pt idx="138">
                  <c:v>60.151800000000001</c:v>
                </c:pt>
                <c:pt idx="139">
                  <c:v>60.117600000000003</c:v>
                </c:pt>
                <c:pt idx="140">
                  <c:v>60.083300000000001</c:v>
                </c:pt>
                <c:pt idx="141">
                  <c:v>60.049100000000003</c:v>
                </c:pt>
                <c:pt idx="142">
                  <c:v>60.014800000000001</c:v>
                </c:pt>
                <c:pt idx="143">
                  <c:v>59.980499999999999</c:v>
                </c:pt>
                <c:pt idx="144">
                  <c:v>59.946300000000001</c:v>
                </c:pt>
                <c:pt idx="145">
                  <c:v>59.911999999999999</c:v>
                </c:pt>
                <c:pt idx="146">
                  <c:v>59.877699999999997</c:v>
                </c:pt>
                <c:pt idx="147">
                  <c:v>59.843499999999999</c:v>
                </c:pt>
                <c:pt idx="148">
                  <c:v>59.809199999999997</c:v>
                </c:pt>
                <c:pt idx="149">
                  <c:v>59.774999999999999</c:v>
                </c:pt>
                <c:pt idx="150">
                  <c:v>59.740699999999997</c:v>
                </c:pt>
                <c:pt idx="151">
                  <c:v>59.706400000000002</c:v>
                </c:pt>
                <c:pt idx="152">
                  <c:v>59.672199999999997</c:v>
                </c:pt>
                <c:pt idx="153">
                  <c:v>59.637900000000002</c:v>
                </c:pt>
                <c:pt idx="154">
                  <c:v>59.603700000000003</c:v>
                </c:pt>
                <c:pt idx="155">
                  <c:v>59.569400000000002</c:v>
                </c:pt>
                <c:pt idx="156">
                  <c:v>59.5351</c:v>
                </c:pt>
                <c:pt idx="157">
                  <c:v>59.500900000000001</c:v>
                </c:pt>
                <c:pt idx="158">
                  <c:v>59.4666</c:v>
                </c:pt>
                <c:pt idx="159">
                  <c:v>59.432299999999998</c:v>
                </c:pt>
                <c:pt idx="160">
                  <c:v>59.398099999999999</c:v>
                </c:pt>
                <c:pt idx="161">
                  <c:v>59.363799999999998</c:v>
                </c:pt>
                <c:pt idx="162">
                  <c:v>59.329599999999999</c:v>
                </c:pt>
                <c:pt idx="163">
                  <c:v>59.295299999999997</c:v>
                </c:pt>
                <c:pt idx="164">
                  <c:v>59.261000000000003</c:v>
                </c:pt>
                <c:pt idx="165">
                  <c:v>59.226799999999997</c:v>
                </c:pt>
                <c:pt idx="166">
                  <c:v>59.192500000000003</c:v>
                </c:pt>
                <c:pt idx="167">
                  <c:v>59.158299999999997</c:v>
                </c:pt>
                <c:pt idx="168">
                  <c:v>59.124000000000002</c:v>
                </c:pt>
                <c:pt idx="169">
                  <c:v>59.089700000000001</c:v>
                </c:pt>
                <c:pt idx="170">
                  <c:v>59.055500000000002</c:v>
                </c:pt>
                <c:pt idx="171">
                  <c:v>59.0212</c:v>
                </c:pt>
                <c:pt idx="172">
                  <c:v>58.986899999999999</c:v>
                </c:pt>
                <c:pt idx="173">
                  <c:v>58.9527</c:v>
                </c:pt>
                <c:pt idx="174">
                  <c:v>58.918399999999998</c:v>
                </c:pt>
                <c:pt idx="175">
                  <c:v>58.8842</c:v>
                </c:pt>
                <c:pt idx="176">
                  <c:v>58.849899999999998</c:v>
                </c:pt>
                <c:pt idx="177">
                  <c:v>58.815600000000003</c:v>
                </c:pt>
                <c:pt idx="178">
                  <c:v>58.781399999999998</c:v>
                </c:pt>
                <c:pt idx="179">
                  <c:v>58.747100000000003</c:v>
                </c:pt>
                <c:pt idx="180">
                  <c:v>58.712899999999998</c:v>
                </c:pt>
                <c:pt idx="181">
                  <c:v>58.678600000000003</c:v>
                </c:pt>
                <c:pt idx="182">
                  <c:v>58.644300000000001</c:v>
                </c:pt>
                <c:pt idx="183">
                  <c:v>58.610100000000003</c:v>
                </c:pt>
                <c:pt idx="184">
                  <c:v>58.575800000000001</c:v>
                </c:pt>
                <c:pt idx="185">
                  <c:v>58.541499999999999</c:v>
                </c:pt>
                <c:pt idx="186">
                  <c:v>58.507300000000001</c:v>
                </c:pt>
                <c:pt idx="187">
                  <c:v>58.472999999999999</c:v>
                </c:pt>
                <c:pt idx="188">
                  <c:v>58.438800000000001</c:v>
                </c:pt>
                <c:pt idx="189">
                  <c:v>58.404499999999999</c:v>
                </c:pt>
                <c:pt idx="190">
                  <c:v>58.370199999999997</c:v>
                </c:pt>
                <c:pt idx="191">
                  <c:v>58.335999999999999</c:v>
                </c:pt>
                <c:pt idx="192">
                  <c:v>58.301699999999997</c:v>
                </c:pt>
                <c:pt idx="193">
                  <c:v>58.267499999999998</c:v>
                </c:pt>
                <c:pt idx="194">
                  <c:v>58.233199999999997</c:v>
                </c:pt>
                <c:pt idx="195">
                  <c:v>58.198900000000002</c:v>
                </c:pt>
                <c:pt idx="196">
                  <c:v>58.164700000000003</c:v>
                </c:pt>
                <c:pt idx="197">
                  <c:v>58.130400000000002</c:v>
                </c:pt>
                <c:pt idx="198">
                  <c:v>58.0961</c:v>
                </c:pt>
                <c:pt idx="199">
                  <c:v>58.061900000000001</c:v>
                </c:pt>
                <c:pt idx="200">
                  <c:v>58.0276</c:v>
                </c:pt>
                <c:pt idx="201">
                  <c:v>57.993400000000001</c:v>
                </c:pt>
                <c:pt idx="202">
                  <c:v>57.959099999999999</c:v>
                </c:pt>
                <c:pt idx="203">
                  <c:v>57.924799999999998</c:v>
                </c:pt>
                <c:pt idx="204">
                  <c:v>57.890599999999999</c:v>
                </c:pt>
                <c:pt idx="205">
                  <c:v>57.856299999999997</c:v>
                </c:pt>
                <c:pt idx="206">
                  <c:v>57.822099999999999</c:v>
                </c:pt>
                <c:pt idx="207">
                  <c:v>57.787799999999997</c:v>
                </c:pt>
                <c:pt idx="208">
                  <c:v>57.753500000000003</c:v>
                </c:pt>
                <c:pt idx="209">
                  <c:v>57.719299999999997</c:v>
                </c:pt>
                <c:pt idx="210">
                  <c:v>57.685000000000002</c:v>
                </c:pt>
                <c:pt idx="211">
                  <c:v>57.650700000000001</c:v>
                </c:pt>
                <c:pt idx="212">
                  <c:v>57.616500000000002</c:v>
                </c:pt>
                <c:pt idx="213">
                  <c:v>57.5822</c:v>
                </c:pt>
                <c:pt idx="214">
                  <c:v>57.548000000000002</c:v>
                </c:pt>
                <c:pt idx="215">
                  <c:v>57.5137</c:v>
                </c:pt>
                <c:pt idx="216">
                  <c:v>57.479399999999998</c:v>
                </c:pt>
                <c:pt idx="217">
                  <c:v>57.4452</c:v>
                </c:pt>
                <c:pt idx="218">
                  <c:v>57.410899999999998</c:v>
                </c:pt>
                <c:pt idx="219">
                  <c:v>57.3767</c:v>
                </c:pt>
                <c:pt idx="220">
                  <c:v>57.342399999999998</c:v>
                </c:pt>
                <c:pt idx="221">
                  <c:v>57.308100000000003</c:v>
                </c:pt>
                <c:pt idx="222">
                  <c:v>57.273899999999998</c:v>
                </c:pt>
                <c:pt idx="223">
                  <c:v>57.239600000000003</c:v>
                </c:pt>
                <c:pt idx="224">
                  <c:v>57.205300000000001</c:v>
                </c:pt>
                <c:pt idx="225">
                  <c:v>57.171100000000003</c:v>
                </c:pt>
                <c:pt idx="226">
                  <c:v>57.136800000000001</c:v>
                </c:pt>
                <c:pt idx="227">
                  <c:v>57.102600000000002</c:v>
                </c:pt>
                <c:pt idx="228">
                  <c:v>57.068300000000001</c:v>
                </c:pt>
                <c:pt idx="229">
                  <c:v>57.033999999999999</c:v>
                </c:pt>
                <c:pt idx="230">
                  <c:v>56.9998</c:v>
                </c:pt>
                <c:pt idx="231">
                  <c:v>56.965499999999999</c:v>
                </c:pt>
                <c:pt idx="232">
                  <c:v>56.9313</c:v>
                </c:pt>
                <c:pt idx="233">
                  <c:v>56.896999999999998</c:v>
                </c:pt>
                <c:pt idx="234">
                  <c:v>56.862699999999997</c:v>
                </c:pt>
                <c:pt idx="235">
                  <c:v>56.828499999999998</c:v>
                </c:pt>
                <c:pt idx="236">
                  <c:v>56.794199999999996</c:v>
                </c:pt>
                <c:pt idx="237">
                  <c:v>56.759900000000002</c:v>
                </c:pt>
                <c:pt idx="238">
                  <c:v>56.725700000000003</c:v>
                </c:pt>
                <c:pt idx="239">
                  <c:v>56.691400000000002</c:v>
                </c:pt>
                <c:pt idx="240">
                  <c:v>56.657200000000003</c:v>
                </c:pt>
                <c:pt idx="241">
                  <c:v>56.622900000000001</c:v>
                </c:pt>
                <c:pt idx="242">
                  <c:v>56.5886</c:v>
                </c:pt>
                <c:pt idx="243">
                  <c:v>56.554400000000001</c:v>
                </c:pt>
                <c:pt idx="244">
                  <c:v>56.520099999999999</c:v>
                </c:pt>
                <c:pt idx="245">
                  <c:v>56.485900000000001</c:v>
                </c:pt>
                <c:pt idx="246">
                  <c:v>56.451599999999999</c:v>
                </c:pt>
                <c:pt idx="247">
                  <c:v>56.417299999999997</c:v>
                </c:pt>
                <c:pt idx="248">
                  <c:v>56.383099999999999</c:v>
                </c:pt>
                <c:pt idx="249">
                  <c:v>56.348799999999997</c:v>
                </c:pt>
                <c:pt idx="250">
                  <c:v>56.314500000000002</c:v>
                </c:pt>
                <c:pt idx="251">
                  <c:v>56.280299999999997</c:v>
                </c:pt>
                <c:pt idx="252">
                  <c:v>56.246000000000002</c:v>
                </c:pt>
                <c:pt idx="253">
                  <c:v>56.211799999999997</c:v>
                </c:pt>
                <c:pt idx="254">
                  <c:v>56.177500000000002</c:v>
                </c:pt>
                <c:pt idx="255">
                  <c:v>56.1432</c:v>
                </c:pt>
                <c:pt idx="256">
                  <c:v>56.109000000000002</c:v>
                </c:pt>
                <c:pt idx="257">
                  <c:v>56.0747</c:v>
                </c:pt>
                <c:pt idx="258">
                  <c:v>56.040500000000002</c:v>
                </c:pt>
                <c:pt idx="259">
                  <c:v>56.0062</c:v>
                </c:pt>
                <c:pt idx="260">
                  <c:v>55.971899999999998</c:v>
                </c:pt>
                <c:pt idx="261">
                  <c:v>55.9377</c:v>
                </c:pt>
                <c:pt idx="262">
                  <c:v>55.903399999999998</c:v>
                </c:pt>
                <c:pt idx="263">
                  <c:v>55.869100000000003</c:v>
                </c:pt>
                <c:pt idx="264">
                  <c:v>55.834899999999998</c:v>
                </c:pt>
                <c:pt idx="265">
                  <c:v>55.800600000000003</c:v>
                </c:pt>
                <c:pt idx="266">
                  <c:v>55.766399999999997</c:v>
                </c:pt>
                <c:pt idx="267">
                  <c:v>55.732100000000003</c:v>
                </c:pt>
                <c:pt idx="268">
                  <c:v>55.697800000000001</c:v>
                </c:pt>
                <c:pt idx="269">
                  <c:v>55.663600000000002</c:v>
                </c:pt>
                <c:pt idx="270">
                  <c:v>55.629300000000001</c:v>
                </c:pt>
                <c:pt idx="271">
                  <c:v>55.595100000000002</c:v>
                </c:pt>
                <c:pt idx="272">
                  <c:v>55.5608</c:v>
                </c:pt>
                <c:pt idx="273">
                  <c:v>55.526499999999999</c:v>
                </c:pt>
                <c:pt idx="274">
                  <c:v>55.4923</c:v>
                </c:pt>
                <c:pt idx="275">
                  <c:v>55.457999999999998</c:v>
                </c:pt>
                <c:pt idx="276">
                  <c:v>55.423699999999997</c:v>
                </c:pt>
                <c:pt idx="277">
                  <c:v>55.389499999999998</c:v>
                </c:pt>
                <c:pt idx="278">
                  <c:v>55.355200000000004</c:v>
                </c:pt>
                <c:pt idx="279">
                  <c:v>55.320999999999998</c:v>
                </c:pt>
                <c:pt idx="280">
                  <c:v>55.286700000000003</c:v>
                </c:pt>
                <c:pt idx="281">
                  <c:v>55.252400000000002</c:v>
                </c:pt>
                <c:pt idx="282">
                  <c:v>55.218200000000003</c:v>
                </c:pt>
                <c:pt idx="283">
                  <c:v>55.183900000000001</c:v>
                </c:pt>
                <c:pt idx="284">
                  <c:v>55.149700000000003</c:v>
                </c:pt>
                <c:pt idx="285">
                  <c:v>55.115400000000001</c:v>
                </c:pt>
                <c:pt idx="286">
                  <c:v>55.081099999999999</c:v>
                </c:pt>
                <c:pt idx="287">
                  <c:v>55.046900000000001</c:v>
                </c:pt>
                <c:pt idx="288">
                  <c:v>55.012599999999999</c:v>
                </c:pt>
                <c:pt idx="289">
                  <c:v>54.978299999999997</c:v>
                </c:pt>
                <c:pt idx="290">
                  <c:v>54.944099999999999</c:v>
                </c:pt>
                <c:pt idx="291">
                  <c:v>54.909799999999997</c:v>
                </c:pt>
                <c:pt idx="292">
                  <c:v>54.875599999999999</c:v>
                </c:pt>
                <c:pt idx="293">
                  <c:v>54.841299999999997</c:v>
                </c:pt>
                <c:pt idx="294">
                  <c:v>54.807000000000002</c:v>
                </c:pt>
                <c:pt idx="295">
                  <c:v>54.772799999999997</c:v>
                </c:pt>
                <c:pt idx="296">
                  <c:v>54.738500000000002</c:v>
                </c:pt>
                <c:pt idx="297">
                  <c:v>54.704300000000003</c:v>
                </c:pt>
                <c:pt idx="298">
                  <c:v>54.67</c:v>
                </c:pt>
                <c:pt idx="299">
                  <c:v>54.6357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4C-DE42-B509-8DF004462FF2}"/>
            </c:ext>
          </c:extLst>
        </c:ser>
        <c:ser>
          <c:idx val="1"/>
          <c:order val="1"/>
          <c:tx>
            <c:strRef>
              <c:f>Simulation!$D$1</c:f>
              <c:strCache>
                <c:ptCount val="1"/>
                <c:pt idx="0">
                  <c:v>P50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Simulation!$D$2:$D$301</c:f>
              <c:numCache>
                <c:formatCode>General</c:formatCode>
                <c:ptCount val="300"/>
                <c:pt idx="0">
                  <c:v>68.294700000000006</c:v>
                </c:pt>
                <c:pt idx="1">
                  <c:v>67.801400000000001</c:v>
                </c:pt>
                <c:pt idx="2">
                  <c:v>67.715999999999994</c:v>
                </c:pt>
                <c:pt idx="3">
                  <c:v>67.0428</c:v>
                </c:pt>
                <c:pt idx="4">
                  <c:v>66.609099999999998</c:v>
                </c:pt>
                <c:pt idx="5">
                  <c:v>66.600399999999993</c:v>
                </c:pt>
                <c:pt idx="6">
                  <c:v>66.359899999999996</c:v>
                </c:pt>
                <c:pt idx="7">
                  <c:v>66.120599999999996</c:v>
                </c:pt>
                <c:pt idx="8">
                  <c:v>65.930499999999995</c:v>
                </c:pt>
                <c:pt idx="9">
                  <c:v>65.783900000000003</c:v>
                </c:pt>
                <c:pt idx="10">
                  <c:v>65.383499999999998</c:v>
                </c:pt>
                <c:pt idx="11">
                  <c:v>65.496399999999994</c:v>
                </c:pt>
                <c:pt idx="12">
                  <c:v>65.425899999999999</c:v>
                </c:pt>
                <c:pt idx="13">
                  <c:v>65.316800000000001</c:v>
                </c:pt>
                <c:pt idx="14">
                  <c:v>65.312399999999997</c:v>
                </c:pt>
                <c:pt idx="15">
                  <c:v>65.4709</c:v>
                </c:pt>
                <c:pt idx="16">
                  <c:v>65.074100000000001</c:v>
                </c:pt>
                <c:pt idx="17">
                  <c:v>65.384500000000003</c:v>
                </c:pt>
                <c:pt idx="18">
                  <c:v>65.383700000000005</c:v>
                </c:pt>
                <c:pt idx="19">
                  <c:v>64.921000000000006</c:v>
                </c:pt>
                <c:pt idx="20">
                  <c:v>64.671899999999994</c:v>
                </c:pt>
                <c:pt idx="21">
                  <c:v>64.665899999999993</c:v>
                </c:pt>
                <c:pt idx="22">
                  <c:v>64.580600000000004</c:v>
                </c:pt>
                <c:pt idx="23">
                  <c:v>64.753</c:v>
                </c:pt>
                <c:pt idx="24">
                  <c:v>64.5184</c:v>
                </c:pt>
                <c:pt idx="25">
                  <c:v>63.940199999999997</c:v>
                </c:pt>
                <c:pt idx="26">
                  <c:v>64.051199999999994</c:v>
                </c:pt>
                <c:pt idx="27">
                  <c:v>63.356000000000002</c:v>
                </c:pt>
                <c:pt idx="28">
                  <c:v>63.492600000000003</c:v>
                </c:pt>
                <c:pt idx="29">
                  <c:v>63.8812</c:v>
                </c:pt>
                <c:pt idx="30">
                  <c:v>63.822800000000001</c:v>
                </c:pt>
                <c:pt idx="31">
                  <c:v>63.611600000000003</c:v>
                </c:pt>
                <c:pt idx="32">
                  <c:v>63.688200000000002</c:v>
                </c:pt>
                <c:pt idx="33">
                  <c:v>63.705100000000002</c:v>
                </c:pt>
                <c:pt idx="34">
                  <c:v>63.259900000000002</c:v>
                </c:pt>
                <c:pt idx="35">
                  <c:v>63.463799999999999</c:v>
                </c:pt>
                <c:pt idx="36">
                  <c:v>63.579099999999997</c:v>
                </c:pt>
                <c:pt idx="37">
                  <c:v>63.822000000000003</c:v>
                </c:pt>
                <c:pt idx="38">
                  <c:v>63.89</c:v>
                </c:pt>
                <c:pt idx="39">
                  <c:v>64.002600000000001</c:v>
                </c:pt>
                <c:pt idx="40">
                  <c:v>63.587200000000003</c:v>
                </c:pt>
                <c:pt idx="41">
                  <c:v>63.627299999999998</c:v>
                </c:pt>
                <c:pt idx="42">
                  <c:v>63.357300000000002</c:v>
                </c:pt>
                <c:pt idx="43">
                  <c:v>62.892000000000003</c:v>
                </c:pt>
                <c:pt idx="44">
                  <c:v>63.613100000000003</c:v>
                </c:pt>
                <c:pt idx="45">
                  <c:v>63.198</c:v>
                </c:pt>
                <c:pt idx="46">
                  <c:v>63.062399999999997</c:v>
                </c:pt>
                <c:pt idx="47">
                  <c:v>62.844999999999999</c:v>
                </c:pt>
                <c:pt idx="48">
                  <c:v>62.6145</c:v>
                </c:pt>
                <c:pt idx="49">
                  <c:v>63.1053</c:v>
                </c:pt>
                <c:pt idx="50">
                  <c:v>62.860199999999999</c:v>
                </c:pt>
                <c:pt idx="51">
                  <c:v>62.910299999999999</c:v>
                </c:pt>
                <c:pt idx="52">
                  <c:v>62.301600000000001</c:v>
                </c:pt>
                <c:pt idx="53">
                  <c:v>62.481200000000001</c:v>
                </c:pt>
                <c:pt idx="54">
                  <c:v>62.362000000000002</c:v>
                </c:pt>
                <c:pt idx="55">
                  <c:v>62.566400000000002</c:v>
                </c:pt>
                <c:pt idx="56">
                  <c:v>62.761299999999999</c:v>
                </c:pt>
                <c:pt idx="57">
                  <c:v>63.337400000000002</c:v>
                </c:pt>
                <c:pt idx="58">
                  <c:v>62.783299999999997</c:v>
                </c:pt>
                <c:pt idx="59">
                  <c:v>62.422600000000003</c:v>
                </c:pt>
                <c:pt idx="60">
                  <c:v>62.588099999999997</c:v>
                </c:pt>
                <c:pt idx="61">
                  <c:v>62.356499999999997</c:v>
                </c:pt>
                <c:pt idx="62">
                  <c:v>62.613300000000002</c:v>
                </c:pt>
                <c:pt idx="63">
                  <c:v>62.583500000000001</c:v>
                </c:pt>
                <c:pt idx="64">
                  <c:v>63.014600000000002</c:v>
                </c:pt>
                <c:pt idx="65">
                  <c:v>62.804200000000002</c:v>
                </c:pt>
                <c:pt idx="66">
                  <c:v>62.8996</c:v>
                </c:pt>
                <c:pt idx="67">
                  <c:v>62.928100000000001</c:v>
                </c:pt>
                <c:pt idx="68">
                  <c:v>62.620800000000003</c:v>
                </c:pt>
                <c:pt idx="69">
                  <c:v>62.820099999999996</c:v>
                </c:pt>
                <c:pt idx="70">
                  <c:v>63.287399999999998</c:v>
                </c:pt>
                <c:pt idx="71">
                  <c:v>63.168700000000001</c:v>
                </c:pt>
                <c:pt idx="72">
                  <c:v>62.891599999999997</c:v>
                </c:pt>
                <c:pt idx="73">
                  <c:v>62.721299999999999</c:v>
                </c:pt>
                <c:pt idx="74">
                  <c:v>62.930500000000002</c:v>
                </c:pt>
                <c:pt idx="75">
                  <c:v>62.6355</c:v>
                </c:pt>
                <c:pt idx="76">
                  <c:v>62.648899999999998</c:v>
                </c:pt>
                <c:pt idx="77">
                  <c:v>62.814100000000003</c:v>
                </c:pt>
                <c:pt idx="78">
                  <c:v>63.0745</c:v>
                </c:pt>
                <c:pt idx="79">
                  <c:v>62.987400000000001</c:v>
                </c:pt>
                <c:pt idx="80">
                  <c:v>62.477699999999999</c:v>
                </c:pt>
                <c:pt idx="81">
                  <c:v>62.520099999999999</c:v>
                </c:pt>
                <c:pt idx="82">
                  <c:v>62.274299999999997</c:v>
                </c:pt>
                <c:pt idx="83">
                  <c:v>62.398000000000003</c:v>
                </c:pt>
                <c:pt idx="84">
                  <c:v>62.176699999999997</c:v>
                </c:pt>
                <c:pt idx="85">
                  <c:v>62.078299999999999</c:v>
                </c:pt>
                <c:pt idx="86">
                  <c:v>61.882800000000003</c:v>
                </c:pt>
                <c:pt idx="87">
                  <c:v>61.758800000000001</c:v>
                </c:pt>
                <c:pt idx="88">
                  <c:v>62.489800000000002</c:v>
                </c:pt>
                <c:pt idx="89">
                  <c:v>62.011600000000001</c:v>
                </c:pt>
                <c:pt idx="90">
                  <c:v>61.820099999999996</c:v>
                </c:pt>
                <c:pt idx="91">
                  <c:v>61.529000000000003</c:v>
                </c:pt>
                <c:pt idx="92">
                  <c:v>61.644199999999998</c:v>
                </c:pt>
                <c:pt idx="93">
                  <c:v>61.483800000000002</c:v>
                </c:pt>
                <c:pt idx="94">
                  <c:v>61.343000000000004</c:v>
                </c:pt>
                <c:pt idx="95">
                  <c:v>60.9542</c:v>
                </c:pt>
                <c:pt idx="96">
                  <c:v>60.433999999999997</c:v>
                </c:pt>
                <c:pt idx="97">
                  <c:v>60.3001</c:v>
                </c:pt>
                <c:pt idx="98">
                  <c:v>60.472999999999999</c:v>
                </c:pt>
                <c:pt idx="99">
                  <c:v>60.869599999999998</c:v>
                </c:pt>
                <c:pt idx="100">
                  <c:v>60.967199999999998</c:v>
                </c:pt>
                <c:pt idx="101">
                  <c:v>60.7791</c:v>
                </c:pt>
                <c:pt idx="102">
                  <c:v>61.364400000000003</c:v>
                </c:pt>
                <c:pt idx="103">
                  <c:v>61.255400000000002</c:v>
                </c:pt>
                <c:pt idx="104">
                  <c:v>61.037399999999998</c:v>
                </c:pt>
                <c:pt idx="105">
                  <c:v>61.084000000000003</c:v>
                </c:pt>
                <c:pt idx="106">
                  <c:v>61.1586</c:v>
                </c:pt>
                <c:pt idx="107">
                  <c:v>61.577399999999997</c:v>
                </c:pt>
                <c:pt idx="108">
                  <c:v>61.240200000000002</c:v>
                </c:pt>
                <c:pt idx="109">
                  <c:v>61.502299999999998</c:v>
                </c:pt>
                <c:pt idx="110">
                  <c:v>60.835599999999999</c:v>
                </c:pt>
                <c:pt idx="111">
                  <c:v>61.0535</c:v>
                </c:pt>
                <c:pt idx="112">
                  <c:v>60.529499999999999</c:v>
                </c:pt>
                <c:pt idx="113">
                  <c:v>60.994</c:v>
                </c:pt>
                <c:pt idx="114">
                  <c:v>60.7776</c:v>
                </c:pt>
                <c:pt idx="115">
                  <c:v>60.989199999999997</c:v>
                </c:pt>
                <c:pt idx="116">
                  <c:v>60.859000000000002</c:v>
                </c:pt>
                <c:pt idx="117">
                  <c:v>60.968400000000003</c:v>
                </c:pt>
                <c:pt idx="118">
                  <c:v>60.726399999999998</c:v>
                </c:pt>
                <c:pt idx="119">
                  <c:v>60.670499999999997</c:v>
                </c:pt>
                <c:pt idx="120">
                  <c:v>61.146299999999997</c:v>
                </c:pt>
                <c:pt idx="121">
                  <c:v>61.206400000000002</c:v>
                </c:pt>
                <c:pt idx="122">
                  <c:v>61.753700000000002</c:v>
                </c:pt>
                <c:pt idx="123">
                  <c:v>61.686599999999999</c:v>
                </c:pt>
                <c:pt idx="124">
                  <c:v>60.947600000000001</c:v>
                </c:pt>
                <c:pt idx="125">
                  <c:v>60.886899999999997</c:v>
                </c:pt>
                <c:pt idx="126">
                  <c:v>60.445799999999998</c:v>
                </c:pt>
                <c:pt idx="127">
                  <c:v>60.150300000000001</c:v>
                </c:pt>
                <c:pt idx="128">
                  <c:v>60.156999999999996</c:v>
                </c:pt>
                <c:pt idx="129">
                  <c:v>60.278799999999997</c:v>
                </c:pt>
                <c:pt idx="130">
                  <c:v>59.587400000000002</c:v>
                </c:pt>
                <c:pt idx="131">
                  <c:v>59.313600000000001</c:v>
                </c:pt>
                <c:pt idx="132">
                  <c:v>59.377499999999998</c:v>
                </c:pt>
                <c:pt idx="133">
                  <c:v>59.407899999999998</c:v>
                </c:pt>
                <c:pt idx="134">
                  <c:v>59.741799999999998</c:v>
                </c:pt>
                <c:pt idx="135">
                  <c:v>59.462400000000002</c:v>
                </c:pt>
                <c:pt idx="136">
                  <c:v>59.789299999999997</c:v>
                </c:pt>
                <c:pt idx="137">
                  <c:v>59.872399999999999</c:v>
                </c:pt>
                <c:pt idx="138">
                  <c:v>59.916400000000003</c:v>
                </c:pt>
                <c:pt idx="139">
                  <c:v>60.414400000000001</c:v>
                </c:pt>
                <c:pt idx="140">
                  <c:v>60.186</c:v>
                </c:pt>
                <c:pt idx="141">
                  <c:v>60.031100000000002</c:v>
                </c:pt>
                <c:pt idx="142">
                  <c:v>60.125399999999999</c:v>
                </c:pt>
                <c:pt idx="143">
                  <c:v>59.919600000000003</c:v>
                </c:pt>
                <c:pt idx="144">
                  <c:v>59.594900000000003</c:v>
                </c:pt>
                <c:pt idx="145">
                  <c:v>59.667400000000001</c:v>
                </c:pt>
                <c:pt idx="146">
                  <c:v>59.491300000000003</c:v>
                </c:pt>
                <c:pt idx="147">
                  <c:v>59.798499999999997</c:v>
                </c:pt>
                <c:pt idx="148">
                  <c:v>60.2316</c:v>
                </c:pt>
                <c:pt idx="149">
                  <c:v>60.200200000000002</c:v>
                </c:pt>
                <c:pt idx="150">
                  <c:v>59.999000000000002</c:v>
                </c:pt>
                <c:pt idx="151">
                  <c:v>59.941400000000002</c:v>
                </c:pt>
                <c:pt idx="152">
                  <c:v>60.151600000000002</c:v>
                </c:pt>
                <c:pt idx="153">
                  <c:v>60.090600000000002</c:v>
                </c:pt>
                <c:pt idx="154">
                  <c:v>59.853000000000002</c:v>
                </c:pt>
                <c:pt idx="155">
                  <c:v>59.837600000000002</c:v>
                </c:pt>
                <c:pt idx="156">
                  <c:v>59.904000000000003</c:v>
                </c:pt>
                <c:pt idx="157">
                  <c:v>60.064399999999999</c:v>
                </c:pt>
                <c:pt idx="158">
                  <c:v>60.2468</c:v>
                </c:pt>
                <c:pt idx="159">
                  <c:v>59.739600000000003</c:v>
                </c:pt>
                <c:pt idx="160">
                  <c:v>59.525199999999998</c:v>
                </c:pt>
                <c:pt idx="161">
                  <c:v>59.8279</c:v>
                </c:pt>
                <c:pt idx="162">
                  <c:v>59.814599999999999</c:v>
                </c:pt>
                <c:pt idx="163">
                  <c:v>59.204599999999999</c:v>
                </c:pt>
                <c:pt idx="164">
                  <c:v>59.776600000000002</c:v>
                </c:pt>
                <c:pt idx="165">
                  <c:v>59.235399999999998</c:v>
                </c:pt>
                <c:pt idx="166">
                  <c:v>59.460599999999999</c:v>
                </c:pt>
                <c:pt idx="167">
                  <c:v>59.320799999999998</c:v>
                </c:pt>
                <c:pt idx="168">
                  <c:v>59.476599999999998</c:v>
                </c:pt>
                <c:pt idx="169">
                  <c:v>59.312100000000001</c:v>
                </c:pt>
                <c:pt idx="170">
                  <c:v>59.968200000000003</c:v>
                </c:pt>
                <c:pt idx="171">
                  <c:v>59.154899999999998</c:v>
                </c:pt>
                <c:pt idx="172">
                  <c:v>59.2273</c:v>
                </c:pt>
                <c:pt idx="173">
                  <c:v>58.9161</c:v>
                </c:pt>
                <c:pt idx="174">
                  <c:v>58.901699999999998</c:v>
                </c:pt>
                <c:pt idx="175">
                  <c:v>58.7956</c:v>
                </c:pt>
                <c:pt idx="176">
                  <c:v>58.636499999999998</c:v>
                </c:pt>
                <c:pt idx="177">
                  <c:v>58.411799999999999</c:v>
                </c:pt>
                <c:pt idx="178">
                  <c:v>59.124600000000001</c:v>
                </c:pt>
                <c:pt idx="179">
                  <c:v>58.524299999999997</c:v>
                </c:pt>
                <c:pt idx="180">
                  <c:v>58.806399999999996</c:v>
                </c:pt>
                <c:pt idx="181">
                  <c:v>58.637</c:v>
                </c:pt>
                <c:pt idx="182">
                  <c:v>58.421100000000003</c:v>
                </c:pt>
                <c:pt idx="183">
                  <c:v>58.748800000000003</c:v>
                </c:pt>
                <c:pt idx="184">
                  <c:v>58.416600000000003</c:v>
                </c:pt>
                <c:pt idx="185">
                  <c:v>58.813800000000001</c:v>
                </c:pt>
                <c:pt idx="186">
                  <c:v>59.0899</c:v>
                </c:pt>
                <c:pt idx="187">
                  <c:v>59.006</c:v>
                </c:pt>
                <c:pt idx="188">
                  <c:v>59.099899999999998</c:v>
                </c:pt>
                <c:pt idx="189">
                  <c:v>58.677100000000003</c:v>
                </c:pt>
                <c:pt idx="190">
                  <c:v>58.001899999999999</c:v>
                </c:pt>
                <c:pt idx="191">
                  <c:v>58.121000000000002</c:v>
                </c:pt>
                <c:pt idx="192">
                  <c:v>58.175899999999999</c:v>
                </c:pt>
                <c:pt idx="193">
                  <c:v>58.313699999999997</c:v>
                </c:pt>
                <c:pt idx="194">
                  <c:v>58.316499999999998</c:v>
                </c:pt>
                <c:pt idx="195">
                  <c:v>59.061999999999998</c:v>
                </c:pt>
                <c:pt idx="196">
                  <c:v>58.623699999999999</c:v>
                </c:pt>
                <c:pt idx="197">
                  <c:v>58.728400000000001</c:v>
                </c:pt>
                <c:pt idx="198">
                  <c:v>58.811399999999999</c:v>
                </c:pt>
                <c:pt idx="199">
                  <c:v>58.820300000000003</c:v>
                </c:pt>
                <c:pt idx="200">
                  <c:v>59.194299999999998</c:v>
                </c:pt>
                <c:pt idx="201">
                  <c:v>58.099200000000003</c:v>
                </c:pt>
                <c:pt idx="202">
                  <c:v>57.761600000000001</c:v>
                </c:pt>
                <c:pt idx="203">
                  <c:v>58.112400000000001</c:v>
                </c:pt>
                <c:pt idx="204">
                  <c:v>58.2211</c:v>
                </c:pt>
                <c:pt idx="205">
                  <c:v>57.723199999999999</c:v>
                </c:pt>
                <c:pt idx="206">
                  <c:v>57.688400000000001</c:v>
                </c:pt>
                <c:pt idx="207">
                  <c:v>57.740200000000002</c:v>
                </c:pt>
                <c:pt idx="208">
                  <c:v>57.661700000000003</c:v>
                </c:pt>
                <c:pt idx="209">
                  <c:v>57.849299999999999</c:v>
                </c:pt>
                <c:pt idx="210">
                  <c:v>57.866100000000003</c:v>
                </c:pt>
                <c:pt idx="211">
                  <c:v>57.361600000000003</c:v>
                </c:pt>
                <c:pt idx="212">
                  <c:v>57.889800000000001</c:v>
                </c:pt>
                <c:pt idx="213">
                  <c:v>57.627899999999997</c:v>
                </c:pt>
                <c:pt idx="214">
                  <c:v>57.475099999999998</c:v>
                </c:pt>
                <c:pt idx="215">
                  <c:v>57.366199999999999</c:v>
                </c:pt>
                <c:pt idx="216">
                  <c:v>57.380899999999997</c:v>
                </c:pt>
                <c:pt idx="217">
                  <c:v>57.518000000000001</c:v>
                </c:pt>
                <c:pt idx="218">
                  <c:v>57.335099999999997</c:v>
                </c:pt>
                <c:pt idx="219">
                  <c:v>57.778300000000002</c:v>
                </c:pt>
                <c:pt idx="220">
                  <c:v>57.755600000000001</c:v>
                </c:pt>
                <c:pt idx="221">
                  <c:v>57.5916</c:v>
                </c:pt>
                <c:pt idx="222">
                  <c:v>57.982799999999997</c:v>
                </c:pt>
                <c:pt idx="223">
                  <c:v>58.2971</c:v>
                </c:pt>
                <c:pt idx="224">
                  <c:v>58.331000000000003</c:v>
                </c:pt>
                <c:pt idx="225">
                  <c:v>58.040999999999997</c:v>
                </c:pt>
                <c:pt idx="226">
                  <c:v>57.454799999999999</c:v>
                </c:pt>
                <c:pt idx="227">
                  <c:v>57.5411</c:v>
                </c:pt>
                <c:pt idx="228">
                  <c:v>57.635800000000003</c:v>
                </c:pt>
                <c:pt idx="229">
                  <c:v>57.844799999999999</c:v>
                </c:pt>
                <c:pt idx="230">
                  <c:v>57.862699999999997</c:v>
                </c:pt>
                <c:pt idx="231">
                  <c:v>57.587800000000001</c:v>
                </c:pt>
                <c:pt idx="232">
                  <c:v>57.799300000000002</c:v>
                </c:pt>
                <c:pt idx="233">
                  <c:v>57.183799999999998</c:v>
                </c:pt>
                <c:pt idx="234">
                  <c:v>57.244700000000002</c:v>
                </c:pt>
                <c:pt idx="235">
                  <c:v>57.238900000000001</c:v>
                </c:pt>
                <c:pt idx="236">
                  <c:v>57.369300000000003</c:v>
                </c:pt>
                <c:pt idx="237">
                  <c:v>57.975200000000001</c:v>
                </c:pt>
                <c:pt idx="238">
                  <c:v>57.563200000000002</c:v>
                </c:pt>
                <c:pt idx="239">
                  <c:v>57.431699999999999</c:v>
                </c:pt>
                <c:pt idx="240">
                  <c:v>57.059800000000003</c:v>
                </c:pt>
                <c:pt idx="241">
                  <c:v>57.019500000000001</c:v>
                </c:pt>
                <c:pt idx="242">
                  <c:v>57.063699999999997</c:v>
                </c:pt>
                <c:pt idx="243">
                  <c:v>57.352400000000003</c:v>
                </c:pt>
                <c:pt idx="244">
                  <c:v>57.4925</c:v>
                </c:pt>
                <c:pt idx="245">
                  <c:v>56.979799999999997</c:v>
                </c:pt>
                <c:pt idx="246">
                  <c:v>57.054400000000001</c:v>
                </c:pt>
                <c:pt idx="247">
                  <c:v>56.621000000000002</c:v>
                </c:pt>
                <c:pt idx="248">
                  <c:v>56.545400000000001</c:v>
                </c:pt>
                <c:pt idx="249">
                  <c:v>56.317799999999998</c:v>
                </c:pt>
                <c:pt idx="250">
                  <c:v>56.343299999999999</c:v>
                </c:pt>
                <c:pt idx="251">
                  <c:v>56.133899999999997</c:v>
                </c:pt>
                <c:pt idx="252">
                  <c:v>56.307299999999998</c:v>
                </c:pt>
                <c:pt idx="253">
                  <c:v>56.3294</c:v>
                </c:pt>
                <c:pt idx="254">
                  <c:v>56.040100000000002</c:v>
                </c:pt>
                <c:pt idx="255">
                  <c:v>55.600900000000003</c:v>
                </c:pt>
                <c:pt idx="256">
                  <c:v>55.866799999999998</c:v>
                </c:pt>
                <c:pt idx="257">
                  <c:v>56.117699999999999</c:v>
                </c:pt>
                <c:pt idx="258">
                  <c:v>56.387900000000002</c:v>
                </c:pt>
                <c:pt idx="259">
                  <c:v>56.37</c:v>
                </c:pt>
                <c:pt idx="260">
                  <c:v>56.283799999999999</c:v>
                </c:pt>
                <c:pt idx="261">
                  <c:v>56.153399999999998</c:v>
                </c:pt>
                <c:pt idx="262">
                  <c:v>55.9422</c:v>
                </c:pt>
                <c:pt idx="263">
                  <c:v>56.049100000000003</c:v>
                </c:pt>
                <c:pt idx="264">
                  <c:v>56.027000000000001</c:v>
                </c:pt>
                <c:pt idx="265">
                  <c:v>56.292099999999998</c:v>
                </c:pt>
                <c:pt idx="266">
                  <c:v>56.020099999999999</c:v>
                </c:pt>
                <c:pt idx="267">
                  <c:v>55.575099999999999</c:v>
                </c:pt>
                <c:pt idx="268">
                  <c:v>55.430799999999998</c:v>
                </c:pt>
                <c:pt idx="269">
                  <c:v>55.918999999999997</c:v>
                </c:pt>
                <c:pt idx="270">
                  <c:v>55.1798</c:v>
                </c:pt>
                <c:pt idx="271">
                  <c:v>55.441099999999999</c:v>
                </c:pt>
                <c:pt idx="272">
                  <c:v>55.448999999999998</c:v>
                </c:pt>
                <c:pt idx="273">
                  <c:v>54.765999999999998</c:v>
                </c:pt>
                <c:pt idx="274">
                  <c:v>54.488</c:v>
                </c:pt>
                <c:pt idx="275">
                  <c:v>54.8748</c:v>
                </c:pt>
                <c:pt idx="276">
                  <c:v>54.854999999999997</c:v>
                </c:pt>
                <c:pt idx="277">
                  <c:v>54.994700000000002</c:v>
                </c:pt>
                <c:pt idx="278">
                  <c:v>55.0124</c:v>
                </c:pt>
                <c:pt idx="279">
                  <c:v>55.299900000000001</c:v>
                </c:pt>
                <c:pt idx="280">
                  <c:v>55.047499999999999</c:v>
                </c:pt>
                <c:pt idx="281">
                  <c:v>54.958300000000001</c:v>
                </c:pt>
                <c:pt idx="282">
                  <c:v>55.636099999999999</c:v>
                </c:pt>
                <c:pt idx="283">
                  <c:v>55.528500000000001</c:v>
                </c:pt>
                <c:pt idx="284">
                  <c:v>55.348599999999998</c:v>
                </c:pt>
                <c:pt idx="285">
                  <c:v>54.8767</c:v>
                </c:pt>
                <c:pt idx="286">
                  <c:v>54.9223</c:v>
                </c:pt>
                <c:pt idx="287">
                  <c:v>55.137</c:v>
                </c:pt>
                <c:pt idx="288">
                  <c:v>55.7804</c:v>
                </c:pt>
                <c:pt idx="289">
                  <c:v>55.0518</c:v>
                </c:pt>
                <c:pt idx="290">
                  <c:v>55.185499999999998</c:v>
                </c:pt>
                <c:pt idx="291">
                  <c:v>55.273200000000003</c:v>
                </c:pt>
                <c:pt idx="292">
                  <c:v>54.8977</c:v>
                </c:pt>
                <c:pt idx="293">
                  <c:v>55.2318</c:v>
                </c:pt>
                <c:pt idx="294">
                  <c:v>55.400799999999997</c:v>
                </c:pt>
                <c:pt idx="295">
                  <c:v>55.449399999999997</c:v>
                </c:pt>
                <c:pt idx="296">
                  <c:v>55.0685</c:v>
                </c:pt>
                <c:pt idx="297">
                  <c:v>55.167099999999998</c:v>
                </c:pt>
                <c:pt idx="298">
                  <c:v>55.203600000000002</c:v>
                </c:pt>
                <c:pt idx="299">
                  <c:v>54.787700000000001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04C-DE42-B509-8DF004462FF2}"/>
            </c:ext>
          </c:extLst>
        </c:ser>
        <c:ser>
          <c:idx val="2"/>
          <c:order val="2"/>
          <c:tx>
            <c:strRef>
              <c:f>Simulation!$F$1</c:f>
              <c:strCache>
                <c:ptCount val="1"/>
                <c:pt idx="0">
                  <c:v>P90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Simulation!$F$2:$F$301</c:f>
              <c:numCache>
                <c:formatCode>General</c:formatCode>
                <c:ptCount val="300"/>
                <c:pt idx="0">
                  <c:v>68.294700000000006</c:v>
                </c:pt>
                <c:pt idx="1">
                  <c:v>88.792000000000002</c:v>
                </c:pt>
                <c:pt idx="2">
                  <c:v>95.421899999999994</c:v>
                </c:pt>
                <c:pt idx="3">
                  <c:v>99.405100000000004</c:v>
                </c:pt>
                <c:pt idx="4">
                  <c:v>101.8293</c:v>
                </c:pt>
                <c:pt idx="5">
                  <c:v>103.20610000000001</c:v>
                </c:pt>
                <c:pt idx="6">
                  <c:v>104.5352</c:v>
                </c:pt>
                <c:pt idx="7">
                  <c:v>105.3618</c:v>
                </c:pt>
                <c:pt idx="8">
                  <c:v>106.68219999999999</c:v>
                </c:pt>
                <c:pt idx="9">
                  <c:v>106.2259</c:v>
                </c:pt>
                <c:pt idx="10">
                  <c:v>106.8023</c:v>
                </c:pt>
                <c:pt idx="11">
                  <c:v>107.48390000000001</c:v>
                </c:pt>
                <c:pt idx="12">
                  <c:v>107.7007</c:v>
                </c:pt>
                <c:pt idx="13">
                  <c:v>107.16670000000001</c:v>
                </c:pt>
                <c:pt idx="14">
                  <c:v>106.9542</c:v>
                </c:pt>
                <c:pt idx="15">
                  <c:v>107.1016</c:v>
                </c:pt>
                <c:pt idx="16">
                  <c:v>106.71169999999999</c:v>
                </c:pt>
                <c:pt idx="17">
                  <c:v>106.69750000000001</c:v>
                </c:pt>
                <c:pt idx="18">
                  <c:v>107.0715</c:v>
                </c:pt>
                <c:pt idx="19">
                  <c:v>106.3661</c:v>
                </c:pt>
                <c:pt idx="20">
                  <c:v>106.0552</c:v>
                </c:pt>
                <c:pt idx="21">
                  <c:v>106.54049999999999</c:v>
                </c:pt>
                <c:pt idx="22">
                  <c:v>106.2385</c:v>
                </c:pt>
                <c:pt idx="23">
                  <c:v>107.02119999999999</c:v>
                </c:pt>
                <c:pt idx="24">
                  <c:v>106.5809</c:v>
                </c:pt>
                <c:pt idx="25">
                  <c:v>106.9217</c:v>
                </c:pt>
                <c:pt idx="26">
                  <c:v>106.31789999999999</c:v>
                </c:pt>
                <c:pt idx="27">
                  <c:v>106.5489</c:v>
                </c:pt>
                <c:pt idx="28">
                  <c:v>107.00709999999999</c:v>
                </c:pt>
                <c:pt idx="29">
                  <c:v>106.4804</c:v>
                </c:pt>
                <c:pt idx="30">
                  <c:v>106.7461</c:v>
                </c:pt>
                <c:pt idx="31">
                  <c:v>106.28489999999999</c:v>
                </c:pt>
                <c:pt idx="32">
                  <c:v>105.93040000000001</c:v>
                </c:pt>
                <c:pt idx="33">
                  <c:v>106.3858</c:v>
                </c:pt>
                <c:pt idx="34">
                  <c:v>106.3125</c:v>
                </c:pt>
                <c:pt idx="35">
                  <c:v>106.08240000000001</c:v>
                </c:pt>
                <c:pt idx="36">
                  <c:v>106.5273</c:v>
                </c:pt>
                <c:pt idx="37">
                  <c:v>106.0641</c:v>
                </c:pt>
                <c:pt idx="38">
                  <c:v>106.3878</c:v>
                </c:pt>
                <c:pt idx="39">
                  <c:v>107.0149</c:v>
                </c:pt>
                <c:pt idx="40">
                  <c:v>106.5256</c:v>
                </c:pt>
                <c:pt idx="41">
                  <c:v>105.9055</c:v>
                </c:pt>
                <c:pt idx="42">
                  <c:v>105.6174</c:v>
                </c:pt>
                <c:pt idx="43">
                  <c:v>106.7486</c:v>
                </c:pt>
                <c:pt idx="44">
                  <c:v>106.6917</c:v>
                </c:pt>
                <c:pt idx="45">
                  <c:v>105.99630000000001</c:v>
                </c:pt>
                <c:pt idx="46">
                  <c:v>106.3837</c:v>
                </c:pt>
                <c:pt idx="47">
                  <c:v>105.53789999999999</c:v>
                </c:pt>
                <c:pt idx="48">
                  <c:v>105.8738</c:v>
                </c:pt>
                <c:pt idx="49">
                  <c:v>105.42019999999999</c:v>
                </c:pt>
                <c:pt idx="50">
                  <c:v>105.9263</c:v>
                </c:pt>
                <c:pt idx="51">
                  <c:v>105.9239</c:v>
                </c:pt>
                <c:pt idx="52">
                  <c:v>107.0939</c:v>
                </c:pt>
                <c:pt idx="53">
                  <c:v>106.59399999999999</c:v>
                </c:pt>
                <c:pt idx="54">
                  <c:v>106.0158</c:v>
                </c:pt>
                <c:pt idx="55">
                  <c:v>105.8965</c:v>
                </c:pt>
                <c:pt idx="56">
                  <c:v>105.88639999999999</c:v>
                </c:pt>
                <c:pt idx="57">
                  <c:v>105.34910000000001</c:v>
                </c:pt>
                <c:pt idx="58">
                  <c:v>105.0819</c:v>
                </c:pt>
                <c:pt idx="59">
                  <c:v>104.7962</c:v>
                </c:pt>
                <c:pt idx="60">
                  <c:v>104.6194</c:v>
                </c:pt>
                <c:pt idx="61">
                  <c:v>104.5851</c:v>
                </c:pt>
                <c:pt idx="62">
                  <c:v>104.42870000000001</c:v>
                </c:pt>
                <c:pt idx="63">
                  <c:v>105.0498</c:v>
                </c:pt>
                <c:pt idx="64">
                  <c:v>105.01730000000001</c:v>
                </c:pt>
                <c:pt idx="65">
                  <c:v>104.7948</c:v>
                </c:pt>
                <c:pt idx="66">
                  <c:v>105.1039</c:v>
                </c:pt>
                <c:pt idx="67">
                  <c:v>104.6435</c:v>
                </c:pt>
                <c:pt idx="68">
                  <c:v>105.58459999999999</c:v>
                </c:pt>
                <c:pt idx="69">
                  <c:v>105.0303</c:v>
                </c:pt>
                <c:pt idx="70">
                  <c:v>104.81950000000001</c:v>
                </c:pt>
                <c:pt idx="71">
                  <c:v>104.794</c:v>
                </c:pt>
                <c:pt idx="72">
                  <c:v>104.23560000000001</c:v>
                </c:pt>
                <c:pt idx="73">
                  <c:v>105.1266</c:v>
                </c:pt>
                <c:pt idx="74">
                  <c:v>104.3575</c:v>
                </c:pt>
                <c:pt idx="75">
                  <c:v>104.0579</c:v>
                </c:pt>
                <c:pt idx="76">
                  <c:v>104.74509999999999</c:v>
                </c:pt>
                <c:pt idx="77">
                  <c:v>105.3045</c:v>
                </c:pt>
                <c:pt idx="78">
                  <c:v>104.739</c:v>
                </c:pt>
                <c:pt idx="79">
                  <c:v>104.8005</c:v>
                </c:pt>
                <c:pt idx="80">
                  <c:v>105.56</c:v>
                </c:pt>
                <c:pt idx="81">
                  <c:v>105.27549999999999</c:v>
                </c:pt>
                <c:pt idx="82">
                  <c:v>105.35850000000001</c:v>
                </c:pt>
                <c:pt idx="83">
                  <c:v>104.9301</c:v>
                </c:pt>
                <c:pt idx="84">
                  <c:v>104.19370000000001</c:v>
                </c:pt>
                <c:pt idx="85">
                  <c:v>104.4503</c:v>
                </c:pt>
                <c:pt idx="86">
                  <c:v>104.4059</c:v>
                </c:pt>
                <c:pt idx="87">
                  <c:v>104.6636</c:v>
                </c:pt>
                <c:pt idx="88">
                  <c:v>103.9323</c:v>
                </c:pt>
                <c:pt idx="89">
                  <c:v>104.3646</c:v>
                </c:pt>
                <c:pt idx="90">
                  <c:v>104.11669999999999</c:v>
                </c:pt>
                <c:pt idx="91">
                  <c:v>103.1152</c:v>
                </c:pt>
                <c:pt idx="92">
                  <c:v>103.5711</c:v>
                </c:pt>
                <c:pt idx="93">
                  <c:v>103.7415</c:v>
                </c:pt>
                <c:pt idx="94">
                  <c:v>103.0638</c:v>
                </c:pt>
                <c:pt idx="95">
                  <c:v>103.24379999999999</c:v>
                </c:pt>
                <c:pt idx="96">
                  <c:v>103.4725</c:v>
                </c:pt>
                <c:pt idx="97">
                  <c:v>104.0874</c:v>
                </c:pt>
                <c:pt idx="98">
                  <c:v>103.7557</c:v>
                </c:pt>
                <c:pt idx="99">
                  <c:v>103.3719</c:v>
                </c:pt>
                <c:pt idx="100">
                  <c:v>102.8931</c:v>
                </c:pt>
                <c:pt idx="101">
                  <c:v>103.48</c:v>
                </c:pt>
                <c:pt idx="102">
                  <c:v>103.4362</c:v>
                </c:pt>
                <c:pt idx="103">
                  <c:v>103.6602</c:v>
                </c:pt>
                <c:pt idx="104">
                  <c:v>103.876</c:v>
                </c:pt>
                <c:pt idx="105">
                  <c:v>103.3539</c:v>
                </c:pt>
                <c:pt idx="106">
                  <c:v>104.0643</c:v>
                </c:pt>
                <c:pt idx="107">
                  <c:v>103.729</c:v>
                </c:pt>
                <c:pt idx="108">
                  <c:v>103.124</c:v>
                </c:pt>
                <c:pt idx="109">
                  <c:v>104.1474</c:v>
                </c:pt>
                <c:pt idx="110">
                  <c:v>103.8365</c:v>
                </c:pt>
                <c:pt idx="111">
                  <c:v>103.62779999999999</c:v>
                </c:pt>
                <c:pt idx="112">
                  <c:v>103.6986</c:v>
                </c:pt>
                <c:pt idx="113">
                  <c:v>104.1523</c:v>
                </c:pt>
                <c:pt idx="114">
                  <c:v>103.7169</c:v>
                </c:pt>
                <c:pt idx="115">
                  <c:v>102.9686</c:v>
                </c:pt>
                <c:pt idx="116">
                  <c:v>104.0425</c:v>
                </c:pt>
                <c:pt idx="117">
                  <c:v>103.405</c:v>
                </c:pt>
                <c:pt idx="118">
                  <c:v>104.0852</c:v>
                </c:pt>
                <c:pt idx="119">
                  <c:v>102.6712</c:v>
                </c:pt>
                <c:pt idx="120">
                  <c:v>102.8569</c:v>
                </c:pt>
                <c:pt idx="121">
                  <c:v>103.6764</c:v>
                </c:pt>
                <c:pt idx="122">
                  <c:v>102.9127</c:v>
                </c:pt>
                <c:pt idx="123">
                  <c:v>103.0419</c:v>
                </c:pt>
                <c:pt idx="124">
                  <c:v>102.3314</c:v>
                </c:pt>
                <c:pt idx="125">
                  <c:v>102.20659999999999</c:v>
                </c:pt>
                <c:pt idx="126">
                  <c:v>102.40049999999999</c:v>
                </c:pt>
                <c:pt idx="127">
                  <c:v>103.4308</c:v>
                </c:pt>
                <c:pt idx="128">
                  <c:v>102.1999</c:v>
                </c:pt>
                <c:pt idx="129">
                  <c:v>102.2739</c:v>
                </c:pt>
                <c:pt idx="130">
                  <c:v>102.51300000000001</c:v>
                </c:pt>
                <c:pt idx="131">
                  <c:v>102.4083</c:v>
                </c:pt>
                <c:pt idx="132">
                  <c:v>103.0194</c:v>
                </c:pt>
                <c:pt idx="133">
                  <c:v>102.6127</c:v>
                </c:pt>
                <c:pt idx="134">
                  <c:v>103.1204</c:v>
                </c:pt>
                <c:pt idx="135">
                  <c:v>102.2724</c:v>
                </c:pt>
                <c:pt idx="136">
                  <c:v>102.1324</c:v>
                </c:pt>
                <c:pt idx="137">
                  <c:v>102.39409999999999</c:v>
                </c:pt>
                <c:pt idx="138">
                  <c:v>101.65049999999999</c:v>
                </c:pt>
                <c:pt idx="139">
                  <c:v>101.8997</c:v>
                </c:pt>
                <c:pt idx="140">
                  <c:v>102.251</c:v>
                </c:pt>
                <c:pt idx="141">
                  <c:v>102.3168</c:v>
                </c:pt>
                <c:pt idx="142">
                  <c:v>103.2574</c:v>
                </c:pt>
                <c:pt idx="143">
                  <c:v>102.6332</c:v>
                </c:pt>
                <c:pt idx="144">
                  <c:v>102.9134</c:v>
                </c:pt>
                <c:pt idx="145">
                  <c:v>102.5651</c:v>
                </c:pt>
                <c:pt idx="146">
                  <c:v>102.9928</c:v>
                </c:pt>
                <c:pt idx="147">
                  <c:v>102.6515</c:v>
                </c:pt>
                <c:pt idx="148">
                  <c:v>101.60129999999999</c:v>
                </c:pt>
                <c:pt idx="149">
                  <c:v>102.0462</c:v>
                </c:pt>
                <c:pt idx="150">
                  <c:v>102.43300000000001</c:v>
                </c:pt>
                <c:pt idx="151">
                  <c:v>101.99169999999999</c:v>
                </c:pt>
                <c:pt idx="152">
                  <c:v>101.5997</c:v>
                </c:pt>
                <c:pt idx="153">
                  <c:v>101.5175</c:v>
                </c:pt>
                <c:pt idx="154">
                  <c:v>101.81180000000001</c:v>
                </c:pt>
                <c:pt idx="155">
                  <c:v>101.7285</c:v>
                </c:pt>
                <c:pt idx="156">
                  <c:v>101.84310000000001</c:v>
                </c:pt>
                <c:pt idx="157">
                  <c:v>102.3386</c:v>
                </c:pt>
                <c:pt idx="158">
                  <c:v>102.0985</c:v>
                </c:pt>
                <c:pt idx="159">
                  <c:v>102.76649999999999</c:v>
                </c:pt>
                <c:pt idx="160">
                  <c:v>102.9953</c:v>
                </c:pt>
                <c:pt idx="161">
                  <c:v>102.5698</c:v>
                </c:pt>
                <c:pt idx="162">
                  <c:v>101.4092</c:v>
                </c:pt>
                <c:pt idx="163">
                  <c:v>102.29349999999999</c:v>
                </c:pt>
                <c:pt idx="164">
                  <c:v>102.44159999999999</c:v>
                </c:pt>
                <c:pt idx="165">
                  <c:v>102.24160000000001</c:v>
                </c:pt>
                <c:pt idx="166">
                  <c:v>102.7966</c:v>
                </c:pt>
                <c:pt idx="167">
                  <c:v>102.2007</c:v>
                </c:pt>
                <c:pt idx="168">
                  <c:v>101.8429</c:v>
                </c:pt>
                <c:pt idx="169">
                  <c:v>101.6437</c:v>
                </c:pt>
                <c:pt idx="170">
                  <c:v>101.09010000000001</c:v>
                </c:pt>
                <c:pt idx="171">
                  <c:v>101.45059999999999</c:v>
                </c:pt>
                <c:pt idx="172">
                  <c:v>101.36409999999999</c:v>
                </c:pt>
                <c:pt idx="173">
                  <c:v>101.1601</c:v>
                </c:pt>
                <c:pt idx="174">
                  <c:v>101.69970000000001</c:v>
                </c:pt>
                <c:pt idx="175">
                  <c:v>101.75579999999999</c:v>
                </c:pt>
                <c:pt idx="176">
                  <c:v>101.642</c:v>
                </c:pt>
                <c:pt idx="177">
                  <c:v>101.24079999999999</c:v>
                </c:pt>
                <c:pt idx="178">
                  <c:v>101.84010000000001</c:v>
                </c:pt>
                <c:pt idx="179">
                  <c:v>102.12479999999999</c:v>
                </c:pt>
                <c:pt idx="180">
                  <c:v>102.17870000000001</c:v>
                </c:pt>
                <c:pt idx="181">
                  <c:v>101.43729999999999</c:v>
                </c:pt>
                <c:pt idx="182">
                  <c:v>101.8087</c:v>
                </c:pt>
                <c:pt idx="183">
                  <c:v>101.7594</c:v>
                </c:pt>
                <c:pt idx="184">
                  <c:v>100.8886</c:v>
                </c:pt>
                <c:pt idx="185">
                  <c:v>101.7694</c:v>
                </c:pt>
                <c:pt idx="186">
                  <c:v>101.6969</c:v>
                </c:pt>
                <c:pt idx="187">
                  <c:v>100.7578</c:v>
                </c:pt>
                <c:pt idx="188">
                  <c:v>100.8995</c:v>
                </c:pt>
                <c:pt idx="189">
                  <c:v>101.2963</c:v>
                </c:pt>
                <c:pt idx="190">
                  <c:v>101.434</c:v>
                </c:pt>
                <c:pt idx="191">
                  <c:v>101.25190000000001</c:v>
                </c:pt>
                <c:pt idx="192">
                  <c:v>101.35380000000001</c:v>
                </c:pt>
                <c:pt idx="193">
                  <c:v>101.0924</c:v>
                </c:pt>
                <c:pt idx="194">
                  <c:v>100.7328</c:v>
                </c:pt>
                <c:pt idx="195">
                  <c:v>101.4028</c:v>
                </c:pt>
                <c:pt idx="196">
                  <c:v>100.315</c:v>
                </c:pt>
                <c:pt idx="197">
                  <c:v>100.7097</c:v>
                </c:pt>
                <c:pt idx="198">
                  <c:v>99.936599999999999</c:v>
                </c:pt>
                <c:pt idx="199">
                  <c:v>100.5244</c:v>
                </c:pt>
                <c:pt idx="200">
                  <c:v>100.52979999999999</c:v>
                </c:pt>
                <c:pt idx="201">
                  <c:v>100.56270000000001</c:v>
                </c:pt>
                <c:pt idx="202">
                  <c:v>101.26730000000001</c:v>
                </c:pt>
                <c:pt idx="203">
                  <c:v>100.318</c:v>
                </c:pt>
                <c:pt idx="204">
                  <c:v>101.14660000000001</c:v>
                </c:pt>
                <c:pt idx="205">
                  <c:v>100.39790000000001</c:v>
                </c:pt>
                <c:pt idx="206">
                  <c:v>100.2668</c:v>
                </c:pt>
                <c:pt idx="207">
                  <c:v>100.4824</c:v>
                </c:pt>
                <c:pt idx="208">
                  <c:v>100.1611</c:v>
                </c:pt>
                <c:pt idx="209">
                  <c:v>100.7315</c:v>
                </c:pt>
                <c:pt idx="210">
                  <c:v>100.955</c:v>
                </c:pt>
                <c:pt idx="211">
                  <c:v>100.3673</c:v>
                </c:pt>
                <c:pt idx="212">
                  <c:v>100.2337</c:v>
                </c:pt>
                <c:pt idx="213">
                  <c:v>100.1961</c:v>
                </c:pt>
                <c:pt idx="214">
                  <c:v>99.870500000000007</c:v>
                </c:pt>
                <c:pt idx="215">
                  <c:v>99.554400000000001</c:v>
                </c:pt>
                <c:pt idx="216">
                  <c:v>99.727900000000005</c:v>
                </c:pt>
                <c:pt idx="217">
                  <c:v>100.1896</c:v>
                </c:pt>
                <c:pt idx="218">
                  <c:v>99.789100000000005</c:v>
                </c:pt>
                <c:pt idx="219">
                  <c:v>100.845</c:v>
                </c:pt>
                <c:pt idx="220">
                  <c:v>100.55240000000001</c:v>
                </c:pt>
                <c:pt idx="221">
                  <c:v>100.7236</c:v>
                </c:pt>
                <c:pt idx="222">
                  <c:v>100.83150000000001</c:v>
                </c:pt>
                <c:pt idx="223">
                  <c:v>99.891400000000004</c:v>
                </c:pt>
                <c:pt idx="224">
                  <c:v>100.8745</c:v>
                </c:pt>
                <c:pt idx="225">
                  <c:v>100.49169999999999</c:v>
                </c:pt>
                <c:pt idx="226">
                  <c:v>100.3511</c:v>
                </c:pt>
                <c:pt idx="227">
                  <c:v>100.3754</c:v>
                </c:pt>
                <c:pt idx="228">
                  <c:v>100.0886</c:v>
                </c:pt>
                <c:pt idx="229">
                  <c:v>100.55289999999999</c:v>
                </c:pt>
                <c:pt idx="230">
                  <c:v>99.490899999999996</c:v>
                </c:pt>
                <c:pt idx="231">
                  <c:v>100.2533</c:v>
                </c:pt>
                <c:pt idx="232">
                  <c:v>99.635000000000005</c:v>
                </c:pt>
                <c:pt idx="233">
                  <c:v>99.327799999999996</c:v>
                </c:pt>
                <c:pt idx="234">
                  <c:v>100.0309</c:v>
                </c:pt>
                <c:pt idx="235">
                  <c:v>99.275700000000001</c:v>
                </c:pt>
                <c:pt idx="236">
                  <c:v>99.905799999999999</c:v>
                </c:pt>
                <c:pt idx="237">
                  <c:v>99.717399999999998</c:v>
                </c:pt>
                <c:pt idx="238">
                  <c:v>99.501800000000003</c:v>
                </c:pt>
                <c:pt idx="239">
                  <c:v>100.2013</c:v>
                </c:pt>
                <c:pt idx="240">
                  <c:v>99.924599999999998</c:v>
                </c:pt>
                <c:pt idx="241">
                  <c:v>99.6434</c:v>
                </c:pt>
                <c:pt idx="242">
                  <c:v>100.2641</c:v>
                </c:pt>
                <c:pt idx="243">
                  <c:v>99.823700000000002</c:v>
                </c:pt>
                <c:pt idx="244">
                  <c:v>99.422300000000007</c:v>
                </c:pt>
                <c:pt idx="245">
                  <c:v>100.1323</c:v>
                </c:pt>
                <c:pt idx="246">
                  <c:v>99.182299999999998</c:v>
                </c:pt>
                <c:pt idx="247">
                  <c:v>98.911799999999999</c:v>
                </c:pt>
                <c:pt idx="248">
                  <c:v>98.702699999999993</c:v>
                </c:pt>
                <c:pt idx="249">
                  <c:v>98.417500000000004</c:v>
                </c:pt>
                <c:pt idx="250">
                  <c:v>99.028000000000006</c:v>
                </c:pt>
                <c:pt idx="251">
                  <c:v>99.036799999999999</c:v>
                </c:pt>
                <c:pt idx="252">
                  <c:v>99.232799999999997</c:v>
                </c:pt>
                <c:pt idx="253">
                  <c:v>98.9131</c:v>
                </c:pt>
                <c:pt idx="254">
                  <c:v>99.431899999999999</c:v>
                </c:pt>
                <c:pt idx="255">
                  <c:v>99.149299999999997</c:v>
                </c:pt>
                <c:pt idx="256">
                  <c:v>99.001199999999997</c:v>
                </c:pt>
                <c:pt idx="257">
                  <c:v>98.410899999999998</c:v>
                </c:pt>
                <c:pt idx="258">
                  <c:v>98.407200000000003</c:v>
                </c:pt>
                <c:pt idx="259">
                  <c:v>98.131100000000004</c:v>
                </c:pt>
                <c:pt idx="260">
                  <c:v>98.128500000000003</c:v>
                </c:pt>
                <c:pt idx="261">
                  <c:v>98.080600000000004</c:v>
                </c:pt>
                <c:pt idx="262">
                  <c:v>97.723500000000001</c:v>
                </c:pt>
                <c:pt idx="263">
                  <c:v>98.469200000000001</c:v>
                </c:pt>
                <c:pt idx="264">
                  <c:v>97.911600000000007</c:v>
                </c:pt>
                <c:pt idx="265">
                  <c:v>98.0792</c:v>
                </c:pt>
                <c:pt idx="266">
                  <c:v>98.495800000000003</c:v>
                </c:pt>
                <c:pt idx="267">
                  <c:v>98.351200000000006</c:v>
                </c:pt>
                <c:pt idx="268">
                  <c:v>97.255099999999999</c:v>
                </c:pt>
                <c:pt idx="269">
                  <c:v>97.260800000000003</c:v>
                </c:pt>
                <c:pt idx="270">
                  <c:v>97.0364</c:v>
                </c:pt>
                <c:pt idx="271">
                  <c:v>97.063800000000001</c:v>
                </c:pt>
                <c:pt idx="272">
                  <c:v>96.849900000000005</c:v>
                </c:pt>
                <c:pt idx="273">
                  <c:v>96.576599999999999</c:v>
                </c:pt>
                <c:pt idx="274">
                  <c:v>97.297300000000007</c:v>
                </c:pt>
                <c:pt idx="275">
                  <c:v>97.022900000000007</c:v>
                </c:pt>
                <c:pt idx="276">
                  <c:v>96.806799999999996</c:v>
                </c:pt>
                <c:pt idx="277">
                  <c:v>97.090900000000005</c:v>
                </c:pt>
                <c:pt idx="278">
                  <c:v>97.3078</c:v>
                </c:pt>
                <c:pt idx="279">
                  <c:v>98.006799999999998</c:v>
                </c:pt>
                <c:pt idx="280">
                  <c:v>97.8</c:v>
                </c:pt>
                <c:pt idx="281">
                  <c:v>97.215900000000005</c:v>
                </c:pt>
                <c:pt idx="282">
                  <c:v>97.407399999999996</c:v>
                </c:pt>
                <c:pt idx="283">
                  <c:v>97</c:v>
                </c:pt>
                <c:pt idx="284">
                  <c:v>97.294799999999995</c:v>
                </c:pt>
                <c:pt idx="285">
                  <c:v>98.680199999999999</c:v>
                </c:pt>
                <c:pt idx="286">
                  <c:v>97.782399999999996</c:v>
                </c:pt>
                <c:pt idx="287">
                  <c:v>97.395799999999994</c:v>
                </c:pt>
                <c:pt idx="288">
                  <c:v>97.242599999999996</c:v>
                </c:pt>
                <c:pt idx="289">
                  <c:v>97.208399999999997</c:v>
                </c:pt>
                <c:pt idx="290">
                  <c:v>97.206599999999995</c:v>
                </c:pt>
                <c:pt idx="291">
                  <c:v>97.394599999999997</c:v>
                </c:pt>
                <c:pt idx="292">
                  <c:v>98.322400000000002</c:v>
                </c:pt>
                <c:pt idx="293">
                  <c:v>97.313299999999998</c:v>
                </c:pt>
                <c:pt idx="294">
                  <c:v>97.4803</c:v>
                </c:pt>
                <c:pt idx="295">
                  <c:v>98.040599999999998</c:v>
                </c:pt>
                <c:pt idx="296">
                  <c:v>97.702799999999996</c:v>
                </c:pt>
                <c:pt idx="297">
                  <c:v>97.2149</c:v>
                </c:pt>
                <c:pt idx="298">
                  <c:v>97.247100000000003</c:v>
                </c:pt>
                <c:pt idx="299">
                  <c:v>97.016499999999994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904C-DE42-B509-8DF004462FF2}"/>
            </c:ext>
          </c:extLst>
        </c:ser>
        <c:ser>
          <c:idx val="3"/>
          <c:order val="3"/>
          <c:tx>
            <c:strRef>
              <c:f>Simulation!$I$1</c:f>
              <c:strCache>
                <c:ptCount val="1"/>
                <c:pt idx="0">
                  <c:v>P1</c:v>
                </c:pt>
              </c:strCache>
            </c:strRef>
          </c:tx>
          <c:spPr>
            <a:ln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Simulation!$I$2:$I$301</c:f>
              <c:numCache>
                <c:formatCode>General</c:formatCode>
                <c:ptCount val="300"/>
                <c:pt idx="0">
                  <c:v>68.294700000000006</c:v>
                </c:pt>
                <c:pt idx="1">
                  <c:v>29.904399999999999</c:v>
                </c:pt>
                <c:pt idx="2">
                  <c:v>16.7822</c:v>
                </c:pt>
                <c:pt idx="3">
                  <c:v>8.3993000000000002</c:v>
                </c:pt>
                <c:pt idx="4">
                  <c:v>1.8517999999999999</c:v>
                </c:pt>
                <c:pt idx="5">
                  <c:v>-0.58720000000000006</c:v>
                </c:pt>
                <c:pt idx="6">
                  <c:v>-3.1092</c:v>
                </c:pt>
                <c:pt idx="7">
                  <c:v>-3.7242999999999999</c:v>
                </c:pt>
                <c:pt idx="8">
                  <c:v>-6.282</c:v>
                </c:pt>
                <c:pt idx="9">
                  <c:v>-7.1670999999999996</c:v>
                </c:pt>
                <c:pt idx="10">
                  <c:v>-9.9291</c:v>
                </c:pt>
                <c:pt idx="11">
                  <c:v>-10.276999999999999</c:v>
                </c:pt>
                <c:pt idx="12">
                  <c:v>-10.3538</c:v>
                </c:pt>
                <c:pt idx="13">
                  <c:v>-10.622400000000001</c:v>
                </c:pt>
                <c:pt idx="14">
                  <c:v>-11.728199999999999</c:v>
                </c:pt>
                <c:pt idx="15">
                  <c:v>-10.784700000000001</c:v>
                </c:pt>
                <c:pt idx="16">
                  <c:v>-10.3581</c:v>
                </c:pt>
                <c:pt idx="17">
                  <c:v>-10.783799999999999</c:v>
                </c:pt>
                <c:pt idx="18">
                  <c:v>-10.436</c:v>
                </c:pt>
                <c:pt idx="19">
                  <c:v>-12.1113</c:v>
                </c:pt>
                <c:pt idx="20">
                  <c:v>-13.504</c:v>
                </c:pt>
                <c:pt idx="21">
                  <c:v>-13.9411</c:v>
                </c:pt>
                <c:pt idx="22">
                  <c:v>-13.647500000000001</c:v>
                </c:pt>
                <c:pt idx="23">
                  <c:v>-12.8962</c:v>
                </c:pt>
                <c:pt idx="24">
                  <c:v>-12.7455</c:v>
                </c:pt>
                <c:pt idx="25">
                  <c:v>-14.4254</c:v>
                </c:pt>
                <c:pt idx="26">
                  <c:v>-13.498100000000001</c:v>
                </c:pt>
                <c:pt idx="27">
                  <c:v>-13.906000000000001</c:v>
                </c:pt>
                <c:pt idx="28">
                  <c:v>-13.088100000000001</c:v>
                </c:pt>
                <c:pt idx="29">
                  <c:v>-13.6127</c:v>
                </c:pt>
                <c:pt idx="30">
                  <c:v>-14.2719</c:v>
                </c:pt>
                <c:pt idx="31">
                  <c:v>-14.798500000000001</c:v>
                </c:pt>
                <c:pt idx="32">
                  <c:v>-13.538500000000001</c:v>
                </c:pt>
                <c:pt idx="33">
                  <c:v>-11.889900000000001</c:v>
                </c:pt>
                <c:pt idx="34">
                  <c:v>-12.8583</c:v>
                </c:pt>
                <c:pt idx="35">
                  <c:v>-13.456300000000001</c:v>
                </c:pt>
                <c:pt idx="36">
                  <c:v>-12.6991</c:v>
                </c:pt>
                <c:pt idx="37">
                  <c:v>-13.132999999999999</c:v>
                </c:pt>
                <c:pt idx="38">
                  <c:v>-13.748699999999999</c:v>
                </c:pt>
                <c:pt idx="39">
                  <c:v>-10.923299999999999</c:v>
                </c:pt>
                <c:pt idx="40">
                  <c:v>-11.792199999999999</c:v>
                </c:pt>
                <c:pt idx="41">
                  <c:v>-12.793900000000001</c:v>
                </c:pt>
                <c:pt idx="42">
                  <c:v>-12.7378</c:v>
                </c:pt>
                <c:pt idx="43">
                  <c:v>-13.1998</c:v>
                </c:pt>
                <c:pt idx="44">
                  <c:v>-13.6732</c:v>
                </c:pt>
                <c:pt idx="45">
                  <c:v>-11.345700000000001</c:v>
                </c:pt>
                <c:pt idx="46">
                  <c:v>-13.978</c:v>
                </c:pt>
                <c:pt idx="47">
                  <c:v>-11.7179</c:v>
                </c:pt>
                <c:pt idx="48">
                  <c:v>-15.3363</c:v>
                </c:pt>
                <c:pt idx="49">
                  <c:v>-13.8474</c:v>
                </c:pt>
                <c:pt idx="50">
                  <c:v>-14.554600000000001</c:v>
                </c:pt>
                <c:pt idx="51">
                  <c:v>-13.6883</c:v>
                </c:pt>
                <c:pt idx="52">
                  <c:v>-14.742100000000001</c:v>
                </c:pt>
                <c:pt idx="53">
                  <c:v>-15.0685</c:v>
                </c:pt>
                <c:pt idx="54">
                  <c:v>-15.131</c:v>
                </c:pt>
                <c:pt idx="55">
                  <c:v>-15.072900000000001</c:v>
                </c:pt>
                <c:pt idx="56">
                  <c:v>-15.904400000000001</c:v>
                </c:pt>
                <c:pt idx="57">
                  <c:v>-12.8935</c:v>
                </c:pt>
                <c:pt idx="58">
                  <c:v>-13.5031</c:v>
                </c:pt>
                <c:pt idx="59">
                  <c:v>-14.852</c:v>
                </c:pt>
                <c:pt idx="60">
                  <c:v>-14.4422</c:v>
                </c:pt>
                <c:pt idx="61">
                  <c:v>-14.311299999999999</c:v>
                </c:pt>
                <c:pt idx="62">
                  <c:v>-14.1129</c:v>
                </c:pt>
                <c:pt idx="63">
                  <c:v>-15.600199999999999</c:v>
                </c:pt>
                <c:pt idx="64">
                  <c:v>-14.6386</c:v>
                </c:pt>
                <c:pt idx="65">
                  <c:v>-14.2339</c:v>
                </c:pt>
                <c:pt idx="66">
                  <c:v>-13.939</c:v>
                </c:pt>
                <c:pt idx="67">
                  <c:v>-13.5924</c:v>
                </c:pt>
                <c:pt idx="68">
                  <c:v>-14.416399999999999</c:v>
                </c:pt>
                <c:pt idx="69">
                  <c:v>-12.809699999999999</c:v>
                </c:pt>
                <c:pt idx="70">
                  <c:v>-12.5524</c:v>
                </c:pt>
                <c:pt idx="71">
                  <c:v>-14.5814</c:v>
                </c:pt>
                <c:pt idx="72">
                  <c:v>-14.459099999999999</c:v>
                </c:pt>
                <c:pt idx="73">
                  <c:v>-14.246700000000001</c:v>
                </c:pt>
                <c:pt idx="74">
                  <c:v>-13.198700000000001</c:v>
                </c:pt>
                <c:pt idx="75">
                  <c:v>-13.7272</c:v>
                </c:pt>
                <c:pt idx="76">
                  <c:v>-14.894299999999999</c:v>
                </c:pt>
                <c:pt idx="77">
                  <c:v>-14.1244</c:v>
                </c:pt>
                <c:pt idx="78">
                  <c:v>-14.9331</c:v>
                </c:pt>
                <c:pt idx="79">
                  <c:v>-14.484299999999999</c:v>
                </c:pt>
                <c:pt idx="80">
                  <c:v>-13.9704</c:v>
                </c:pt>
                <c:pt idx="81">
                  <c:v>-13.4672</c:v>
                </c:pt>
                <c:pt idx="82">
                  <c:v>-11.973000000000001</c:v>
                </c:pt>
                <c:pt idx="83">
                  <c:v>-14.044600000000001</c:v>
                </c:pt>
                <c:pt idx="84">
                  <c:v>-14.858700000000001</c:v>
                </c:pt>
                <c:pt idx="85">
                  <c:v>-17.5259</c:v>
                </c:pt>
                <c:pt idx="86">
                  <c:v>-16.604500000000002</c:v>
                </c:pt>
                <c:pt idx="87">
                  <c:v>-15.8719</c:v>
                </c:pt>
                <c:pt idx="88">
                  <c:v>-14.683</c:v>
                </c:pt>
                <c:pt idx="89">
                  <c:v>-15.2051</c:v>
                </c:pt>
                <c:pt idx="90">
                  <c:v>-14.3461</c:v>
                </c:pt>
                <c:pt idx="91">
                  <c:v>-13.7967</c:v>
                </c:pt>
                <c:pt idx="92">
                  <c:v>-14.792999999999999</c:v>
                </c:pt>
                <c:pt idx="93">
                  <c:v>-12.9876</c:v>
                </c:pt>
                <c:pt idx="94">
                  <c:v>-16.6783</c:v>
                </c:pt>
                <c:pt idx="95">
                  <c:v>-17.8401</c:v>
                </c:pt>
                <c:pt idx="96">
                  <c:v>-16.38</c:v>
                </c:pt>
                <c:pt idx="97">
                  <c:v>-14.069699999999999</c:v>
                </c:pt>
                <c:pt idx="98">
                  <c:v>-14.218400000000001</c:v>
                </c:pt>
                <c:pt idx="99">
                  <c:v>-14.901899999999999</c:v>
                </c:pt>
                <c:pt idx="100">
                  <c:v>-16.207899999999999</c:v>
                </c:pt>
                <c:pt idx="101">
                  <c:v>-15.758599999999999</c:v>
                </c:pt>
                <c:pt idx="102">
                  <c:v>-15.114800000000001</c:v>
                </c:pt>
                <c:pt idx="103">
                  <c:v>-16.111499999999999</c:v>
                </c:pt>
                <c:pt idx="104">
                  <c:v>-17.392700000000001</c:v>
                </c:pt>
                <c:pt idx="105">
                  <c:v>-14.813000000000001</c:v>
                </c:pt>
                <c:pt idx="106">
                  <c:v>-16.495899999999999</c:v>
                </c:pt>
                <c:pt idx="107">
                  <c:v>-15.9916</c:v>
                </c:pt>
                <c:pt idx="108">
                  <c:v>-15.6677</c:v>
                </c:pt>
                <c:pt idx="109">
                  <c:v>-15.3741</c:v>
                </c:pt>
                <c:pt idx="110">
                  <c:v>-16.553699999999999</c:v>
                </c:pt>
                <c:pt idx="111">
                  <c:v>-16.214200000000002</c:v>
                </c:pt>
                <c:pt idx="112">
                  <c:v>-15.9712</c:v>
                </c:pt>
                <c:pt idx="113">
                  <c:v>-16.410299999999999</c:v>
                </c:pt>
                <c:pt idx="114">
                  <c:v>-15.899100000000001</c:v>
                </c:pt>
                <c:pt idx="115">
                  <c:v>-19.121200000000002</c:v>
                </c:pt>
                <c:pt idx="116">
                  <c:v>-16.9329</c:v>
                </c:pt>
                <c:pt idx="117">
                  <c:v>-16.0822</c:v>
                </c:pt>
                <c:pt idx="118">
                  <c:v>-16.359400000000001</c:v>
                </c:pt>
                <c:pt idx="119">
                  <c:v>-17.661999999999999</c:v>
                </c:pt>
                <c:pt idx="120">
                  <c:v>-14.7202</c:v>
                </c:pt>
                <c:pt idx="121">
                  <c:v>-14.688499999999999</c:v>
                </c:pt>
                <c:pt idx="122">
                  <c:v>-17.2074</c:v>
                </c:pt>
                <c:pt idx="123">
                  <c:v>-16.354800000000001</c:v>
                </c:pt>
                <c:pt idx="124">
                  <c:v>-15.916399999999999</c:v>
                </c:pt>
                <c:pt idx="125">
                  <c:v>-17.090699999999998</c:v>
                </c:pt>
                <c:pt idx="126">
                  <c:v>-17.619299999999999</c:v>
                </c:pt>
                <c:pt idx="127">
                  <c:v>-17.385300000000001</c:v>
                </c:pt>
                <c:pt idx="128">
                  <c:v>-16.589500000000001</c:v>
                </c:pt>
                <c:pt idx="129">
                  <c:v>-17.134499999999999</c:v>
                </c:pt>
                <c:pt idx="130">
                  <c:v>-16.1617</c:v>
                </c:pt>
                <c:pt idx="131">
                  <c:v>-18.368500000000001</c:v>
                </c:pt>
                <c:pt idx="132">
                  <c:v>-16.144200000000001</c:v>
                </c:pt>
                <c:pt idx="133">
                  <c:v>-16.664000000000001</c:v>
                </c:pt>
                <c:pt idx="134">
                  <c:v>-17.2591</c:v>
                </c:pt>
                <c:pt idx="135">
                  <c:v>-17.153700000000001</c:v>
                </c:pt>
                <c:pt idx="136">
                  <c:v>-17.505700000000001</c:v>
                </c:pt>
                <c:pt idx="137">
                  <c:v>-17.065999999999999</c:v>
                </c:pt>
                <c:pt idx="138">
                  <c:v>-17.163499999999999</c:v>
                </c:pt>
                <c:pt idx="139">
                  <c:v>-18.004300000000001</c:v>
                </c:pt>
                <c:pt idx="140">
                  <c:v>-16.977399999999999</c:v>
                </c:pt>
                <c:pt idx="141">
                  <c:v>-17.2578</c:v>
                </c:pt>
                <c:pt idx="142">
                  <c:v>-14.4405</c:v>
                </c:pt>
                <c:pt idx="143">
                  <c:v>-16.2683</c:v>
                </c:pt>
                <c:pt idx="144">
                  <c:v>-15.579700000000001</c:v>
                </c:pt>
                <c:pt idx="145">
                  <c:v>-18.049800000000001</c:v>
                </c:pt>
                <c:pt idx="146">
                  <c:v>-16.027100000000001</c:v>
                </c:pt>
                <c:pt idx="147">
                  <c:v>-16.786799999999999</c:v>
                </c:pt>
                <c:pt idx="148">
                  <c:v>-16.519300000000001</c:v>
                </c:pt>
                <c:pt idx="149">
                  <c:v>-16.265899999999998</c:v>
                </c:pt>
                <c:pt idx="150">
                  <c:v>-17.402699999999999</c:v>
                </c:pt>
                <c:pt idx="151">
                  <c:v>-19.355499999999999</c:v>
                </c:pt>
                <c:pt idx="152">
                  <c:v>-16.6891</c:v>
                </c:pt>
                <c:pt idx="153">
                  <c:v>-16.014500000000002</c:v>
                </c:pt>
                <c:pt idx="154">
                  <c:v>-16.781400000000001</c:v>
                </c:pt>
                <c:pt idx="155">
                  <c:v>-14.247999999999999</c:v>
                </c:pt>
                <c:pt idx="156">
                  <c:v>-16.882000000000001</c:v>
                </c:pt>
                <c:pt idx="157">
                  <c:v>-16.5929</c:v>
                </c:pt>
                <c:pt idx="158">
                  <c:v>-18.084499999999998</c:v>
                </c:pt>
                <c:pt idx="159">
                  <c:v>-17.139099999999999</c:v>
                </c:pt>
                <c:pt idx="160">
                  <c:v>-17.9604</c:v>
                </c:pt>
                <c:pt idx="161">
                  <c:v>-14.891999999999999</c:v>
                </c:pt>
                <c:pt idx="162">
                  <c:v>-16.716000000000001</c:v>
                </c:pt>
                <c:pt idx="163">
                  <c:v>-16.325600000000001</c:v>
                </c:pt>
                <c:pt idx="164">
                  <c:v>-16.284600000000001</c:v>
                </c:pt>
                <c:pt idx="165">
                  <c:v>-18.9238</c:v>
                </c:pt>
                <c:pt idx="166">
                  <c:v>-18.526</c:v>
                </c:pt>
                <c:pt idx="167">
                  <c:v>-17.8521</c:v>
                </c:pt>
                <c:pt idx="168">
                  <c:v>-17.174700000000001</c:v>
                </c:pt>
                <c:pt idx="169">
                  <c:v>-16.756399999999999</c:v>
                </c:pt>
                <c:pt idx="170">
                  <c:v>-18.9239</c:v>
                </c:pt>
                <c:pt idx="171">
                  <c:v>-18.308399999999999</c:v>
                </c:pt>
                <c:pt idx="172">
                  <c:v>-17.3916</c:v>
                </c:pt>
                <c:pt idx="173">
                  <c:v>-16.803999999999998</c:v>
                </c:pt>
                <c:pt idx="174">
                  <c:v>-16.976299999999998</c:v>
                </c:pt>
                <c:pt idx="175">
                  <c:v>-18.064499999999999</c:v>
                </c:pt>
                <c:pt idx="176">
                  <c:v>-18.1587</c:v>
                </c:pt>
                <c:pt idx="177">
                  <c:v>-17.826499999999999</c:v>
                </c:pt>
                <c:pt idx="178">
                  <c:v>-18.7103</c:v>
                </c:pt>
                <c:pt idx="179">
                  <c:v>-15.448600000000001</c:v>
                </c:pt>
                <c:pt idx="180">
                  <c:v>-18.7454</c:v>
                </c:pt>
                <c:pt idx="181">
                  <c:v>-20.336500000000001</c:v>
                </c:pt>
                <c:pt idx="182">
                  <c:v>-18.9252</c:v>
                </c:pt>
                <c:pt idx="183">
                  <c:v>-19.575399999999998</c:v>
                </c:pt>
                <c:pt idx="184">
                  <c:v>-19.1358</c:v>
                </c:pt>
                <c:pt idx="185">
                  <c:v>-18.389600000000002</c:v>
                </c:pt>
                <c:pt idx="186">
                  <c:v>-16.8718</c:v>
                </c:pt>
                <c:pt idx="187">
                  <c:v>-15.5593</c:v>
                </c:pt>
                <c:pt idx="188">
                  <c:v>-15.9483</c:v>
                </c:pt>
                <c:pt idx="189">
                  <c:v>-16.099599999999999</c:v>
                </c:pt>
                <c:pt idx="190">
                  <c:v>-16.348600000000001</c:v>
                </c:pt>
                <c:pt idx="191">
                  <c:v>-17.384599999999999</c:v>
                </c:pt>
                <c:pt idx="192">
                  <c:v>-16.6051</c:v>
                </c:pt>
                <c:pt idx="193">
                  <c:v>-17.899100000000001</c:v>
                </c:pt>
                <c:pt idx="194">
                  <c:v>-16.925699999999999</c:v>
                </c:pt>
                <c:pt idx="195">
                  <c:v>-18.071100000000001</c:v>
                </c:pt>
                <c:pt idx="196">
                  <c:v>-17.4038</c:v>
                </c:pt>
                <c:pt idx="197">
                  <c:v>-18.041599999999999</c:v>
                </c:pt>
                <c:pt idx="198">
                  <c:v>-17.633400000000002</c:v>
                </c:pt>
                <c:pt idx="199">
                  <c:v>-17.7789</c:v>
                </c:pt>
                <c:pt idx="200">
                  <c:v>-17.724799999999998</c:v>
                </c:pt>
                <c:pt idx="201">
                  <c:v>-17.967500000000001</c:v>
                </c:pt>
                <c:pt idx="202">
                  <c:v>-17.124300000000002</c:v>
                </c:pt>
                <c:pt idx="203">
                  <c:v>-18.203700000000001</c:v>
                </c:pt>
                <c:pt idx="204">
                  <c:v>-17.694800000000001</c:v>
                </c:pt>
                <c:pt idx="205">
                  <c:v>-17.1401</c:v>
                </c:pt>
                <c:pt idx="206">
                  <c:v>-18.300799999999999</c:v>
                </c:pt>
                <c:pt idx="207">
                  <c:v>-18.218399999999999</c:v>
                </c:pt>
                <c:pt idx="208">
                  <c:v>-16.9313</c:v>
                </c:pt>
                <c:pt idx="209">
                  <c:v>-18.604600000000001</c:v>
                </c:pt>
                <c:pt idx="210">
                  <c:v>-17.496400000000001</c:v>
                </c:pt>
                <c:pt idx="211">
                  <c:v>-17.353200000000001</c:v>
                </c:pt>
                <c:pt idx="212">
                  <c:v>-17.677399999999999</c:v>
                </c:pt>
                <c:pt idx="213">
                  <c:v>-16.098600000000001</c:v>
                </c:pt>
                <c:pt idx="214">
                  <c:v>-17.7699</c:v>
                </c:pt>
                <c:pt idx="215">
                  <c:v>-18.800899999999999</c:v>
                </c:pt>
                <c:pt idx="216">
                  <c:v>-19.770199999999999</c:v>
                </c:pt>
                <c:pt idx="217">
                  <c:v>-19.703099999999999</c:v>
                </c:pt>
                <c:pt idx="218">
                  <c:v>-19.960599999999999</c:v>
                </c:pt>
                <c:pt idx="219">
                  <c:v>-19.046800000000001</c:v>
                </c:pt>
                <c:pt idx="220">
                  <c:v>-17.771100000000001</c:v>
                </c:pt>
                <c:pt idx="221">
                  <c:v>-18.825700000000001</c:v>
                </c:pt>
                <c:pt idx="222">
                  <c:v>-18.234100000000002</c:v>
                </c:pt>
                <c:pt idx="223">
                  <c:v>-19.758400000000002</c:v>
                </c:pt>
                <c:pt idx="224">
                  <c:v>-20.015699999999999</c:v>
                </c:pt>
                <c:pt idx="225">
                  <c:v>-19.678100000000001</c:v>
                </c:pt>
                <c:pt idx="226">
                  <c:v>-18.414400000000001</c:v>
                </c:pt>
                <c:pt idx="227">
                  <c:v>-17.879200000000001</c:v>
                </c:pt>
                <c:pt idx="228">
                  <c:v>-17.197199999999999</c:v>
                </c:pt>
                <c:pt idx="229">
                  <c:v>-19.5228</c:v>
                </c:pt>
                <c:pt idx="230">
                  <c:v>-17.334800000000001</c:v>
                </c:pt>
                <c:pt idx="231">
                  <c:v>-18.9572</c:v>
                </c:pt>
                <c:pt idx="232">
                  <c:v>-18.865300000000001</c:v>
                </c:pt>
                <c:pt idx="233">
                  <c:v>-17.145900000000001</c:v>
                </c:pt>
                <c:pt idx="234">
                  <c:v>-17.9178</c:v>
                </c:pt>
                <c:pt idx="235">
                  <c:v>-18.2806</c:v>
                </c:pt>
                <c:pt idx="236">
                  <c:v>-19.577000000000002</c:v>
                </c:pt>
                <c:pt idx="237">
                  <c:v>-19.3185</c:v>
                </c:pt>
                <c:pt idx="238">
                  <c:v>-20.639800000000001</c:v>
                </c:pt>
                <c:pt idx="239">
                  <c:v>-19.553100000000001</c:v>
                </c:pt>
                <c:pt idx="240">
                  <c:v>-18.9878</c:v>
                </c:pt>
                <c:pt idx="241">
                  <c:v>-18.323599999999999</c:v>
                </c:pt>
                <c:pt idx="242">
                  <c:v>-19.716000000000001</c:v>
                </c:pt>
                <c:pt idx="243">
                  <c:v>-19.682099999999998</c:v>
                </c:pt>
                <c:pt idx="244">
                  <c:v>-21.8307</c:v>
                </c:pt>
                <c:pt idx="245">
                  <c:v>-19.042899999999999</c:v>
                </c:pt>
                <c:pt idx="246">
                  <c:v>-19.404</c:v>
                </c:pt>
                <c:pt idx="247">
                  <c:v>-21.252700000000001</c:v>
                </c:pt>
                <c:pt idx="248">
                  <c:v>-20.4452</c:v>
                </c:pt>
                <c:pt idx="249">
                  <c:v>-19.484000000000002</c:v>
                </c:pt>
                <c:pt idx="250">
                  <c:v>-20.141200000000001</c:v>
                </c:pt>
                <c:pt idx="251">
                  <c:v>-18.296500000000002</c:v>
                </c:pt>
                <c:pt idx="252">
                  <c:v>-19.8691</c:v>
                </c:pt>
                <c:pt idx="253">
                  <c:v>-21.284300000000002</c:v>
                </c:pt>
                <c:pt idx="254">
                  <c:v>-19.895199999999999</c:v>
                </c:pt>
                <c:pt idx="255">
                  <c:v>-22.093</c:v>
                </c:pt>
                <c:pt idx="256">
                  <c:v>-20.2545</c:v>
                </c:pt>
                <c:pt idx="257">
                  <c:v>-18.61</c:v>
                </c:pt>
                <c:pt idx="258">
                  <c:v>-19.4603</c:v>
                </c:pt>
                <c:pt idx="259">
                  <c:v>-21.2194</c:v>
                </c:pt>
                <c:pt idx="260">
                  <c:v>-20.899000000000001</c:v>
                </c:pt>
                <c:pt idx="261">
                  <c:v>-21.126799999999999</c:v>
                </c:pt>
                <c:pt idx="262">
                  <c:v>-21.332599999999999</c:v>
                </c:pt>
                <c:pt idx="263">
                  <c:v>-19.827300000000001</c:v>
                </c:pt>
                <c:pt idx="264">
                  <c:v>-20.049399999999999</c:v>
                </c:pt>
                <c:pt idx="265">
                  <c:v>-18.419</c:v>
                </c:pt>
                <c:pt idx="266">
                  <c:v>-18.87</c:v>
                </c:pt>
                <c:pt idx="267">
                  <c:v>-19.613399999999999</c:v>
                </c:pt>
                <c:pt idx="268">
                  <c:v>-22.0198</c:v>
                </c:pt>
                <c:pt idx="269">
                  <c:v>-23.071300000000001</c:v>
                </c:pt>
                <c:pt idx="270">
                  <c:v>-21.671600000000002</c:v>
                </c:pt>
                <c:pt idx="271">
                  <c:v>-22.294</c:v>
                </c:pt>
                <c:pt idx="272">
                  <c:v>-22.080500000000001</c:v>
                </c:pt>
                <c:pt idx="273">
                  <c:v>-20.567499999999999</c:v>
                </c:pt>
                <c:pt idx="274">
                  <c:v>-22.7302</c:v>
                </c:pt>
                <c:pt idx="275">
                  <c:v>-22.1435</c:v>
                </c:pt>
                <c:pt idx="276">
                  <c:v>-22.362300000000001</c:v>
                </c:pt>
                <c:pt idx="277">
                  <c:v>-25.4892</c:v>
                </c:pt>
                <c:pt idx="278">
                  <c:v>-23.565000000000001</c:v>
                </c:pt>
                <c:pt idx="279">
                  <c:v>-23.048500000000001</c:v>
                </c:pt>
                <c:pt idx="280">
                  <c:v>-22.260100000000001</c:v>
                </c:pt>
                <c:pt idx="281">
                  <c:v>-21.223500000000001</c:v>
                </c:pt>
                <c:pt idx="282">
                  <c:v>-21.1982</c:v>
                </c:pt>
                <c:pt idx="283">
                  <c:v>-21.7029</c:v>
                </c:pt>
                <c:pt idx="284">
                  <c:v>-21.6966</c:v>
                </c:pt>
                <c:pt idx="285">
                  <c:v>-23.187899999999999</c:v>
                </c:pt>
                <c:pt idx="286">
                  <c:v>-23.2956</c:v>
                </c:pt>
                <c:pt idx="287">
                  <c:v>-23.188600000000001</c:v>
                </c:pt>
                <c:pt idx="288">
                  <c:v>-21.275200000000002</c:v>
                </c:pt>
                <c:pt idx="289">
                  <c:v>-22.515699999999999</c:v>
                </c:pt>
                <c:pt idx="290">
                  <c:v>-22.422000000000001</c:v>
                </c:pt>
                <c:pt idx="291">
                  <c:v>-20.835699999999999</c:v>
                </c:pt>
                <c:pt idx="292">
                  <c:v>-22.172599999999999</c:v>
                </c:pt>
                <c:pt idx="293">
                  <c:v>-21.653700000000001</c:v>
                </c:pt>
                <c:pt idx="294">
                  <c:v>-22.9984</c:v>
                </c:pt>
                <c:pt idx="295">
                  <c:v>-22.098800000000001</c:v>
                </c:pt>
                <c:pt idx="296">
                  <c:v>-21.165700000000001</c:v>
                </c:pt>
                <c:pt idx="297">
                  <c:v>-21.847300000000001</c:v>
                </c:pt>
                <c:pt idx="298">
                  <c:v>-21.403300000000002</c:v>
                </c:pt>
                <c:pt idx="299">
                  <c:v>-22.495999999999999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904C-DE42-B509-8DF004462F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Capture Price (EUR/MWh)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P50/P90/P99 at Key Project Horizons — DK1 Primary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Simulation!$L$2</c:f>
              <c:strCache>
                <c:ptCount val="1"/>
                <c:pt idx="0">
                  <c:v>P50</c:v>
                </c:pt>
              </c:strCache>
            </c:strRef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Simulation!$L$3:$L$7</c:f>
              <c:numCache>
                <c:formatCode>General</c:formatCode>
                <c:ptCount val="5"/>
                <c:pt idx="0">
                  <c:v>62.42</c:v>
                </c:pt>
                <c:pt idx="1">
                  <c:v>60.67</c:v>
                </c:pt>
                <c:pt idx="2">
                  <c:v>58.52</c:v>
                </c:pt>
                <c:pt idx="3">
                  <c:v>57.43</c:v>
                </c:pt>
                <c:pt idx="4">
                  <c:v>54.79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C67F-1B49-B616-24DBE4CE961C}"/>
            </c:ext>
          </c:extLst>
        </c:ser>
        <c:ser>
          <c:idx val="1"/>
          <c:order val="1"/>
          <c:tx>
            <c:strRef>
              <c:f>Simulation!$M$2</c:f>
              <c:strCache>
                <c:ptCount val="1"/>
                <c:pt idx="0">
                  <c:v>P90</c:v>
                </c:pt>
              </c:strCache>
            </c:strRef>
          </c:tx>
          <c:spPr>
            <a:solidFill>
              <a:srgbClr val="FF8C00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Simulation!$M$3:$M$7</c:f>
              <c:numCache>
                <c:formatCode>General</c:formatCode>
                <c:ptCount val="5"/>
                <c:pt idx="0">
                  <c:v>19.97</c:v>
                </c:pt>
                <c:pt idx="1">
                  <c:v>18.27</c:v>
                </c:pt>
                <c:pt idx="2">
                  <c:v>16.52</c:v>
                </c:pt>
                <c:pt idx="3">
                  <c:v>14.71</c:v>
                </c:pt>
                <c:pt idx="4">
                  <c:v>12.55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C67F-1B49-B616-24DBE4CE961C}"/>
            </c:ext>
          </c:extLst>
        </c:ser>
        <c:ser>
          <c:idx val="2"/>
          <c:order val="2"/>
          <c:tx>
            <c:strRef>
              <c:f>Simulation!$N$2</c:f>
              <c:strCache>
                <c:ptCount val="1"/>
                <c:pt idx="0">
                  <c:v>P99</c:v>
                </c:pt>
              </c:strCache>
            </c:strRef>
          </c:tx>
          <c:spPr>
            <a:solidFill>
              <a:srgbClr val="C00000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Simulation!$N$3:$N$7</c:f>
              <c:numCache>
                <c:formatCode>General</c:formatCode>
                <c:ptCount val="5"/>
                <c:pt idx="0">
                  <c:v>-14.85</c:v>
                </c:pt>
                <c:pt idx="1">
                  <c:v>-17.66</c:v>
                </c:pt>
                <c:pt idx="2">
                  <c:v>-15.45</c:v>
                </c:pt>
                <c:pt idx="3">
                  <c:v>-19.55</c:v>
                </c:pt>
                <c:pt idx="4">
                  <c:v>-22.5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C67F-1B49-B616-24DBE4CE96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Project Year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Capture Price (EUR/MWh)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MC Simulation - DK1 P50/P90/P99 Capture Price Paths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Simulation!$C$1</c:f>
              <c:strCache>
                <c:ptCount val="1"/>
                <c:pt idx="0">
                  <c:v>mu_capture</c:v>
                </c:pt>
              </c:strCache>
            </c:strRef>
          </c:tx>
          <c:spPr>
            <a:ln>
              <a:solidFill>
                <a:srgbClr val="70AD47"/>
              </a:solidFill>
              <a:prstDash val="solid"/>
            </a:ln>
          </c:spPr>
          <c:marker>
            <c:symbol val="none"/>
          </c:marker>
          <c:val>
            <c:numRef>
              <c:f>Simulation!$C$2:$C$301</c:f>
              <c:numCache>
                <c:formatCode>General</c:formatCode>
                <c:ptCount val="300"/>
                <c:pt idx="0">
                  <c:v>64.879900000000006</c:v>
                </c:pt>
                <c:pt idx="1">
                  <c:v>64.845699999999994</c:v>
                </c:pt>
                <c:pt idx="2">
                  <c:v>64.811400000000006</c:v>
                </c:pt>
                <c:pt idx="3">
                  <c:v>64.777100000000004</c:v>
                </c:pt>
                <c:pt idx="4">
                  <c:v>64.742900000000006</c:v>
                </c:pt>
                <c:pt idx="5">
                  <c:v>64.708600000000004</c:v>
                </c:pt>
                <c:pt idx="6">
                  <c:v>64.674400000000006</c:v>
                </c:pt>
                <c:pt idx="7">
                  <c:v>64.640100000000004</c:v>
                </c:pt>
                <c:pt idx="8">
                  <c:v>64.605800000000002</c:v>
                </c:pt>
                <c:pt idx="9">
                  <c:v>64.571600000000004</c:v>
                </c:pt>
                <c:pt idx="10">
                  <c:v>64.537300000000002</c:v>
                </c:pt>
                <c:pt idx="11">
                  <c:v>64.503</c:v>
                </c:pt>
                <c:pt idx="12">
                  <c:v>64.468800000000002</c:v>
                </c:pt>
                <c:pt idx="13">
                  <c:v>64.4345</c:v>
                </c:pt>
                <c:pt idx="14">
                  <c:v>64.400300000000001</c:v>
                </c:pt>
                <c:pt idx="15">
                  <c:v>64.366</c:v>
                </c:pt>
                <c:pt idx="16">
                  <c:v>64.331699999999998</c:v>
                </c:pt>
                <c:pt idx="17">
                  <c:v>64.297499999999999</c:v>
                </c:pt>
                <c:pt idx="18">
                  <c:v>64.263199999999998</c:v>
                </c:pt>
                <c:pt idx="19">
                  <c:v>64.228999999999999</c:v>
                </c:pt>
                <c:pt idx="20">
                  <c:v>64.194699999999997</c:v>
                </c:pt>
                <c:pt idx="21">
                  <c:v>64.160399999999996</c:v>
                </c:pt>
                <c:pt idx="22">
                  <c:v>64.126199999999997</c:v>
                </c:pt>
                <c:pt idx="23">
                  <c:v>64.091899999999995</c:v>
                </c:pt>
                <c:pt idx="24">
                  <c:v>64.057599999999994</c:v>
                </c:pt>
                <c:pt idx="25">
                  <c:v>64.023399999999995</c:v>
                </c:pt>
                <c:pt idx="26">
                  <c:v>63.989100000000001</c:v>
                </c:pt>
                <c:pt idx="27">
                  <c:v>63.954900000000002</c:v>
                </c:pt>
                <c:pt idx="28">
                  <c:v>63.9206</c:v>
                </c:pt>
                <c:pt idx="29">
                  <c:v>63.886299999999999</c:v>
                </c:pt>
                <c:pt idx="30">
                  <c:v>63.8521</c:v>
                </c:pt>
                <c:pt idx="31">
                  <c:v>63.817799999999998</c:v>
                </c:pt>
                <c:pt idx="32">
                  <c:v>63.7836</c:v>
                </c:pt>
                <c:pt idx="33">
                  <c:v>63.749299999999998</c:v>
                </c:pt>
                <c:pt idx="34">
                  <c:v>63.715000000000003</c:v>
                </c:pt>
                <c:pt idx="35">
                  <c:v>63.680799999999998</c:v>
                </c:pt>
                <c:pt idx="36">
                  <c:v>63.646500000000003</c:v>
                </c:pt>
                <c:pt idx="37">
                  <c:v>63.612200000000001</c:v>
                </c:pt>
                <c:pt idx="38">
                  <c:v>63.578000000000003</c:v>
                </c:pt>
                <c:pt idx="39">
                  <c:v>63.543700000000001</c:v>
                </c:pt>
                <c:pt idx="40">
                  <c:v>63.509500000000003</c:v>
                </c:pt>
                <c:pt idx="41">
                  <c:v>63.475200000000001</c:v>
                </c:pt>
                <c:pt idx="42">
                  <c:v>63.440899999999999</c:v>
                </c:pt>
                <c:pt idx="43">
                  <c:v>63.406700000000001</c:v>
                </c:pt>
                <c:pt idx="44">
                  <c:v>63.372399999999999</c:v>
                </c:pt>
                <c:pt idx="45">
                  <c:v>63.338200000000001</c:v>
                </c:pt>
                <c:pt idx="46">
                  <c:v>63.303899999999999</c:v>
                </c:pt>
                <c:pt idx="47">
                  <c:v>63.269599999999997</c:v>
                </c:pt>
                <c:pt idx="48">
                  <c:v>63.235399999999998</c:v>
                </c:pt>
                <c:pt idx="49">
                  <c:v>63.201099999999997</c:v>
                </c:pt>
                <c:pt idx="50">
                  <c:v>63.166899999999998</c:v>
                </c:pt>
                <c:pt idx="51">
                  <c:v>63.132599999999996</c:v>
                </c:pt>
                <c:pt idx="52">
                  <c:v>63.098300000000002</c:v>
                </c:pt>
                <c:pt idx="53">
                  <c:v>63.064100000000003</c:v>
                </c:pt>
                <c:pt idx="54">
                  <c:v>63.029800000000002</c:v>
                </c:pt>
                <c:pt idx="55">
                  <c:v>62.9955</c:v>
                </c:pt>
                <c:pt idx="56">
                  <c:v>62.961300000000001</c:v>
                </c:pt>
                <c:pt idx="57">
                  <c:v>62.927</c:v>
                </c:pt>
                <c:pt idx="58">
                  <c:v>62.892800000000001</c:v>
                </c:pt>
                <c:pt idx="59">
                  <c:v>62.858499999999999</c:v>
                </c:pt>
                <c:pt idx="60">
                  <c:v>62.824199999999998</c:v>
                </c:pt>
                <c:pt idx="61">
                  <c:v>62.79</c:v>
                </c:pt>
                <c:pt idx="62">
                  <c:v>62.755699999999997</c:v>
                </c:pt>
                <c:pt idx="63">
                  <c:v>62.721499999999999</c:v>
                </c:pt>
                <c:pt idx="64">
                  <c:v>62.687199999999997</c:v>
                </c:pt>
                <c:pt idx="65">
                  <c:v>62.652900000000002</c:v>
                </c:pt>
                <c:pt idx="66">
                  <c:v>62.618699999999997</c:v>
                </c:pt>
                <c:pt idx="67">
                  <c:v>62.584400000000002</c:v>
                </c:pt>
                <c:pt idx="68">
                  <c:v>62.5501</c:v>
                </c:pt>
                <c:pt idx="69">
                  <c:v>62.515900000000002</c:v>
                </c:pt>
                <c:pt idx="70">
                  <c:v>62.4816</c:v>
                </c:pt>
                <c:pt idx="71">
                  <c:v>62.447400000000002</c:v>
                </c:pt>
                <c:pt idx="72">
                  <c:v>62.4131</c:v>
                </c:pt>
                <c:pt idx="73">
                  <c:v>62.378799999999998</c:v>
                </c:pt>
                <c:pt idx="74">
                  <c:v>62.3446</c:v>
                </c:pt>
                <c:pt idx="75">
                  <c:v>62.310299999999998</c:v>
                </c:pt>
                <c:pt idx="76">
                  <c:v>62.2761</c:v>
                </c:pt>
                <c:pt idx="77">
                  <c:v>62.241799999999998</c:v>
                </c:pt>
                <c:pt idx="78">
                  <c:v>62.207500000000003</c:v>
                </c:pt>
                <c:pt idx="79">
                  <c:v>62.173299999999998</c:v>
                </c:pt>
                <c:pt idx="80">
                  <c:v>62.139000000000003</c:v>
                </c:pt>
                <c:pt idx="81">
                  <c:v>62.104700000000001</c:v>
                </c:pt>
                <c:pt idx="82">
                  <c:v>62.070500000000003</c:v>
                </c:pt>
                <c:pt idx="83">
                  <c:v>62.036200000000001</c:v>
                </c:pt>
                <c:pt idx="84">
                  <c:v>62.002000000000002</c:v>
                </c:pt>
                <c:pt idx="85">
                  <c:v>61.967700000000001</c:v>
                </c:pt>
                <c:pt idx="86">
                  <c:v>61.933399999999999</c:v>
                </c:pt>
                <c:pt idx="87">
                  <c:v>61.8992</c:v>
                </c:pt>
                <c:pt idx="88">
                  <c:v>61.864899999999999</c:v>
                </c:pt>
                <c:pt idx="89">
                  <c:v>61.8307</c:v>
                </c:pt>
                <c:pt idx="90">
                  <c:v>61.796399999999998</c:v>
                </c:pt>
                <c:pt idx="91">
                  <c:v>61.762099999999997</c:v>
                </c:pt>
                <c:pt idx="92">
                  <c:v>61.727899999999998</c:v>
                </c:pt>
                <c:pt idx="93">
                  <c:v>61.693600000000004</c:v>
                </c:pt>
                <c:pt idx="94">
                  <c:v>61.659300000000002</c:v>
                </c:pt>
                <c:pt idx="95">
                  <c:v>61.625100000000003</c:v>
                </c:pt>
                <c:pt idx="96">
                  <c:v>61.590800000000002</c:v>
                </c:pt>
                <c:pt idx="97">
                  <c:v>61.556600000000003</c:v>
                </c:pt>
                <c:pt idx="98">
                  <c:v>61.522300000000001</c:v>
                </c:pt>
                <c:pt idx="99">
                  <c:v>61.488</c:v>
                </c:pt>
                <c:pt idx="100">
                  <c:v>61.453800000000001</c:v>
                </c:pt>
                <c:pt idx="101">
                  <c:v>61.419499999999999</c:v>
                </c:pt>
                <c:pt idx="102">
                  <c:v>61.385300000000001</c:v>
                </c:pt>
                <c:pt idx="103">
                  <c:v>61.350999999999999</c:v>
                </c:pt>
                <c:pt idx="104">
                  <c:v>61.316699999999997</c:v>
                </c:pt>
                <c:pt idx="105">
                  <c:v>61.282499999999999</c:v>
                </c:pt>
                <c:pt idx="106">
                  <c:v>61.248199999999997</c:v>
                </c:pt>
                <c:pt idx="107">
                  <c:v>61.213900000000002</c:v>
                </c:pt>
                <c:pt idx="108">
                  <c:v>61.179699999999997</c:v>
                </c:pt>
                <c:pt idx="109">
                  <c:v>61.145400000000002</c:v>
                </c:pt>
                <c:pt idx="110">
                  <c:v>61.111199999999997</c:v>
                </c:pt>
                <c:pt idx="111">
                  <c:v>61.076900000000002</c:v>
                </c:pt>
                <c:pt idx="112">
                  <c:v>61.0426</c:v>
                </c:pt>
                <c:pt idx="113">
                  <c:v>61.008400000000002</c:v>
                </c:pt>
                <c:pt idx="114">
                  <c:v>60.9741</c:v>
                </c:pt>
                <c:pt idx="115">
                  <c:v>60.939900000000002</c:v>
                </c:pt>
                <c:pt idx="116">
                  <c:v>60.9056</c:v>
                </c:pt>
                <c:pt idx="117">
                  <c:v>60.871299999999998</c:v>
                </c:pt>
                <c:pt idx="118">
                  <c:v>60.8371</c:v>
                </c:pt>
                <c:pt idx="119">
                  <c:v>60.802799999999998</c:v>
                </c:pt>
                <c:pt idx="120">
                  <c:v>60.768500000000003</c:v>
                </c:pt>
                <c:pt idx="121">
                  <c:v>60.734299999999998</c:v>
                </c:pt>
                <c:pt idx="122">
                  <c:v>60.7</c:v>
                </c:pt>
                <c:pt idx="123">
                  <c:v>60.665799999999997</c:v>
                </c:pt>
                <c:pt idx="124">
                  <c:v>60.631500000000003</c:v>
                </c:pt>
                <c:pt idx="125">
                  <c:v>60.597200000000001</c:v>
                </c:pt>
                <c:pt idx="126">
                  <c:v>60.563000000000002</c:v>
                </c:pt>
                <c:pt idx="127">
                  <c:v>60.528700000000001</c:v>
                </c:pt>
                <c:pt idx="128">
                  <c:v>60.494500000000002</c:v>
                </c:pt>
                <c:pt idx="129">
                  <c:v>60.4602</c:v>
                </c:pt>
                <c:pt idx="130">
                  <c:v>60.425899999999999</c:v>
                </c:pt>
                <c:pt idx="131">
                  <c:v>60.3917</c:v>
                </c:pt>
                <c:pt idx="132">
                  <c:v>60.357399999999998</c:v>
                </c:pt>
                <c:pt idx="133">
                  <c:v>60.323099999999997</c:v>
                </c:pt>
                <c:pt idx="134">
                  <c:v>60.288899999999998</c:v>
                </c:pt>
                <c:pt idx="135">
                  <c:v>60.254600000000003</c:v>
                </c:pt>
                <c:pt idx="136">
                  <c:v>60.220399999999998</c:v>
                </c:pt>
                <c:pt idx="137">
                  <c:v>60.186100000000003</c:v>
                </c:pt>
                <c:pt idx="138">
                  <c:v>60.151800000000001</c:v>
                </c:pt>
                <c:pt idx="139">
                  <c:v>60.117600000000003</c:v>
                </c:pt>
                <c:pt idx="140">
                  <c:v>60.083300000000001</c:v>
                </c:pt>
                <c:pt idx="141">
                  <c:v>60.049100000000003</c:v>
                </c:pt>
                <c:pt idx="142">
                  <c:v>60.014800000000001</c:v>
                </c:pt>
                <c:pt idx="143">
                  <c:v>59.980499999999999</c:v>
                </c:pt>
                <c:pt idx="144">
                  <c:v>59.946300000000001</c:v>
                </c:pt>
                <c:pt idx="145">
                  <c:v>59.911999999999999</c:v>
                </c:pt>
                <c:pt idx="146">
                  <c:v>59.877699999999997</c:v>
                </c:pt>
                <c:pt idx="147">
                  <c:v>59.843499999999999</c:v>
                </c:pt>
                <c:pt idx="148">
                  <c:v>59.809199999999997</c:v>
                </c:pt>
                <c:pt idx="149">
                  <c:v>59.774999999999999</c:v>
                </c:pt>
                <c:pt idx="150">
                  <c:v>59.740699999999997</c:v>
                </c:pt>
                <c:pt idx="151">
                  <c:v>59.706400000000002</c:v>
                </c:pt>
                <c:pt idx="152">
                  <c:v>59.672199999999997</c:v>
                </c:pt>
                <c:pt idx="153">
                  <c:v>59.637900000000002</c:v>
                </c:pt>
                <c:pt idx="154">
                  <c:v>59.603700000000003</c:v>
                </c:pt>
                <c:pt idx="155">
                  <c:v>59.569400000000002</c:v>
                </c:pt>
                <c:pt idx="156">
                  <c:v>59.5351</c:v>
                </c:pt>
                <c:pt idx="157">
                  <c:v>59.500900000000001</c:v>
                </c:pt>
                <c:pt idx="158">
                  <c:v>59.4666</c:v>
                </c:pt>
                <c:pt idx="159">
                  <c:v>59.432299999999998</c:v>
                </c:pt>
                <c:pt idx="160">
                  <c:v>59.398099999999999</c:v>
                </c:pt>
                <c:pt idx="161">
                  <c:v>59.363799999999998</c:v>
                </c:pt>
                <c:pt idx="162">
                  <c:v>59.329599999999999</c:v>
                </c:pt>
                <c:pt idx="163">
                  <c:v>59.295299999999997</c:v>
                </c:pt>
                <c:pt idx="164">
                  <c:v>59.261000000000003</c:v>
                </c:pt>
                <c:pt idx="165">
                  <c:v>59.226799999999997</c:v>
                </c:pt>
                <c:pt idx="166">
                  <c:v>59.192500000000003</c:v>
                </c:pt>
                <c:pt idx="167">
                  <c:v>59.158299999999997</c:v>
                </c:pt>
                <c:pt idx="168">
                  <c:v>59.124000000000002</c:v>
                </c:pt>
                <c:pt idx="169">
                  <c:v>59.089700000000001</c:v>
                </c:pt>
                <c:pt idx="170">
                  <c:v>59.055500000000002</c:v>
                </c:pt>
                <c:pt idx="171">
                  <c:v>59.0212</c:v>
                </c:pt>
                <c:pt idx="172">
                  <c:v>58.986899999999999</c:v>
                </c:pt>
                <c:pt idx="173">
                  <c:v>58.9527</c:v>
                </c:pt>
                <c:pt idx="174">
                  <c:v>58.918399999999998</c:v>
                </c:pt>
                <c:pt idx="175">
                  <c:v>58.8842</c:v>
                </c:pt>
                <c:pt idx="176">
                  <c:v>58.849899999999998</c:v>
                </c:pt>
                <c:pt idx="177">
                  <c:v>58.815600000000003</c:v>
                </c:pt>
                <c:pt idx="178">
                  <c:v>58.781399999999998</c:v>
                </c:pt>
                <c:pt idx="179">
                  <c:v>58.747100000000003</c:v>
                </c:pt>
                <c:pt idx="180">
                  <c:v>58.712899999999998</c:v>
                </c:pt>
                <c:pt idx="181">
                  <c:v>58.678600000000003</c:v>
                </c:pt>
                <c:pt idx="182">
                  <c:v>58.644300000000001</c:v>
                </c:pt>
                <c:pt idx="183">
                  <c:v>58.610100000000003</c:v>
                </c:pt>
                <c:pt idx="184">
                  <c:v>58.575800000000001</c:v>
                </c:pt>
                <c:pt idx="185">
                  <c:v>58.541499999999999</c:v>
                </c:pt>
                <c:pt idx="186">
                  <c:v>58.507300000000001</c:v>
                </c:pt>
                <c:pt idx="187">
                  <c:v>58.472999999999999</c:v>
                </c:pt>
                <c:pt idx="188">
                  <c:v>58.438800000000001</c:v>
                </c:pt>
                <c:pt idx="189">
                  <c:v>58.404499999999999</c:v>
                </c:pt>
                <c:pt idx="190">
                  <c:v>58.370199999999997</c:v>
                </c:pt>
                <c:pt idx="191">
                  <c:v>58.335999999999999</c:v>
                </c:pt>
                <c:pt idx="192">
                  <c:v>58.301699999999997</c:v>
                </c:pt>
                <c:pt idx="193">
                  <c:v>58.267499999999998</c:v>
                </c:pt>
                <c:pt idx="194">
                  <c:v>58.233199999999997</c:v>
                </c:pt>
                <c:pt idx="195">
                  <c:v>58.198900000000002</c:v>
                </c:pt>
                <c:pt idx="196">
                  <c:v>58.164700000000003</c:v>
                </c:pt>
                <c:pt idx="197">
                  <c:v>58.130400000000002</c:v>
                </c:pt>
                <c:pt idx="198">
                  <c:v>58.0961</c:v>
                </c:pt>
                <c:pt idx="199">
                  <c:v>58.061900000000001</c:v>
                </c:pt>
                <c:pt idx="200">
                  <c:v>58.0276</c:v>
                </c:pt>
                <c:pt idx="201">
                  <c:v>57.993400000000001</c:v>
                </c:pt>
                <c:pt idx="202">
                  <c:v>57.959099999999999</c:v>
                </c:pt>
                <c:pt idx="203">
                  <c:v>57.924799999999998</c:v>
                </c:pt>
                <c:pt idx="204">
                  <c:v>57.890599999999999</c:v>
                </c:pt>
                <c:pt idx="205">
                  <c:v>57.856299999999997</c:v>
                </c:pt>
                <c:pt idx="206">
                  <c:v>57.822099999999999</c:v>
                </c:pt>
                <c:pt idx="207">
                  <c:v>57.787799999999997</c:v>
                </c:pt>
                <c:pt idx="208">
                  <c:v>57.753500000000003</c:v>
                </c:pt>
                <c:pt idx="209">
                  <c:v>57.719299999999997</c:v>
                </c:pt>
                <c:pt idx="210">
                  <c:v>57.685000000000002</c:v>
                </c:pt>
                <c:pt idx="211">
                  <c:v>57.650700000000001</c:v>
                </c:pt>
                <c:pt idx="212">
                  <c:v>57.616500000000002</c:v>
                </c:pt>
                <c:pt idx="213">
                  <c:v>57.5822</c:v>
                </c:pt>
                <c:pt idx="214">
                  <c:v>57.548000000000002</c:v>
                </c:pt>
                <c:pt idx="215">
                  <c:v>57.5137</c:v>
                </c:pt>
                <c:pt idx="216">
                  <c:v>57.479399999999998</c:v>
                </c:pt>
                <c:pt idx="217">
                  <c:v>57.4452</c:v>
                </c:pt>
                <c:pt idx="218">
                  <c:v>57.410899999999998</c:v>
                </c:pt>
                <c:pt idx="219">
                  <c:v>57.3767</c:v>
                </c:pt>
                <c:pt idx="220">
                  <c:v>57.342399999999998</c:v>
                </c:pt>
                <c:pt idx="221">
                  <c:v>57.308100000000003</c:v>
                </c:pt>
                <c:pt idx="222">
                  <c:v>57.273899999999998</c:v>
                </c:pt>
                <c:pt idx="223">
                  <c:v>57.239600000000003</c:v>
                </c:pt>
                <c:pt idx="224">
                  <c:v>57.205300000000001</c:v>
                </c:pt>
                <c:pt idx="225">
                  <c:v>57.171100000000003</c:v>
                </c:pt>
                <c:pt idx="226">
                  <c:v>57.136800000000001</c:v>
                </c:pt>
                <c:pt idx="227">
                  <c:v>57.102600000000002</c:v>
                </c:pt>
                <c:pt idx="228">
                  <c:v>57.068300000000001</c:v>
                </c:pt>
                <c:pt idx="229">
                  <c:v>57.033999999999999</c:v>
                </c:pt>
                <c:pt idx="230">
                  <c:v>56.9998</c:v>
                </c:pt>
                <c:pt idx="231">
                  <c:v>56.965499999999999</c:v>
                </c:pt>
                <c:pt idx="232">
                  <c:v>56.9313</c:v>
                </c:pt>
                <c:pt idx="233">
                  <c:v>56.896999999999998</c:v>
                </c:pt>
                <c:pt idx="234">
                  <c:v>56.862699999999997</c:v>
                </c:pt>
                <c:pt idx="235">
                  <c:v>56.828499999999998</c:v>
                </c:pt>
                <c:pt idx="236">
                  <c:v>56.794199999999996</c:v>
                </c:pt>
                <c:pt idx="237">
                  <c:v>56.759900000000002</c:v>
                </c:pt>
                <c:pt idx="238">
                  <c:v>56.725700000000003</c:v>
                </c:pt>
                <c:pt idx="239">
                  <c:v>56.691400000000002</c:v>
                </c:pt>
                <c:pt idx="240">
                  <c:v>56.657200000000003</c:v>
                </c:pt>
                <c:pt idx="241">
                  <c:v>56.622900000000001</c:v>
                </c:pt>
                <c:pt idx="242">
                  <c:v>56.5886</c:v>
                </c:pt>
                <c:pt idx="243">
                  <c:v>56.554400000000001</c:v>
                </c:pt>
                <c:pt idx="244">
                  <c:v>56.520099999999999</c:v>
                </c:pt>
                <c:pt idx="245">
                  <c:v>56.485900000000001</c:v>
                </c:pt>
                <c:pt idx="246">
                  <c:v>56.451599999999999</c:v>
                </c:pt>
                <c:pt idx="247">
                  <c:v>56.417299999999997</c:v>
                </c:pt>
                <c:pt idx="248">
                  <c:v>56.383099999999999</c:v>
                </c:pt>
                <c:pt idx="249">
                  <c:v>56.348799999999997</c:v>
                </c:pt>
                <c:pt idx="250">
                  <c:v>56.314500000000002</c:v>
                </c:pt>
                <c:pt idx="251">
                  <c:v>56.280299999999997</c:v>
                </c:pt>
                <c:pt idx="252">
                  <c:v>56.246000000000002</c:v>
                </c:pt>
                <c:pt idx="253">
                  <c:v>56.211799999999997</c:v>
                </c:pt>
                <c:pt idx="254">
                  <c:v>56.177500000000002</c:v>
                </c:pt>
                <c:pt idx="255">
                  <c:v>56.1432</c:v>
                </c:pt>
                <c:pt idx="256">
                  <c:v>56.109000000000002</c:v>
                </c:pt>
                <c:pt idx="257">
                  <c:v>56.0747</c:v>
                </c:pt>
                <c:pt idx="258">
                  <c:v>56.040500000000002</c:v>
                </c:pt>
                <c:pt idx="259">
                  <c:v>56.0062</c:v>
                </c:pt>
                <c:pt idx="260">
                  <c:v>55.971899999999998</c:v>
                </c:pt>
                <c:pt idx="261">
                  <c:v>55.9377</c:v>
                </c:pt>
                <c:pt idx="262">
                  <c:v>55.903399999999998</c:v>
                </c:pt>
                <c:pt idx="263">
                  <c:v>55.869100000000003</c:v>
                </c:pt>
                <c:pt idx="264">
                  <c:v>55.834899999999998</c:v>
                </c:pt>
                <c:pt idx="265">
                  <c:v>55.800600000000003</c:v>
                </c:pt>
                <c:pt idx="266">
                  <c:v>55.766399999999997</c:v>
                </c:pt>
                <c:pt idx="267">
                  <c:v>55.732100000000003</c:v>
                </c:pt>
                <c:pt idx="268">
                  <c:v>55.697800000000001</c:v>
                </c:pt>
                <c:pt idx="269">
                  <c:v>55.663600000000002</c:v>
                </c:pt>
                <c:pt idx="270">
                  <c:v>55.629300000000001</c:v>
                </c:pt>
                <c:pt idx="271">
                  <c:v>55.595100000000002</c:v>
                </c:pt>
                <c:pt idx="272">
                  <c:v>55.5608</c:v>
                </c:pt>
                <c:pt idx="273">
                  <c:v>55.526499999999999</c:v>
                </c:pt>
                <c:pt idx="274">
                  <c:v>55.4923</c:v>
                </c:pt>
                <c:pt idx="275">
                  <c:v>55.457999999999998</c:v>
                </c:pt>
                <c:pt idx="276">
                  <c:v>55.423699999999997</c:v>
                </c:pt>
                <c:pt idx="277">
                  <c:v>55.389499999999998</c:v>
                </c:pt>
                <c:pt idx="278">
                  <c:v>55.355200000000004</c:v>
                </c:pt>
                <c:pt idx="279">
                  <c:v>55.320999999999998</c:v>
                </c:pt>
                <c:pt idx="280">
                  <c:v>55.286700000000003</c:v>
                </c:pt>
                <c:pt idx="281">
                  <c:v>55.252400000000002</c:v>
                </c:pt>
                <c:pt idx="282">
                  <c:v>55.218200000000003</c:v>
                </c:pt>
                <c:pt idx="283">
                  <c:v>55.183900000000001</c:v>
                </c:pt>
                <c:pt idx="284">
                  <c:v>55.149700000000003</c:v>
                </c:pt>
                <c:pt idx="285">
                  <c:v>55.115400000000001</c:v>
                </c:pt>
                <c:pt idx="286">
                  <c:v>55.081099999999999</c:v>
                </c:pt>
                <c:pt idx="287">
                  <c:v>55.046900000000001</c:v>
                </c:pt>
                <c:pt idx="288">
                  <c:v>55.012599999999999</c:v>
                </c:pt>
                <c:pt idx="289">
                  <c:v>54.978299999999997</c:v>
                </c:pt>
                <c:pt idx="290">
                  <c:v>54.944099999999999</c:v>
                </c:pt>
                <c:pt idx="291">
                  <c:v>54.909799999999997</c:v>
                </c:pt>
                <c:pt idx="292">
                  <c:v>54.875599999999999</c:v>
                </c:pt>
                <c:pt idx="293">
                  <c:v>54.841299999999997</c:v>
                </c:pt>
                <c:pt idx="294">
                  <c:v>54.807000000000002</c:v>
                </c:pt>
                <c:pt idx="295">
                  <c:v>54.772799999999997</c:v>
                </c:pt>
                <c:pt idx="296">
                  <c:v>54.738500000000002</c:v>
                </c:pt>
                <c:pt idx="297">
                  <c:v>54.704300000000003</c:v>
                </c:pt>
                <c:pt idx="298">
                  <c:v>54.67</c:v>
                </c:pt>
                <c:pt idx="299">
                  <c:v>54.6357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C3E-1A4D-9909-2562B8D24E29}"/>
            </c:ext>
          </c:extLst>
        </c:ser>
        <c:ser>
          <c:idx val="1"/>
          <c:order val="1"/>
          <c:tx>
            <c:strRef>
              <c:f>Simulation!$D$1</c:f>
              <c:strCache>
                <c:ptCount val="1"/>
                <c:pt idx="0">
                  <c:v>P50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Simulation!$D$2:$D$301</c:f>
              <c:numCache>
                <c:formatCode>General</c:formatCode>
                <c:ptCount val="300"/>
                <c:pt idx="0">
                  <c:v>68.294700000000006</c:v>
                </c:pt>
                <c:pt idx="1">
                  <c:v>67.801400000000001</c:v>
                </c:pt>
                <c:pt idx="2">
                  <c:v>67.715999999999994</c:v>
                </c:pt>
                <c:pt idx="3">
                  <c:v>67.0428</c:v>
                </c:pt>
                <c:pt idx="4">
                  <c:v>66.609099999999998</c:v>
                </c:pt>
                <c:pt idx="5">
                  <c:v>66.600399999999993</c:v>
                </c:pt>
                <c:pt idx="6">
                  <c:v>66.359899999999996</c:v>
                </c:pt>
                <c:pt idx="7">
                  <c:v>66.120599999999996</c:v>
                </c:pt>
                <c:pt idx="8">
                  <c:v>65.930499999999995</c:v>
                </c:pt>
                <c:pt idx="9">
                  <c:v>65.783900000000003</c:v>
                </c:pt>
                <c:pt idx="10">
                  <c:v>65.383499999999998</c:v>
                </c:pt>
                <c:pt idx="11">
                  <c:v>65.496399999999994</c:v>
                </c:pt>
                <c:pt idx="12">
                  <c:v>65.425899999999999</c:v>
                </c:pt>
                <c:pt idx="13">
                  <c:v>65.316800000000001</c:v>
                </c:pt>
                <c:pt idx="14">
                  <c:v>65.312399999999997</c:v>
                </c:pt>
                <c:pt idx="15">
                  <c:v>65.4709</c:v>
                </c:pt>
                <c:pt idx="16">
                  <c:v>65.074100000000001</c:v>
                </c:pt>
                <c:pt idx="17">
                  <c:v>65.384500000000003</c:v>
                </c:pt>
                <c:pt idx="18">
                  <c:v>65.383700000000005</c:v>
                </c:pt>
                <c:pt idx="19">
                  <c:v>64.921000000000006</c:v>
                </c:pt>
                <c:pt idx="20">
                  <c:v>64.671899999999994</c:v>
                </c:pt>
                <c:pt idx="21">
                  <c:v>64.665899999999993</c:v>
                </c:pt>
                <c:pt idx="22">
                  <c:v>64.580600000000004</c:v>
                </c:pt>
                <c:pt idx="23">
                  <c:v>64.753</c:v>
                </c:pt>
                <c:pt idx="24">
                  <c:v>64.5184</c:v>
                </c:pt>
                <c:pt idx="25">
                  <c:v>63.940199999999997</c:v>
                </c:pt>
                <c:pt idx="26">
                  <c:v>64.051199999999994</c:v>
                </c:pt>
                <c:pt idx="27">
                  <c:v>63.356000000000002</c:v>
                </c:pt>
                <c:pt idx="28">
                  <c:v>63.492600000000003</c:v>
                </c:pt>
                <c:pt idx="29">
                  <c:v>63.8812</c:v>
                </c:pt>
                <c:pt idx="30">
                  <c:v>63.822800000000001</c:v>
                </c:pt>
                <c:pt idx="31">
                  <c:v>63.611600000000003</c:v>
                </c:pt>
                <c:pt idx="32">
                  <c:v>63.688200000000002</c:v>
                </c:pt>
                <c:pt idx="33">
                  <c:v>63.705100000000002</c:v>
                </c:pt>
                <c:pt idx="34">
                  <c:v>63.259900000000002</c:v>
                </c:pt>
                <c:pt idx="35">
                  <c:v>63.463799999999999</c:v>
                </c:pt>
                <c:pt idx="36">
                  <c:v>63.579099999999997</c:v>
                </c:pt>
                <c:pt idx="37">
                  <c:v>63.822000000000003</c:v>
                </c:pt>
                <c:pt idx="38">
                  <c:v>63.89</c:v>
                </c:pt>
                <c:pt idx="39">
                  <c:v>64.002600000000001</c:v>
                </c:pt>
                <c:pt idx="40">
                  <c:v>63.587200000000003</c:v>
                </c:pt>
                <c:pt idx="41">
                  <c:v>63.627299999999998</c:v>
                </c:pt>
                <c:pt idx="42">
                  <c:v>63.357300000000002</c:v>
                </c:pt>
                <c:pt idx="43">
                  <c:v>62.892000000000003</c:v>
                </c:pt>
                <c:pt idx="44">
                  <c:v>63.613100000000003</c:v>
                </c:pt>
                <c:pt idx="45">
                  <c:v>63.198</c:v>
                </c:pt>
                <c:pt idx="46">
                  <c:v>63.062399999999997</c:v>
                </c:pt>
                <c:pt idx="47">
                  <c:v>62.844999999999999</c:v>
                </c:pt>
                <c:pt idx="48">
                  <c:v>62.6145</c:v>
                </c:pt>
                <c:pt idx="49">
                  <c:v>63.1053</c:v>
                </c:pt>
                <c:pt idx="50">
                  <c:v>62.860199999999999</c:v>
                </c:pt>
                <c:pt idx="51">
                  <c:v>62.910299999999999</c:v>
                </c:pt>
                <c:pt idx="52">
                  <c:v>62.301600000000001</c:v>
                </c:pt>
                <c:pt idx="53">
                  <c:v>62.481200000000001</c:v>
                </c:pt>
                <c:pt idx="54">
                  <c:v>62.362000000000002</c:v>
                </c:pt>
                <c:pt idx="55">
                  <c:v>62.566400000000002</c:v>
                </c:pt>
                <c:pt idx="56">
                  <c:v>62.761299999999999</c:v>
                </c:pt>
                <c:pt idx="57">
                  <c:v>63.337400000000002</c:v>
                </c:pt>
                <c:pt idx="58">
                  <c:v>62.783299999999997</c:v>
                </c:pt>
                <c:pt idx="59">
                  <c:v>62.422600000000003</c:v>
                </c:pt>
                <c:pt idx="60">
                  <c:v>62.588099999999997</c:v>
                </c:pt>
                <c:pt idx="61">
                  <c:v>62.356499999999997</c:v>
                </c:pt>
                <c:pt idx="62">
                  <c:v>62.613300000000002</c:v>
                </c:pt>
                <c:pt idx="63">
                  <c:v>62.583500000000001</c:v>
                </c:pt>
                <c:pt idx="64">
                  <c:v>63.014600000000002</c:v>
                </c:pt>
                <c:pt idx="65">
                  <c:v>62.804200000000002</c:v>
                </c:pt>
                <c:pt idx="66">
                  <c:v>62.8996</c:v>
                </c:pt>
                <c:pt idx="67">
                  <c:v>62.928100000000001</c:v>
                </c:pt>
                <c:pt idx="68">
                  <c:v>62.620800000000003</c:v>
                </c:pt>
                <c:pt idx="69">
                  <c:v>62.820099999999996</c:v>
                </c:pt>
                <c:pt idx="70">
                  <c:v>63.287399999999998</c:v>
                </c:pt>
                <c:pt idx="71">
                  <c:v>63.168700000000001</c:v>
                </c:pt>
                <c:pt idx="72">
                  <c:v>62.891599999999997</c:v>
                </c:pt>
                <c:pt idx="73">
                  <c:v>62.721299999999999</c:v>
                </c:pt>
                <c:pt idx="74">
                  <c:v>62.930500000000002</c:v>
                </c:pt>
                <c:pt idx="75">
                  <c:v>62.6355</c:v>
                </c:pt>
                <c:pt idx="76">
                  <c:v>62.648899999999998</c:v>
                </c:pt>
                <c:pt idx="77">
                  <c:v>62.814100000000003</c:v>
                </c:pt>
                <c:pt idx="78">
                  <c:v>63.0745</c:v>
                </c:pt>
                <c:pt idx="79">
                  <c:v>62.987400000000001</c:v>
                </c:pt>
                <c:pt idx="80">
                  <c:v>62.477699999999999</c:v>
                </c:pt>
                <c:pt idx="81">
                  <c:v>62.520099999999999</c:v>
                </c:pt>
                <c:pt idx="82">
                  <c:v>62.274299999999997</c:v>
                </c:pt>
                <c:pt idx="83">
                  <c:v>62.398000000000003</c:v>
                </c:pt>
                <c:pt idx="84">
                  <c:v>62.176699999999997</c:v>
                </c:pt>
                <c:pt idx="85">
                  <c:v>62.078299999999999</c:v>
                </c:pt>
                <c:pt idx="86">
                  <c:v>61.882800000000003</c:v>
                </c:pt>
                <c:pt idx="87">
                  <c:v>61.758800000000001</c:v>
                </c:pt>
                <c:pt idx="88">
                  <c:v>62.489800000000002</c:v>
                </c:pt>
                <c:pt idx="89">
                  <c:v>62.011600000000001</c:v>
                </c:pt>
                <c:pt idx="90">
                  <c:v>61.820099999999996</c:v>
                </c:pt>
                <c:pt idx="91">
                  <c:v>61.529000000000003</c:v>
                </c:pt>
                <c:pt idx="92">
                  <c:v>61.644199999999998</c:v>
                </c:pt>
                <c:pt idx="93">
                  <c:v>61.483800000000002</c:v>
                </c:pt>
                <c:pt idx="94">
                  <c:v>61.343000000000004</c:v>
                </c:pt>
                <c:pt idx="95">
                  <c:v>60.9542</c:v>
                </c:pt>
                <c:pt idx="96">
                  <c:v>60.433999999999997</c:v>
                </c:pt>
                <c:pt idx="97">
                  <c:v>60.3001</c:v>
                </c:pt>
                <c:pt idx="98">
                  <c:v>60.472999999999999</c:v>
                </c:pt>
                <c:pt idx="99">
                  <c:v>60.869599999999998</c:v>
                </c:pt>
                <c:pt idx="100">
                  <c:v>60.967199999999998</c:v>
                </c:pt>
                <c:pt idx="101">
                  <c:v>60.7791</c:v>
                </c:pt>
                <c:pt idx="102">
                  <c:v>61.364400000000003</c:v>
                </c:pt>
                <c:pt idx="103">
                  <c:v>61.255400000000002</c:v>
                </c:pt>
                <c:pt idx="104">
                  <c:v>61.037399999999998</c:v>
                </c:pt>
                <c:pt idx="105">
                  <c:v>61.084000000000003</c:v>
                </c:pt>
                <c:pt idx="106">
                  <c:v>61.1586</c:v>
                </c:pt>
                <c:pt idx="107">
                  <c:v>61.577399999999997</c:v>
                </c:pt>
                <c:pt idx="108">
                  <c:v>61.240200000000002</c:v>
                </c:pt>
                <c:pt idx="109">
                  <c:v>61.502299999999998</c:v>
                </c:pt>
                <c:pt idx="110">
                  <c:v>60.835599999999999</c:v>
                </c:pt>
                <c:pt idx="111">
                  <c:v>61.0535</c:v>
                </c:pt>
                <c:pt idx="112">
                  <c:v>60.529499999999999</c:v>
                </c:pt>
                <c:pt idx="113">
                  <c:v>60.994</c:v>
                </c:pt>
                <c:pt idx="114">
                  <c:v>60.7776</c:v>
                </c:pt>
                <c:pt idx="115">
                  <c:v>60.989199999999997</c:v>
                </c:pt>
                <c:pt idx="116">
                  <c:v>60.859000000000002</c:v>
                </c:pt>
                <c:pt idx="117">
                  <c:v>60.968400000000003</c:v>
                </c:pt>
                <c:pt idx="118">
                  <c:v>60.726399999999998</c:v>
                </c:pt>
                <c:pt idx="119">
                  <c:v>60.670499999999997</c:v>
                </c:pt>
                <c:pt idx="120">
                  <c:v>61.146299999999997</c:v>
                </c:pt>
                <c:pt idx="121">
                  <c:v>61.206400000000002</c:v>
                </c:pt>
                <c:pt idx="122">
                  <c:v>61.753700000000002</c:v>
                </c:pt>
                <c:pt idx="123">
                  <c:v>61.686599999999999</c:v>
                </c:pt>
                <c:pt idx="124">
                  <c:v>60.947600000000001</c:v>
                </c:pt>
                <c:pt idx="125">
                  <c:v>60.886899999999997</c:v>
                </c:pt>
                <c:pt idx="126">
                  <c:v>60.445799999999998</c:v>
                </c:pt>
                <c:pt idx="127">
                  <c:v>60.150300000000001</c:v>
                </c:pt>
                <c:pt idx="128">
                  <c:v>60.156999999999996</c:v>
                </c:pt>
                <c:pt idx="129">
                  <c:v>60.278799999999997</c:v>
                </c:pt>
                <c:pt idx="130">
                  <c:v>59.587400000000002</c:v>
                </c:pt>
                <c:pt idx="131">
                  <c:v>59.313600000000001</c:v>
                </c:pt>
                <c:pt idx="132">
                  <c:v>59.377499999999998</c:v>
                </c:pt>
                <c:pt idx="133">
                  <c:v>59.407899999999998</c:v>
                </c:pt>
                <c:pt idx="134">
                  <c:v>59.741799999999998</c:v>
                </c:pt>
                <c:pt idx="135">
                  <c:v>59.462400000000002</c:v>
                </c:pt>
                <c:pt idx="136">
                  <c:v>59.789299999999997</c:v>
                </c:pt>
                <c:pt idx="137">
                  <c:v>59.872399999999999</c:v>
                </c:pt>
                <c:pt idx="138">
                  <c:v>59.916400000000003</c:v>
                </c:pt>
                <c:pt idx="139">
                  <c:v>60.414400000000001</c:v>
                </c:pt>
                <c:pt idx="140">
                  <c:v>60.186</c:v>
                </c:pt>
                <c:pt idx="141">
                  <c:v>60.031100000000002</c:v>
                </c:pt>
                <c:pt idx="142">
                  <c:v>60.125399999999999</c:v>
                </c:pt>
                <c:pt idx="143">
                  <c:v>59.919600000000003</c:v>
                </c:pt>
                <c:pt idx="144">
                  <c:v>59.594900000000003</c:v>
                </c:pt>
                <c:pt idx="145">
                  <c:v>59.667400000000001</c:v>
                </c:pt>
                <c:pt idx="146">
                  <c:v>59.491300000000003</c:v>
                </c:pt>
                <c:pt idx="147">
                  <c:v>59.798499999999997</c:v>
                </c:pt>
                <c:pt idx="148">
                  <c:v>60.2316</c:v>
                </c:pt>
                <c:pt idx="149">
                  <c:v>60.200200000000002</c:v>
                </c:pt>
                <c:pt idx="150">
                  <c:v>59.999000000000002</c:v>
                </c:pt>
                <c:pt idx="151">
                  <c:v>59.941400000000002</c:v>
                </c:pt>
                <c:pt idx="152">
                  <c:v>60.151600000000002</c:v>
                </c:pt>
                <c:pt idx="153">
                  <c:v>60.090600000000002</c:v>
                </c:pt>
                <c:pt idx="154">
                  <c:v>59.853000000000002</c:v>
                </c:pt>
                <c:pt idx="155">
                  <c:v>59.837600000000002</c:v>
                </c:pt>
                <c:pt idx="156">
                  <c:v>59.904000000000003</c:v>
                </c:pt>
                <c:pt idx="157">
                  <c:v>60.064399999999999</c:v>
                </c:pt>
                <c:pt idx="158">
                  <c:v>60.2468</c:v>
                </c:pt>
                <c:pt idx="159">
                  <c:v>59.739600000000003</c:v>
                </c:pt>
                <c:pt idx="160">
                  <c:v>59.525199999999998</c:v>
                </c:pt>
                <c:pt idx="161">
                  <c:v>59.8279</c:v>
                </c:pt>
                <c:pt idx="162">
                  <c:v>59.814599999999999</c:v>
                </c:pt>
                <c:pt idx="163">
                  <c:v>59.204599999999999</c:v>
                </c:pt>
                <c:pt idx="164">
                  <c:v>59.776600000000002</c:v>
                </c:pt>
                <c:pt idx="165">
                  <c:v>59.235399999999998</c:v>
                </c:pt>
                <c:pt idx="166">
                  <c:v>59.460599999999999</c:v>
                </c:pt>
                <c:pt idx="167">
                  <c:v>59.320799999999998</c:v>
                </c:pt>
                <c:pt idx="168">
                  <c:v>59.476599999999998</c:v>
                </c:pt>
                <c:pt idx="169">
                  <c:v>59.312100000000001</c:v>
                </c:pt>
                <c:pt idx="170">
                  <c:v>59.968200000000003</c:v>
                </c:pt>
                <c:pt idx="171">
                  <c:v>59.154899999999998</c:v>
                </c:pt>
                <c:pt idx="172">
                  <c:v>59.2273</c:v>
                </c:pt>
                <c:pt idx="173">
                  <c:v>58.9161</c:v>
                </c:pt>
                <c:pt idx="174">
                  <c:v>58.901699999999998</c:v>
                </c:pt>
                <c:pt idx="175">
                  <c:v>58.7956</c:v>
                </c:pt>
                <c:pt idx="176">
                  <c:v>58.636499999999998</c:v>
                </c:pt>
                <c:pt idx="177">
                  <c:v>58.411799999999999</c:v>
                </c:pt>
                <c:pt idx="178">
                  <c:v>59.124600000000001</c:v>
                </c:pt>
                <c:pt idx="179">
                  <c:v>58.524299999999997</c:v>
                </c:pt>
                <c:pt idx="180">
                  <c:v>58.806399999999996</c:v>
                </c:pt>
                <c:pt idx="181">
                  <c:v>58.637</c:v>
                </c:pt>
                <c:pt idx="182">
                  <c:v>58.421100000000003</c:v>
                </c:pt>
                <c:pt idx="183">
                  <c:v>58.748800000000003</c:v>
                </c:pt>
                <c:pt idx="184">
                  <c:v>58.416600000000003</c:v>
                </c:pt>
                <c:pt idx="185">
                  <c:v>58.813800000000001</c:v>
                </c:pt>
                <c:pt idx="186">
                  <c:v>59.0899</c:v>
                </c:pt>
                <c:pt idx="187">
                  <c:v>59.006</c:v>
                </c:pt>
                <c:pt idx="188">
                  <c:v>59.099899999999998</c:v>
                </c:pt>
                <c:pt idx="189">
                  <c:v>58.677100000000003</c:v>
                </c:pt>
                <c:pt idx="190">
                  <c:v>58.001899999999999</c:v>
                </c:pt>
                <c:pt idx="191">
                  <c:v>58.121000000000002</c:v>
                </c:pt>
                <c:pt idx="192">
                  <c:v>58.175899999999999</c:v>
                </c:pt>
                <c:pt idx="193">
                  <c:v>58.313699999999997</c:v>
                </c:pt>
                <c:pt idx="194">
                  <c:v>58.316499999999998</c:v>
                </c:pt>
                <c:pt idx="195">
                  <c:v>59.061999999999998</c:v>
                </c:pt>
                <c:pt idx="196">
                  <c:v>58.623699999999999</c:v>
                </c:pt>
                <c:pt idx="197">
                  <c:v>58.728400000000001</c:v>
                </c:pt>
                <c:pt idx="198">
                  <c:v>58.811399999999999</c:v>
                </c:pt>
                <c:pt idx="199">
                  <c:v>58.820300000000003</c:v>
                </c:pt>
                <c:pt idx="200">
                  <c:v>59.194299999999998</c:v>
                </c:pt>
                <c:pt idx="201">
                  <c:v>58.099200000000003</c:v>
                </c:pt>
                <c:pt idx="202">
                  <c:v>57.761600000000001</c:v>
                </c:pt>
                <c:pt idx="203">
                  <c:v>58.112400000000001</c:v>
                </c:pt>
                <c:pt idx="204">
                  <c:v>58.2211</c:v>
                </c:pt>
                <c:pt idx="205">
                  <c:v>57.723199999999999</c:v>
                </c:pt>
                <c:pt idx="206">
                  <c:v>57.688400000000001</c:v>
                </c:pt>
                <c:pt idx="207">
                  <c:v>57.740200000000002</c:v>
                </c:pt>
                <c:pt idx="208">
                  <c:v>57.661700000000003</c:v>
                </c:pt>
                <c:pt idx="209">
                  <c:v>57.849299999999999</c:v>
                </c:pt>
                <c:pt idx="210">
                  <c:v>57.866100000000003</c:v>
                </c:pt>
                <c:pt idx="211">
                  <c:v>57.361600000000003</c:v>
                </c:pt>
                <c:pt idx="212">
                  <c:v>57.889800000000001</c:v>
                </c:pt>
                <c:pt idx="213">
                  <c:v>57.627899999999997</c:v>
                </c:pt>
                <c:pt idx="214">
                  <c:v>57.475099999999998</c:v>
                </c:pt>
                <c:pt idx="215">
                  <c:v>57.366199999999999</c:v>
                </c:pt>
                <c:pt idx="216">
                  <c:v>57.380899999999997</c:v>
                </c:pt>
                <c:pt idx="217">
                  <c:v>57.518000000000001</c:v>
                </c:pt>
                <c:pt idx="218">
                  <c:v>57.335099999999997</c:v>
                </c:pt>
                <c:pt idx="219">
                  <c:v>57.778300000000002</c:v>
                </c:pt>
                <c:pt idx="220">
                  <c:v>57.755600000000001</c:v>
                </c:pt>
                <c:pt idx="221">
                  <c:v>57.5916</c:v>
                </c:pt>
                <c:pt idx="222">
                  <c:v>57.982799999999997</c:v>
                </c:pt>
                <c:pt idx="223">
                  <c:v>58.2971</c:v>
                </c:pt>
                <c:pt idx="224">
                  <c:v>58.331000000000003</c:v>
                </c:pt>
                <c:pt idx="225">
                  <c:v>58.040999999999997</c:v>
                </c:pt>
                <c:pt idx="226">
                  <c:v>57.454799999999999</c:v>
                </c:pt>
                <c:pt idx="227">
                  <c:v>57.5411</c:v>
                </c:pt>
                <c:pt idx="228">
                  <c:v>57.635800000000003</c:v>
                </c:pt>
                <c:pt idx="229">
                  <c:v>57.844799999999999</c:v>
                </c:pt>
                <c:pt idx="230">
                  <c:v>57.862699999999997</c:v>
                </c:pt>
                <c:pt idx="231">
                  <c:v>57.587800000000001</c:v>
                </c:pt>
                <c:pt idx="232">
                  <c:v>57.799300000000002</c:v>
                </c:pt>
                <c:pt idx="233">
                  <c:v>57.183799999999998</c:v>
                </c:pt>
                <c:pt idx="234">
                  <c:v>57.244700000000002</c:v>
                </c:pt>
                <c:pt idx="235">
                  <c:v>57.238900000000001</c:v>
                </c:pt>
                <c:pt idx="236">
                  <c:v>57.369300000000003</c:v>
                </c:pt>
                <c:pt idx="237">
                  <c:v>57.975200000000001</c:v>
                </c:pt>
                <c:pt idx="238">
                  <c:v>57.563200000000002</c:v>
                </c:pt>
                <c:pt idx="239">
                  <c:v>57.431699999999999</c:v>
                </c:pt>
                <c:pt idx="240">
                  <c:v>57.059800000000003</c:v>
                </c:pt>
                <c:pt idx="241">
                  <c:v>57.019500000000001</c:v>
                </c:pt>
                <c:pt idx="242">
                  <c:v>57.063699999999997</c:v>
                </c:pt>
                <c:pt idx="243">
                  <c:v>57.352400000000003</c:v>
                </c:pt>
                <c:pt idx="244">
                  <c:v>57.4925</c:v>
                </c:pt>
                <c:pt idx="245">
                  <c:v>56.979799999999997</c:v>
                </c:pt>
                <c:pt idx="246">
                  <c:v>57.054400000000001</c:v>
                </c:pt>
                <c:pt idx="247">
                  <c:v>56.621000000000002</c:v>
                </c:pt>
                <c:pt idx="248">
                  <c:v>56.545400000000001</c:v>
                </c:pt>
                <c:pt idx="249">
                  <c:v>56.317799999999998</c:v>
                </c:pt>
                <c:pt idx="250">
                  <c:v>56.343299999999999</c:v>
                </c:pt>
                <c:pt idx="251">
                  <c:v>56.133899999999997</c:v>
                </c:pt>
                <c:pt idx="252">
                  <c:v>56.307299999999998</c:v>
                </c:pt>
                <c:pt idx="253">
                  <c:v>56.3294</c:v>
                </c:pt>
                <c:pt idx="254">
                  <c:v>56.040100000000002</c:v>
                </c:pt>
                <c:pt idx="255">
                  <c:v>55.600900000000003</c:v>
                </c:pt>
                <c:pt idx="256">
                  <c:v>55.866799999999998</c:v>
                </c:pt>
                <c:pt idx="257">
                  <c:v>56.117699999999999</c:v>
                </c:pt>
                <c:pt idx="258">
                  <c:v>56.387900000000002</c:v>
                </c:pt>
                <c:pt idx="259">
                  <c:v>56.37</c:v>
                </c:pt>
                <c:pt idx="260">
                  <c:v>56.283799999999999</c:v>
                </c:pt>
                <c:pt idx="261">
                  <c:v>56.153399999999998</c:v>
                </c:pt>
                <c:pt idx="262">
                  <c:v>55.9422</c:v>
                </c:pt>
                <c:pt idx="263">
                  <c:v>56.049100000000003</c:v>
                </c:pt>
                <c:pt idx="264">
                  <c:v>56.027000000000001</c:v>
                </c:pt>
                <c:pt idx="265">
                  <c:v>56.292099999999998</c:v>
                </c:pt>
                <c:pt idx="266">
                  <c:v>56.020099999999999</c:v>
                </c:pt>
                <c:pt idx="267">
                  <c:v>55.575099999999999</c:v>
                </c:pt>
                <c:pt idx="268">
                  <c:v>55.430799999999998</c:v>
                </c:pt>
                <c:pt idx="269">
                  <c:v>55.918999999999997</c:v>
                </c:pt>
                <c:pt idx="270">
                  <c:v>55.1798</c:v>
                </c:pt>
                <c:pt idx="271">
                  <c:v>55.441099999999999</c:v>
                </c:pt>
                <c:pt idx="272">
                  <c:v>55.448999999999998</c:v>
                </c:pt>
                <c:pt idx="273">
                  <c:v>54.765999999999998</c:v>
                </c:pt>
                <c:pt idx="274">
                  <c:v>54.488</c:v>
                </c:pt>
                <c:pt idx="275">
                  <c:v>54.8748</c:v>
                </c:pt>
                <c:pt idx="276">
                  <c:v>54.854999999999997</c:v>
                </c:pt>
                <c:pt idx="277">
                  <c:v>54.994700000000002</c:v>
                </c:pt>
                <c:pt idx="278">
                  <c:v>55.0124</c:v>
                </c:pt>
                <c:pt idx="279">
                  <c:v>55.299900000000001</c:v>
                </c:pt>
                <c:pt idx="280">
                  <c:v>55.047499999999999</c:v>
                </c:pt>
                <c:pt idx="281">
                  <c:v>54.958300000000001</c:v>
                </c:pt>
                <c:pt idx="282">
                  <c:v>55.636099999999999</c:v>
                </c:pt>
                <c:pt idx="283">
                  <c:v>55.528500000000001</c:v>
                </c:pt>
                <c:pt idx="284">
                  <c:v>55.348599999999998</c:v>
                </c:pt>
                <c:pt idx="285">
                  <c:v>54.8767</c:v>
                </c:pt>
                <c:pt idx="286">
                  <c:v>54.9223</c:v>
                </c:pt>
                <c:pt idx="287">
                  <c:v>55.137</c:v>
                </c:pt>
                <c:pt idx="288">
                  <c:v>55.7804</c:v>
                </c:pt>
                <c:pt idx="289">
                  <c:v>55.0518</c:v>
                </c:pt>
                <c:pt idx="290">
                  <c:v>55.185499999999998</c:v>
                </c:pt>
                <c:pt idx="291">
                  <c:v>55.273200000000003</c:v>
                </c:pt>
                <c:pt idx="292">
                  <c:v>54.8977</c:v>
                </c:pt>
                <c:pt idx="293">
                  <c:v>55.2318</c:v>
                </c:pt>
                <c:pt idx="294">
                  <c:v>55.400799999999997</c:v>
                </c:pt>
                <c:pt idx="295">
                  <c:v>55.449399999999997</c:v>
                </c:pt>
                <c:pt idx="296">
                  <c:v>55.0685</c:v>
                </c:pt>
                <c:pt idx="297">
                  <c:v>55.167099999999998</c:v>
                </c:pt>
                <c:pt idx="298">
                  <c:v>55.203600000000002</c:v>
                </c:pt>
                <c:pt idx="299">
                  <c:v>54.787700000000001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C3E-1A4D-9909-2562B8D24E29}"/>
            </c:ext>
          </c:extLst>
        </c:ser>
        <c:ser>
          <c:idx val="2"/>
          <c:order val="2"/>
          <c:tx>
            <c:strRef>
              <c:f>Simulation!$F$1</c:f>
              <c:strCache>
                <c:ptCount val="1"/>
                <c:pt idx="0">
                  <c:v>P90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Simulation!$F$2:$F$301</c:f>
              <c:numCache>
                <c:formatCode>General</c:formatCode>
                <c:ptCount val="300"/>
                <c:pt idx="0">
                  <c:v>68.294700000000006</c:v>
                </c:pt>
                <c:pt idx="1">
                  <c:v>88.792000000000002</c:v>
                </c:pt>
                <c:pt idx="2">
                  <c:v>95.421899999999994</c:v>
                </c:pt>
                <c:pt idx="3">
                  <c:v>99.405100000000004</c:v>
                </c:pt>
                <c:pt idx="4">
                  <c:v>101.8293</c:v>
                </c:pt>
                <c:pt idx="5">
                  <c:v>103.20610000000001</c:v>
                </c:pt>
                <c:pt idx="6">
                  <c:v>104.5352</c:v>
                </c:pt>
                <c:pt idx="7">
                  <c:v>105.3618</c:v>
                </c:pt>
                <c:pt idx="8">
                  <c:v>106.68219999999999</c:v>
                </c:pt>
                <c:pt idx="9">
                  <c:v>106.2259</c:v>
                </c:pt>
                <c:pt idx="10">
                  <c:v>106.8023</c:v>
                </c:pt>
                <c:pt idx="11">
                  <c:v>107.48390000000001</c:v>
                </c:pt>
                <c:pt idx="12">
                  <c:v>107.7007</c:v>
                </c:pt>
                <c:pt idx="13">
                  <c:v>107.16670000000001</c:v>
                </c:pt>
                <c:pt idx="14">
                  <c:v>106.9542</c:v>
                </c:pt>
                <c:pt idx="15">
                  <c:v>107.1016</c:v>
                </c:pt>
                <c:pt idx="16">
                  <c:v>106.71169999999999</c:v>
                </c:pt>
                <c:pt idx="17">
                  <c:v>106.69750000000001</c:v>
                </c:pt>
                <c:pt idx="18">
                  <c:v>107.0715</c:v>
                </c:pt>
                <c:pt idx="19">
                  <c:v>106.3661</c:v>
                </c:pt>
                <c:pt idx="20">
                  <c:v>106.0552</c:v>
                </c:pt>
                <c:pt idx="21">
                  <c:v>106.54049999999999</c:v>
                </c:pt>
                <c:pt idx="22">
                  <c:v>106.2385</c:v>
                </c:pt>
                <c:pt idx="23">
                  <c:v>107.02119999999999</c:v>
                </c:pt>
                <c:pt idx="24">
                  <c:v>106.5809</c:v>
                </c:pt>
                <c:pt idx="25">
                  <c:v>106.9217</c:v>
                </c:pt>
                <c:pt idx="26">
                  <c:v>106.31789999999999</c:v>
                </c:pt>
                <c:pt idx="27">
                  <c:v>106.5489</c:v>
                </c:pt>
                <c:pt idx="28">
                  <c:v>107.00709999999999</c:v>
                </c:pt>
                <c:pt idx="29">
                  <c:v>106.4804</c:v>
                </c:pt>
                <c:pt idx="30">
                  <c:v>106.7461</c:v>
                </c:pt>
                <c:pt idx="31">
                  <c:v>106.28489999999999</c:v>
                </c:pt>
                <c:pt idx="32">
                  <c:v>105.93040000000001</c:v>
                </c:pt>
                <c:pt idx="33">
                  <c:v>106.3858</c:v>
                </c:pt>
                <c:pt idx="34">
                  <c:v>106.3125</c:v>
                </c:pt>
                <c:pt idx="35">
                  <c:v>106.08240000000001</c:v>
                </c:pt>
                <c:pt idx="36">
                  <c:v>106.5273</c:v>
                </c:pt>
                <c:pt idx="37">
                  <c:v>106.0641</c:v>
                </c:pt>
                <c:pt idx="38">
                  <c:v>106.3878</c:v>
                </c:pt>
                <c:pt idx="39">
                  <c:v>107.0149</c:v>
                </c:pt>
                <c:pt idx="40">
                  <c:v>106.5256</c:v>
                </c:pt>
                <c:pt idx="41">
                  <c:v>105.9055</c:v>
                </c:pt>
                <c:pt idx="42">
                  <c:v>105.6174</c:v>
                </c:pt>
                <c:pt idx="43">
                  <c:v>106.7486</c:v>
                </c:pt>
                <c:pt idx="44">
                  <c:v>106.6917</c:v>
                </c:pt>
                <c:pt idx="45">
                  <c:v>105.99630000000001</c:v>
                </c:pt>
                <c:pt idx="46">
                  <c:v>106.3837</c:v>
                </c:pt>
                <c:pt idx="47">
                  <c:v>105.53789999999999</c:v>
                </c:pt>
                <c:pt idx="48">
                  <c:v>105.8738</c:v>
                </c:pt>
                <c:pt idx="49">
                  <c:v>105.42019999999999</c:v>
                </c:pt>
                <c:pt idx="50">
                  <c:v>105.9263</c:v>
                </c:pt>
                <c:pt idx="51">
                  <c:v>105.9239</c:v>
                </c:pt>
                <c:pt idx="52">
                  <c:v>107.0939</c:v>
                </c:pt>
                <c:pt idx="53">
                  <c:v>106.59399999999999</c:v>
                </c:pt>
                <c:pt idx="54">
                  <c:v>106.0158</c:v>
                </c:pt>
                <c:pt idx="55">
                  <c:v>105.8965</c:v>
                </c:pt>
                <c:pt idx="56">
                  <c:v>105.88639999999999</c:v>
                </c:pt>
                <c:pt idx="57">
                  <c:v>105.34910000000001</c:v>
                </c:pt>
                <c:pt idx="58">
                  <c:v>105.0819</c:v>
                </c:pt>
                <c:pt idx="59">
                  <c:v>104.7962</c:v>
                </c:pt>
                <c:pt idx="60">
                  <c:v>104.6194</c:v>
                </c:pt>
                <c:pt idx="61">
                  <c:v>104.5851</c:v>
                </c:pt>
                <c:pt idx="62">
                  <c:v>104.42870000000001</c:v>
                </c:pt>
                <c:pt idx="63">
                  <c:v>105.0498</c:v>
                </c:pt>
                <c:pt idx="64">
                  <c:v>105.01730000000001</c:v>
                </c:pt>
                <c:pt idx="65">
                  <c:v>104.7948</c:v>
                </c:pt>
                <c:pt idx="66">
                  <c:v>105.1039</c:v>
                </c:pt>
                <c:pt idx="67">
                  <c:v>104.6435</c:v>
                </c:pt>
                <c:pt idx="68">
                  <c:v>105.58459999999999</c:v>
                </c:pt>
                <c:pt idx="69">
                  <c:v>105.0303</c:v>
                </c:pt>
                <c:pt idx="70">
                  <c:v>104.81950000000001</c:v>
                </c:pt>
                <c:pt idx="71">
                  <c:v>104.794</c:v>
                </c:pt>
                <c:pt idx="72">
                  <c:v>104.23560000000001</c:v>
                </c:pt>
                <c:pt idx="73">
                  <c:v>105.1266</c:v>
                </c:pt>
                <c:pt idx="74">
                  <c:v>104.3575</c:v>
                </c:pt>
                <c:pt idx="75">
                  <c:v>104.0579</c:v>
                </c:pt>
                <c:pt idx="76">
                  <c:v>104.74509999999999</c:v>
                </c:pt>
                <c:pt idx="77">
                  <c:v>105.3045</c:v>
                </c:pt>
                <c:pt idx="78">
                  <c:v>104.739</c:v>
                </c:pt>
                <c:pt idx="79">
                  <c:v>104.8005</c:v>
                </c:pt>
                <c:pt idx="80">
                  <c:v>105.56</c:v>
                </c:pt>
                <c:pt idx="81">
                  <c:v>105.27549999999999</c:v>
                </c:pt>
                <c:pt idx="82">
                  <c:v>105.35850000000001</c:v>
                </c:pt>
                <c:pt idx="83">
                  <c:v>104.9301</c:v>
                </c:pt>
                <c:pt idx="84">
                  <c:v>104.19370000000001</c:v>
                </c:pt>
                <c:pt idx="85">
                  <c:v>104.4503</c:v>
                </c:pt>
                <c:pt idx="86">
                  <c:v>104.4059</c:v>
                </c:pt>
                <c:pt idx="87">
                  <c:v>104.6636</c:v>
                </c:pt>
                <c:pt idx="88">
                  <c:v>103.9323</c:v>
                </c:pt>
                <c:pt idx="89">
                  <c:v>104.3646</c:v>
                </c:pt>
                <c:pt idx="90">
                  <c:v>104.11669999999999</c:v>
                </c:pt>
                <c:pt idx="91">
                  <c:v>103.1152</c:v>
                </c:pt>
                <c:pt idx="92">
                  <c:v>103.5711</c:v>
                </c:pt>
                <c:pt idx="93">
                  <c:v>103.7415</c:v>
                </c:pt>
                <c:pt idx="94">
                  <c:v>103.0638</c:v>
                </c:pt>
                <c:pt idx="95">
                  <c:v>103.24379999999999</c:v>
                </c:pt>
                <c:pt idx="96">
                  <c:v>103.4725</c:v>
                </c:pt>
                <c:pt idx="97">
                  <c:v>104.0874</c:v>
                </c:pt>
                <c:pt idx="98">
                  <c:v>103.7557</c:v>
                </c:pt>
                <c:pt idx="99">
                  <c:v>103.3719</c:v>
                </c:pt>
                <c:pt idx="100">
                  <c:v>102.8931</c:v>
                </c:pt>
                <c:pt idx="101">
                  <c:v>103.48</c:v>
                </c:pt>
                <c:pt idx="102">
                  <c:v>103.4362</c:v>
                </c:pt>
                <c:pt idx="103">
                  <c:v>103.6602</c:v>
                </c:pt>
                <c:pt idx="104">
                  <c:v>103.876</c:v>
                </c:pt>
                <c:pt idx="105">
                  <c:v>103.3539</c:v>
                </c:pt>
                <c:pt idx="106">
                  <c:v>104.0643</c:v>
                </c:pt>
                <c:pt idx="107">
                  <c:v>103.729</c:v>
                </c:pt>
                <c:pt idx="108">
                  <c:v>103.124</c:v>
                </c:pt>
                <c:pt idx="109">
                  <c:v>104.1474</c:v>
                </c:pt>
                <c:pt idx="110">
                  <c:v>103.8365</c:v>
                </c:pt>
                <c:pt idx="111">
                  <c:v>103.62779999999999</c:v>
                </c:pt>
                <c:pt idx="112">
                  <c:v>103.6986</c:v>
                </c:pt>
                <c:pt idx="113">
                  <c:v>104.1523</c:v>
                </c:pt>
                <c:pt idx="114">
                  <c:v>103.7169</c:v>
                </c:pt>
                <c:pt idx="115">
                  <c:v>102.9686</c:v>
                </c:pt>
                <c:pt idx="116">
                  <c:v>104.0425</c:v>
                </c:pt>
                <c:pt idx="117">
                  <c:v>103.405</c:v>
                </c:pt>
                <c:pt idx="118">
                  <c:v>104.0852</c:v>
                </c:pt>
                <c:pt idx="119">
                  <c:v>102.6712</c:v>
                </c:pt>
                <c:pt idx="120">
                  <c:v>102.8569</c:v>
                </c:pt>
                <c:pt idx="121">
                  <c:v>103.6764</c:v>
                </c:pt>
                <c:pt idx="122">
                  <c:v>102.9127</c:v>
                </c:pt>
                <c:pt idx="123">
                  <c:v>103.0419</c:v>
                </c:pt>
                <c:pt idx="124">
                  <c:v>102.3314</c:v>
                </c:pt>
                <c:pt idx="125">
                  <c:v>102.20659999999999</c:v>
                </c:pt>
                <c:pt idx="126">
                  <c:v>102.40049999999999</c:v>
                </c:pt>
                <c:pt idx="127">
                  <c:v>103.4308</c:v>
                </c:pt>
                <c:pt idx="128">
                  <c:v>102.1999</c:v>
                </c:pt>
                <c:pt idx="129">
                  <c:v>102.2739</c:v>
                </c:pt>
                <c:pt idx="130">
                  <c:v>102.51300000000001</c:v>
                </c:pt>
                <c:pt idx="131">
                  <c:v>102.4083</c:v>
                </c:pt>
                <c:pt idx="132">
                  <c:v>103.0194</c:v>
                </c:pt>
                <c:pt idx="133">
                  <c:v>102.6127</c:v>
                </c:pt>
                <c:pt idx="134">
                  <c:v>103.1204</c:v>
                </c:pt>
                <c:pt idx="135">
                  <c:v>102.2724</c:v>
                </c:pt>
                <c:pt idx="136">
                  <c:v>102.1324</c:v>
                </c:pt>
                <c:pt idx="137">
                  <c:v>102.39409999999999</c:v>
                </c:pt>
                <c:pt idx="138">
                  <c:v>101.65049999999999</c:v>
                </c:pt>
                <c:pt idx="139">
                  <c:v>101.8997</c:v>
                </c:pt>
                <c:pt idx="140">
                  <c:v>102.251</c:v>
                </c:pt>
                <c:pt idx="141">
                  <c:v>102.3168</c:v>
                </c:pt>
                <c:pt idx="142">
                  <c:v>103.2574</c:v>
                </c:pt>
                <c:pt idx="143">
                  <c:v>102.6332</c:v>
                </c:pt>
                <c:pt idx="144">
                  <c:v>102.9134</c:v>
                </c:pt>
                <c:pt idx="145">
                  <c:v>102.5651</c:v>
                </c:pt>
                <c:pt idx="146">
                  <c:v>102.9928</c:v>
                </c:pt>
                <c:pt idx="147">
                  <c:v>102.6515</c:v>
                </c:pt>
                <c:pt idx="148">
                  <c:v>101.60129999999999</c:v>
                </c:pt>
                <c:pt idx="149">
                  <c:v>102.0462</c:v>
                </c:pt>
                <c:pt idx="150">
                  <c:v>102.43300000000001</c:v>
                </c:pt>
                <c:pt idx="151">
                  <c:v>101.99169999999999</c:v>
                </c:pt>
                <c:pt idx="152">
                  <c:v>101.5997</c:v>
                </c:pt>
                <c:pt idx="153">
                  <c:v>101.5175</c:v>
                </c:pt>
                <c:pt idx="154">
                  <c:v>101.81180000000001</c:v>
                </c:pt>
                <c:pt idx="155">
                  <c:v>101.7285</c:v>
                </c:pt>
                <c:pt idx="156">
                  <c:v>101.84310000000001</c:v>
                </c:pt>
                <c:pt idx="157">
                  <c:v>102.3386</c:v>
                </c:pt>
                <c:pt idx="158">
                  <c:v>102.0985</c:v>
                </c:pt>
                <c:pt idx="159">
                  <c:v>102.76649999999999</c:v>
                </c:pt>
                <c:pt idx="160">
                  <c:v>102.9953</c:v>
                </c:pt>
                <c:pt idx="161">
                  <c:v>102.5698</c:v>
                </c:pt>
                <c:pt idx="162">
                  <c:v>101.4092</c:v>
                </c:pt>
                <c:pt idx="163">
                  <c:v>102.29349999999999</c:v>
                </c:pt>
                <c:pt idx="164">
                  <c:v>102.44159999999999</c:v>
                </c:pt>
                <c:pt idx="165">
                  <c:v>102.24160000000001</c:v>
                </c:pt>
                <c:pt idx="166">
                  <c:v>102.7966</c:v>
                </c:pt>
                <c:pt idx="167">
                  <c:v>102.2007</c:v>
                </c:pt>
                <c:pt idx="168">
                  <c:v>101.8429</c:v>
                </c:pt>
                <c:pt idx="169">
                  <c:v>101.6437</c:v>
                </c:pt>
                <c:pt idx="170">
                  <c:v>101.09010000000001</c:v>
                </c:pt>
                <c:pt idx="171">
                  <c:v>101.45059999999999</c:v>
                </c:pt>
                <c:pt idx="172">
                  <c:v>101.36409999999999</c:v>
                </c:pt>
                <c:pt idx="173">
                  <c:v>101.1601</c:v>
                </c:pt>
                <c:pt idx="174">
                  <c:v>101.69970000000001</c:v>
                </c:pt>
                <c:pt idx="175">
                  <c:v>101.75579999999999</c:v>
                </c:pt>
                <c:pt idx="176">
                  <c:v>101.642</c:v>
                </c:pt>
                <c:pt idx="177">
                  <c:v>101.24079999999999</c:v>
                </c:pt>
                <c:pt idx="178">
                  <c:v>101.84010000000001</c:v>
                </c:pt>
                <c:pt idx="179">
                  <c:v>102.12479999999999</c:v>
                </c:pt>
                <c:pt idx="180">
                  <c:v>102.17870000000001</c:v>
                </c:pt>
                <c:pt idx="181">
                  <c:v>101.43729999999999</c:v>
                </c:pt>
                <c:pt idx="182">
                  <c:v>101.8087</c:v>
                </c:pt>
                <c:pt idx="183">
                  <c:v>101.7594</c:v>
                </c:pt>
                <c:pt idx="184">
                  <c:v>100.8886</c:v>
                </c:pt>
                <c:pt idx="185">
                  <c:v>101.7694</c:v>
                </c:pt>
                <c:pt idx="186">
                  <c:v>101.6969</c:v>
                </c:pt>
                <c:pt idx="187">
                  <c:v>100.7578</c:v>
                </c:pt>
                <c:pt idx="188">
                  <c:v>100.8995</c:v>
                </c:pt>
                <c:pt idx="189">
                  <c:v>101.2963</c:v>
                </c:pt>
                <c:pt idx="190">
                  <c:v>101.434</c:v>
                </c:pt>
                <c:pt idx="191">
                  <c:v>101.25190000000001</c:v>
                </c:pt>
                <c:pt idx="192">
                  <c:v>101.35380000000001</c:v>
                </c:pt>
                <c:pt idx="193">
                  <c:v>101.0924</c:v>
                </c:pt>
                <c:pt idx="194">
                  <c:v>100.7328</c:v>
                </c:pt>
                <c:pt idx="195">
                  <c:v>101.4028</c:v>
                </c:pt>
                <c:pt idx="196">
                  <c:v>100.315</c:v>
                </c:pt>
                <c:pt idx="197">
                  <c:v>100.7097</c:v>
                </c:pt>
                <c:pt idx="198">
                  <c:v>99.936599999999999</c:v>
                </c:pt>
                <c:pt idx="199">
                  <c:v>100.5244</c:v>
                </c:pt>
                <c:pt idx="200">
                  <c:v>100.52979999999999</c:v>
                </c:pt>
                <c:pt idx="201">
                  <c:v>100.56270000000001</c:v>
                </c:pt>
                <c:pt idx="202">
                  <c:v>101.26730000000001</c:v>
                </c:pt>
                <c:pt idx="203">
                  <c:v>100.318</c:v>
                </c:pt>
                <c:pt idx="204">
                  <c:v>101.14660000000001</c:v>
                </c:pt>
                <c:pt idx="205">
                  <c:v>100.39790000000001</c:v>
                </c:pt>
                <c:pt idx="206">
                  <c:v>100.2668</c:v>
                </c:pt>
                <c:pt idx="207">
                  <c:v>100.4824</c:v>
                </c:pt>
                <c:pt idx="208">
                  <c:v>100.1611</c:v>
                </c:pt>
                <c:pt idx="209">
                  <c:v>100.7315</c:v>
                </c:pt>
                <c:pt idx="210">
                  <c:v>100.955</c:v>
                </c:pt>
                <c:pt idx="211">
                  <c:v>100.3673</c:v>
                </c:pt>
                <c:pt idx="212">
                  <c:v>100.2337</c:v>
                </c:pt>
                <c:pt idx="213">
                  <c:v>100.1961</c:v>
                </c:pt>
                <c:pt idx="214">
                  <c:v>99.870500000000007</c:v>
                </c:pt>
                <c:pt idx="215">
                  <c:v>99.554400000000001</c:v>
                </c:pt>
                <c:pt idx="216">
                  <c:v>99.727900000000005</c:v>
                </c:pt>
                <c:pt idx="217">
                  <c:v>100.1896</c:v>
                </c:pt>
                <c:pt idx="218">
                  <c:v>99.789100000000005</c:v>
                </c:pt>
                <c:pt idx="219">
                  <c:v>100.845</c:v>
                </c:pt>
                <c:pt idx="220">
                  <c:v>100.55240000000001</c:v>
                </c:pt>
                <c:pt idx="221">
                  <c:v>100.7236</c:v>
                </c:pt>
                <c:pt idx="222">
                  <c:v>100.83150000000001</c:v>
                </c:pt>
                <c:pt idx="223">
                  <c:v>99.891400000000004</c:v>
                </c:pt>
                <c:pt idx="224">
                  <c:v>100.8745</c:v>
                </c:pt>
                <c:pt idx="225">
                  <c:v>100.49169999999999</c:v>
                </c:pt>
                <c:pt idx="226">
                  <c:v>100.3511</c:v>
                </c:pt>
                <c:pt idx="227">
                  <c:v>100.3754</c:v>
                </c:pt>
                <c:pt idx="228">
                  <c:v>100.0886</c:v>
                </c:pt>
                <c:pt idx="229">
                  <c:v>100.55289999999999</c:v>
                </c:pt>
                <c:pt idx="230">
                  <c:v>99.490899999999996</c:v>
                </c:pt>
                <c:pt idx="231">
                  <c:v>100.2533</c:v>
                </c:pt>
                <c:pt idx="232">
                  <c:v>99.635000000000005</c:v>
                </c:pt>
                <c:pt idx="233">
                  <c:v>99.327799999999996</c:v>
                </c:pt>
                <c:pt idx="234">
                  <c:v>100.0309</c:v>
                </c:pt>
                <c:pt idx="235">
                  <c:v>99.275700000000001</c:v>
                </c:pt>
                <c:pt idx="236">
                  <c:v>99.905799999999999</c:v>
                </c:pt>
                <c:pt idx="237">
                  <c:v>99.717399999999998</c:v>
                </c:pt>
                <c:pt idx="238">
                  <c:v>99.501800000000003</c:v>
                </c:pt>
                <c:pt idx="239">
                  <c:v>100.2013</c:v>
                </c:pt>
                <c:pt idx="240">
                  <c:v>99.924599999999998</c:v>
                </c:pt>
                <c:pt idx="241">
                  <c:v>99.6434</c:v>
                </c:pt>
                <c:pt idx="242">
                  <c:v>100.2641</c:v>
                </c:pt>
                <c:pt idx="243">
                  <c:v>99.823700000000002</c:v>
                </c:pt>
                <c:pt idx="244">
                  <c:v>99.422300000000007</c:v>
                </c:pt>
                <c:pt idx="245">
                  <c:v>100.1323</c:v>
                </c:pt>
                <c:pt idx="246">
                  <c:v>99.182299999999998</c:v>
                </c:pt>
                <c:pt idx="247">
                  <c:v>98.911799999999999</c:v>
                </c:pt>
                <c:pt idx="248">
                  <c:v>98.702699999999993</c:v>
                </c:pt>
                <c:pt idx="249">
                  <c:v>98.417500000000004</c:v>
                </c:pt>
                <c:pt idx="250">
                  <c:v>99.028000000000006</c:v>
                </c:pt>
                <c:pt idx="251">
                  <c:v>99.036799999999999</c:v>
                </c:pt>
                <c:pt idx="252">
                  <c:v>99.232799999999997</c:v>
                </c:pt>
                <c:pt idx="253">
                  <c:v>98.9131</c:v>
                </c:pt>
                <c:pt idx="254">
                  <c:v>99.431899999999999</c:v>
                </c:pt>
                <c:pt idx="255">
                  <c:v>99.149299999999997</c:v>
                </c:pt>
                <c:pt idx="256">
                  <c:v>99.001199999999997</c:v>
                </c:pt>
                <c:pt idx="257">
                  <c:v>98.410899999999998</c:v>
                </c:pt>
                <c:pt idx="258">
                  <c:v>98.407200000000003</c:v>
                </c:pt>
                <c:pt idx="259">
                  <c:v>98.131100000000004</c:v>
                </c:pt>
                <c:pt idx="260">
                  <c:v>98.128500000000003</c:v>
                </c:pt>
                <c:pt idx="261">
                  <c:v>98.080600000000004</c:v>
                </c:pt>
                <c:pt idx="262">
                  <c:v>97.723500000000001</c:v>
                </c:pt>
                <c:pt idx="263">
                  <c:v>98.469200000000001</c:v>
                </c:pt>
                <c:pt idx="264">
                  <c:v>97.911600000000007</c:v>
                </c:pt>
                <c:pt idx="265">
                  <c:v>98.0792</c:v>
                </c:pt>
                <c:pt idx="266">
                  <c:v>98.495800000000003</c:v>
                </c:pt>
                <c:pt idx="267">
                  <c:v>98.351200000000006</c:v>
                </c:pt>
                <c:pt idx="268">
                  <c:v>97.255099999999999</c:v>
                </c:pt>
                <c:pt idx="269">
                  <c:v>97.260800000000003</c:v>
                </c:pt>
                <c:pt idx="270">
                  <c:v>97.0364</c:v>
                </c:pt>
                <c:pt idx="271">
                  <c:v>97.063800000000001</c:v>
                </c:pt>
                <c:pt idx="272">
                  <c:v>96.849900000000005</c:v>
                </c:pt>
                <c:pt idx="273">
                  <c:v>96.576599999999999</c:v>
                </c:pt>
                <c:pt idx="274">
                  <c:v>97.297300000000007</c:v>
                </c:pt>
                <c:pt idx="275">
                  <c:v>97.022900000000007</c:v>
                </c:pt>
                <c:pt idx="276">
                  <c:v>96.806799999999996</c:v>
                </c:pt>
                <c:pt idx="277">
                  <c:v>97.090900000000005</c:v>
                </c:pt>
                <c:pt idx="278">
                  <c:v>97.3078</c:v>
                </c:pt>
                <c:pt idx="279">
                  <c:v>98.006799999999998</c:v>
                </c:pt>
                <c:pt idx="280">
                  <c:v>97.8</c:v>
                </c:pt>
                <c:pt idx="281">
                  <c:v>97.215900000000005</c:v>
                </c:pt>
                <c:pt idx="282">
                  <c:v>97.407399999999996</c:v>
                </c:pt>
                <c:pt idx="283">
                  <c:v>97</c:v>
                </c:pt>
                <c:pt idx="284">
                  <c:v>97.294799999999995</c:v>
                </c:pt>
                <c:pt idx="285">
                  <c:v>98.680199999999999</c:v>
                </c:pt>
                <c:pt idx="286">
                  <c:v>97.782399999999996</c:v>
                </c:pt>
                <c:pt idx="287">
                  <c:v>97.395799999999994</c:v>
                </c:pt>
                <c:pt idx="288">
                  <c:v>97.242599999999996</c:v>
                </c:pt>
                <c:pt idx="289">
                  <c:v>97.208399999999997</c:v>
                </c:pt>
                <c:pt idx="290">
                  <c:v>97.206599999999995</c:v>
                </c:pt>
                <c:pt idx="291">
                  <c:v>97.394599999999997</c:v>
                </c:pt>
                <c:pt idx="292">
                  <c:v>98.322400000000002</c:v>
                </c:pt>
                <c:pt idx="293">
                  <c:v>97.313299999999998</c:v>
                </c:pt>
                <c:pt idx="294">
                  <c:v>97.4803</c:v>
                </c:pt>
                <c:pt idx="295">
                  <c:v>98.040599999999998</c:v>
                </c:pt>
                <c:pt idx="296">
                  <c:v>97.702799999999996</c:v>
                </c:pt>
                <c:pt idx="297">
                  <c:v>97.2149</c:v>
                </c:pt>
                <c:pt idx="298">
                  <c:v>97.247100000000003</c:v>
                </c:pt>
                <c:pt idx="299">
                  <c:v>97.016499999999994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C3E-1A4D-9909-2562B8D24E29}"/>
            </c:ext>
          </c:extLst>
        </c:ser>
        <c:ser>
          <c:idx val="3"/>
          <c:order val="3"/>
          <c:tx>
            <c:strRef>
              <c:f>Simulation!$I$1</c:f>
              <c:strCache>
                <c:ptCount val="1"/>
                <c:pt idx="0">
                  <c:v>P1</c:v>
                </c:pt>
              </c:strCache>
            </c:strRef>
          </c:tx>
          <c:spPr>
            <a:ln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Simulation!$I$2:$I$301</c:f>
              <c:numCache>
                <c:formatCode>General</c:formatCode>
                <c:ptCount val="300"/>
                <c:pt idx="0">
                  <c:v>68.294700000000006</c:v>
                </c:pt>
                <c:pt idx="1">
                  <c:v>29.904399999999999</c:v>
                </c:pt>
                <c:pt idx="2">
                  <c:v>16.7822</c:v>
                </c:pt>
                <c:pt idx="3">
                  <c:v>8.3993000000000002</c:v>
                </c:pt>
                <c:pt idx="4">
                  <c:v>1.8517999999999999</c:v>
                </c:pt>
                <c:pt idx="5">
                  <c:v>-0.58720000000000006</c:v>
                </c:pt>
                <c:pt idx="6">
                  <c:v>-3.1092</c:v>
                </c:pt>
                <c:pt idx="7">
                  <c:v>-3.7242999999999999</c:v>
                </c:pt>
                <c:pt idx="8">
                  <c:v>-6.282</c:v>
                </c:pt>
                <c:pt idx="9">
                  <c:v>-7.1670999999999996</c:v>
                </c:pt>
                <c:pt idx="10">
                  <c:v>-9.9291</c:v>
                </c:pt>
                <c:pt idx="11">
                  <c:v>-10.276999999999999</c:v>
                </c:pt>
                <c:pt idx="12">
                  <c:v>-10.3538</c:v>
                </c:pt>
                <c:pt idx="13">
                  <c:v>-10.622400000000001</c:v>
                </c:pt>
                <c:pt idx="14">
                  <c:v>-11.728199999999999</c:v>
                </c:pt>
                <c:pt idx="15">
                  <c:v>-10.784700000000001</c:v>
                </c:pt>
                <c:pt idx="16">
                  <c:v>-10.3581</c:v>
                </c:pt>
                <c:pt idx="17">
                  <c:v>-10.783799999999999</c:v>
                </c:pt>
                <c:pt idx="18">
                  <c:v>-10.436</c:v>
                </c:pt>
                <c:pt idx="19">
                  <c:v>-12.1113</c:v>
                </c:pt>
                <c:pt idx="20">
                  <c:v>-13.504</c:v>
                </c:pt>
                <c:pt idx="21">
                  <c:v>-13.9411</c:v>
                </c:pt>
                <c:pt idx="22">
                  <c:v>-13.647500000000001</c:v>
                </c:pt>
                <c:pt idx="23">
                  <c:v>-12.8962</c:v>
                </c:pt>
                <c:pt idx="24">
                  <c:v>-12.7455</c:v>
                </c:pt>
                <c:pt idx="25">
                  <c:v>-14.4254</c:v>
                </c:pt>
                <c:pt idx="26">
                  <c:v>-13.498100000000001</c:v>
                </c:pt>
                <c:pt idx="27">
                  <c:v>-13.906000000000001</c:v>
                </c:pt>
                <c:pt idx="28">
                  <c:v>-13.088100000000001</c:v>
                </c:pt>
                <c:pt idx="29">
                  <c:v>-13.6127</c:v>
                </c:pt>
                <c:pt idx="30">
                  <c:v>-14.2719</c:v>
                </c:pt>
                <c:pt idx="31">
                  <c:v>-14.798500000000001</c:v>
                </c:pt>
                <c:pt idx="32">
                  <c:v>-13.538500000000001</c:v>
                </c:pt>
                <c:pt idx="33">
                  <c:v>-11.889900000000001</c:v>
                </c:pt>
                <c:pt idx="34">
                  <c:v>-12.8583</c:v>
                </c:pt>
                <c:pt idx="35">
                  <c:v>-13.456300000000001</c:v>
                </c:pt>
                <c:pt idx="36">
                  <c:v>-12.6991</c:v>
                </c:pt>
                <c:pt idx="37">
                  <c:v>-13.132999999999999</c:v>
                </c:pt>
                <c:pt idx="38">
                  <c:v>-13.748699999999999</c:v>
                </c:pt>
                <c:pt idx="39">
                  <c:v>-10.923299999999999</c:v>
                </c:pt>
                <c:pt idx="40">
                  <c:v>-11.792199999999999</c:v>
                </c:pt>
                <c:pt idx="41">
                  <c:v>-12.793900000000001</c:v>
                </c:pt>
                <c:pt idx="42">
                  <c:v>-12.7378</c:v>
                </c:pt>
                <c:pt idx="43">
                  <c:v>-13.1998</c:v>
                </c:pt>
                <c:pt idx="44">
                  <c:v>-13.6732</c:v>
                </c:pt>
                <c:pt idx="45">
                  <c:v>-11.345700000000001</c:v>
                </c:pt>
                <c:pt idx="46">
                  <c:v>-13.978</c:v>
                </c:pt>
                <c:pt idx="47">
                  <c:v>-11.7179</c:v>
                </c:pt>
                <c:pt idx="48">
                  <c:v>-15.3363</c:v>
                </c:pt>
                <c:pt idx="49">
                  <c:v>-13.8474</c:v>
                </c:pt>
                <c:pt idx="50">
                  <c:v>-14.554600000000001</c:v>
                </c:pt>
                <c:pt idx="51">
                  <c:v>-13.6883</c:v>
                </c:pt>
                <c:pt idx="52">
                  <c:v>-14.742100000000001</c:v>
                </c:pt>
                <c:pt idx="53">
                  <c:v>-15.0685</c:v>
                </c:pt>
                <c:pt idx="54">
                  <c:v>-15.131</c:v>
                </c:pt>
                <c:pt idx="55">
                  <c:v>-15.072900000000001</c:v>
                </c:pt>
                <c:pt idx="56">
                  <c:v>-15.904400000000001</c:v>
                </c:pt>
                <c:pt idx="57">
                  <c:v>-12.8935</c:v>
                </c:pt>
                <c:pt idx="58">
                  <c:v>-13.5031</c:v>
                </c:pt>
                <c:pt idx="59">
                  <c:v>-14.852</c:v>
                </c:pt>
                <c:pt idx="60">
                  <c:v>-14.4422</c:v>
                </c:pt>
                <c:pt idx="61">
                  <c:v>-14.311299999999999</c:v>
                </c:pt>
                <c:pt idx="62">
                  <c:v>-14.1129</c:v>
                </c:pt>
                <c:pt idx="63">
                  <c:v>-15.600199999999999</c:v>
                </c:pt>
                <c:pt idx="64">
                  <c:v>-14.6386</c:v>
                </c:pt>
                <c:pt idx="65">
                  <c:v>-14.2339</c:v>
                </c:pt>
                <c:pt idx="66">
                  <c:v>-13.939</c:v>
                </c:pt>
                <c:pt idx="67">
                  <c:v>-13.5924</c:v>
                </c:pt>
                <c:pt idx="68">
                  <c:v>-14.416399999999999</c:v>
                </c:pt>
                <c:pt idx="69">
                  <c:v>-12.809699999999999</c:v>
                </c:pt>
                <c:pt idx="70">
                  <c:v>-12.5524</c:v>
                </c:pt>
                <c:pt idx="71">
                  <c:v>-14.5814</c:v>
                </c:pt>
                <c:pt idx="72">
                  <c:v>-14.459099999999999</c:v>
                </c:pt>
                <c:pt idx="73">
                  <c:v>-14.246700000000001</c:v>
                </c:pt>
                <c:pt idx="74">
                  <c:v>-13.198700000000001</c:v>
                </c:pt>
                <c:pt idx="75">
                  <c:v>-13.7272</c:v>
                </c:pt>
                <c:pt idx="76">
                  <c:v>-14.894299999999999</c:v>
                </c:pt>
                <c:pt idx="77">
                  <c:v>-14.1244</c:v>
                </c:pt>
                <c:pt idx="78">
                  <c:v>-14.9331</c:v>
                </c:pt>
                <c:pt idx="79">
                  <c:v>-14.484299999999999</c:v>
                </c:pt>
                <c:pt idx="80">
                  <c:v>-13.9704</c:v>
                </c:pt>
                <c:pt idx="81">
                  <c:v>-13.4672</c:v>
                </c:pt>
                <c:pt idx="82">
                  <c:v>-11.973000000000001</c:v>
                </c:pt>
                <c:pt idx="83">
                  <c:v>-14.044600000000001</c:v>
                </c:pt>
                <c:pt idx="84">
                  <c:v>-14.858700000000001</c:v>
                </c:pt>
                <c:pt idx="85">
                  <c:v>-17.5259</c:v>
                </c:pt>
                <c:pt idx="86">
                  <c:v>-16.604500000000002</c:v>
                </c:pt>
                <c:pt idx="87">
                  <c:v>-15.8719</c:v>
                </c:pt>
                <c:pt idx="88">
                  <c:v>-14.683</c:v>
                </c:pt>
                <c:pt idx="89">
                  <c:v>-15.2051</c:v>
                </c:pt>
                <c:pt idx="90">
                  <c:v>-14.3461</c:v>
                </c:pt>
                <c:pt idx="91">
                  <c:v>-13.7967</c:v>
                </c:pt>
                <c:pt idx="92">
                  <c:v>-14.792999999999999</c:v>
                </c:pt>
                <c:pt idx="93">
                  <c:v>-12.9876</c:v>
                </c:pt>
                <c:pt idx="94">
                  <c:v>-16.6783</c:v>
                </c:pt>
                <c:pt idx="95">
                  <c:v>-17.8401</c:v>
                </c:pt>
                <c:pt idx="96">
                  <c:v>-16.38</c:v>
                </c:pt>
                <c:pt idx="97">
                  <c:v>-14.069699999999999</c:v>
                </c:pt>
                <c:pt idx="98">
                  <c:v>-14.218400000000001</c:v>
                </c:pt>
                <c:pt idx="99">
                  <c:v>-14.901899999999999</c:v>
                </c:pt>
                <c:pt idx="100">
                  <c:v>-16.207899999999999</c:v>
                </c:pt>
                <c:pt idx="101">
                  <c:v>-15.758599999999999</c:v>
                </c:pt>
                <c:pt idx="102">
                  <c:v>-15.114800000000001</c:v>
                </c:pt>
                <c:pt idx="103">
                  <c:v>-16.111499999999999</c:v>
                </c:pt>
                <c:pt idx="104">
                  <c:v>-17.392700000000001</c:v>
                </c:pt>
                <c:pt idx="105">
                  <c:v>-14.813000000000001</c:v>
                </c:pt>
                <c:pt idx="106">
                  <c:v>-16.495899999999999</c:v>
                </c:pt>
                <c:pt idx="107">
                  <c:v>-15.9916</c:v>
                </c:pt>
                <c:pt idx="108">
                  <c:v>-15.6677</c:v>
                </c:pt>
                <c:pt idx="109">
                  <c:v>-15.3741</c:v>
                </c:pt>
                <c:pt idx="110">
                  <c:v>-16.553699999999999</c:v>
                </c:pt>
                <c:pt idx="111">
                  <c:v>-16.214200000000002</c:v>
                </c:pt>
                <c:pt idx="112">
                  <c:v>-15.9712</c:v>
                </c:pt>
                <c:pt idx="113">
                  <c:v>-16.410299999999999</c:v>
                </c:pt>
                <c:pt idx="114">
                  <c:v>-15.899100000000001</c:v>
                </c:pt>
                <c:pt idx="115">
                  <c:v>-19.121200000000002</c:v>
                </c:pt>
                <c:pt idx="116">
                  <c:v>-16.9329</c:v>
                </c:pt>
                <c:pt idx="117">
                  <c:v>-16.0822</c:v>
                </c:pt>
                <c:pt idx="118">
                  <c:v>-16.359400000000001</c:v>
                </c:pt>
                <c:pt idx="119">
                  <c:v>-17.661999999999999</c:v>
                </c:pt>
                <c:pt idx="120">
                  <c:v>-14.7202</c:v>
                </c:pt>
                <c:pt idx="121">
                  <c:v>-14.688499999999999</c:v>
                </c:pt>
                <c:pt idx="122">
                  <c:v>-17.2074</c:v>
                </c:pt>
                <c:pt idx="123">
                  <c:v>-16.354800000000001</c:v>
                </c:pt>
                <c:pt idx="124">
                  <c:v>-15.916399999999999</c:v>
                </c:pt>
                <c:pt idx="125">
                  <c:v>-17.090699999999998</c:v>
                </c:pt>
                <c:pt idx="126">
                  <c:v>-17.619299999999999</c:v>
                </c:pt>
                <c:pt idx="127">
                  <c:v>-17.385300000000001</c:v>
                </c:pt>
                <c:pt idx="128">
                  <c:v>-16.589500000000001</c:v>
                </c:pt>
                <c:pt idx="129">
                  <c:v>-17.134499999999999</c:v>
                </c:pt>
                <c:pt idx="130">
                  <c:v>-16.1617</c:v>
                </c:pt>
                <c:pt idx="131">
                  <c:v>-18.368500000000001</c:v>
                </c:pt>
                <c:pt idx="132">
                  <c:v>-16.144200000000001</c:v>
                </c:pt>
                <c:pt idx="133">
                  <c:v>-16.664000000000001</c:v>
                </c:pt>
                <c:pt idx="134">
                  <c:v>-17.2591</c:v>
                </c:pt>
                <c:pt idx="135">
                  <c:v>-17.153700000000001</c:v>
                </c:pt>
                <c:pt idx="136">
                  <c:v>-17.505700000000001</c:v>
                </c:pt>
                <c:pt idx="137">
                  <c:v>-17.065999999999999</c:v>
                </c:pt>
                <c:pt idx="138">
                  <c:v>-17.163499999999999</c:v>
                </c:pt>
                <c:pt idx="139">
                  <c:v>-18.004300000000001</c:v>
                </c:pt>
                <c:pt idx="140">
                  <c:v>-16.977399999999999</c:v>
                </c:pt>
                <c:pt idx="141">
                  <c:v>-17.2578</c:v>
                </c:pt>
                <c:pt idx="142">
                  <c:v>-14.4405</c:v>
                </c:pt>
                <c:pt idx="143">
                  <c:v>-16.2683</c:v>
                </c:pt>
                <c:pt idx="144">
                  <c:v>-15.579700000000001</c:v>
                </c:pt>
                <c:pt idx="145">
                  <c:v>-18.049800000000001</c:v>
                </c:pt>
                <c:pt idx="146">
                  <c:v>-16.027100000000001</c:v>
                </c:pt>
                <c:pt idx="147">
                  <c:v>-16.786799999999999</c:v>
                </c:pt>
                <c:pt idx="148">
                  <c:v>-16.519300000000001</c:v>
                </c:pt>
                <c:pt idx="149">
                  <c:v>-16.265899999999998</c:v>
                </c:pt>
                <c:pt idx="150">
                  <c:v>-17.402699999999999</c:v>
                </c:pt>
                <c:pt idx="151">
                  <c:v>-19.355499999999999</c:v>
                </c:pt>
                <c:pt idx="152">
                  <c:v>-16.6891</c:v>
                </c:pt>
                <c:pt idx="153">
                  <c:v>-16.014500000000002</c:v>
                </c:pt>
                <c:pt idx="154">
                  <c:v>-16.781400000000001</c:v>
                </c:pt>
                <c:pt idx="155">
                  <c:v>-14.247999999999999</c:v>
                </c:pt>
                <c:pt idx="156">
                  <c:v>-16.882000000000001</c:v>
                </c:pt>
                <c:pt idx="157">
                  <c:v>-16.5929</c:v>
                </c:pt>
                <c:pt idx="158">
                  <c:v>-18.084499999999998</c:v>
                </c:pt>
                <c:pt idx="159">
                  <c:v>-17.139099999999999</c:v>
                </c:pt>
                <c:pt idx="160">
                  <c:v>-17.9604</c:v>
                </c:pt>
                <c:pt idx="161">
                  <c:v>-14.891999999999999</c:v>
                </c:pt>
                <c:pt idx="162">
                  <c:v>-16.716000000000001</c:v>
                </c:pt>
                <c:pt idx="163">
                  <c:v>-16.325600000000001</c:v>
                </c:pt>
                <c:pt idx="164">
                  <c:v>-16.284600000000001</c:v>
                </c:pt>
                <c:pt idx="165">
                  <c:v>-18.9238</c:v>
                </c:pt>
                <c:pt idx="166">
                  <c:v>-18.526</c:v>
                </c:pt>
                <c:pt idx="167">
                  <c:v>-17.8521</c:v>
                </c:pt>
                <c:pt idx="168">
                  <c:v>-17.174700000000001</c:v>
                </c:pt>
                <c:pt idx="169">
                  <c:v>-16.756399999999999</c:v>
                </c:pt>
                <c:pt idx="170">
                  <c:v>-18.9239</c:v>
                </c:pt>
                <c:pt idx="171">
                  <c:v>-18.308399999999999</c:v>
                </c:pt>
                <c:pt idx="172">
                  <c:v>-17.3916</c:v>
                </c:pt>
                <c:pt idx="173">
                  <c:v>-16.803999999999998</c:v>
                </c:pt>
                <c:pt idx="174">
                  <c:v>-16.976299999999998</c:v>
                </c:pt>
                <c:pt idx="175">
                  <c:v>-18.064499999999999</c:v>
                </c:pt>
                <c:pt idx="176">
                  <c:v>-18.1587</c:v>
                </c:pt>
                <c:pt idx="177">
                  <c:v>-17.826499999999999</c:v>
                </c:pt>
                <c:pt idx="178">
                  <c:v>-18.7103</c:v>
                </c:pt>
                <c:pt idx="179">
                  <c:v>-15.448600000000001</c:v>
                </c:pt>
                <c:pt idx="180">
                  <c:v>-18.7454</c:v>
                </c:pt>
                <c:pt idx="181">
                  <c:v>-20.336500000000001</c:v>
                </c:pt>
                <c:pt idx="182">
                  <c:v>-18.9252</c:v>
                </c:pt>
                <c:pt idx="183">
                  <c:v>-19.575399999999998</c:v>
                </c:pt>
                <c:pt idx="184">
                  <c:v>-19.1358</c:v>
                </c:pt>
                <c:pt idx="185">
                  <c:v>-18.389600000000002</c:v>
                </c:pt>
                <c:pt idx="186">
                  <c:v>-16.8718</c:v>
                </c:pt>
                <c:pt idx="187">
                  <c:v>-15.5593</c:v>
                </c:pt>
                <c:pt idx="188">
                  <c:v>-15.9483</c:v>
                </c:pt>
                <c:pt idx="189">
                  <c:v>-16.099599999999999</c:v>
                </c:pt>
                <c:pt idx="190">
                  <c:v>-16.348600000000001</c:v>
                </c:pt>
                <c:pt idx="191">
                  <c:v>-17.384599999999999</c:v>
                </c:pt>
                <c:pt idx="192">
                  <c:v>-16.6051</c:v>
                </c:pt>
                <c:pt idx="193">
                  <c:v>-17.899100000000001</c:v>
                </c:pt>
                <c:pt idx="194">
                  <c:v>-16.925699999999999</c:v>
                </c:pt>
                <c:pt idx="195">
                  <c:v>-18.071100000000001</c:v>
                </c:pt>
                <c:pt idx="196">
                  <c:v>-17.4038</c:v>
                </c:pt>
                <c:pt idx="197">
                  <c:v>-18.041599999999999</c:v>
                </c:pt>
                <c:pt idx="198">
                  <c:v>-17.633400000000002</c:v>
                </c:pt>
                <c:pt idx="199">
                  <c:v>-17.7789</c:v>
                </c:pt>
                <c:pt idx="200">
                  <c:v>-17.724799999999998</c:v>
                </c:pt>
                <c:pt idx="201">
                  <c:v>-17.967500000000001</c:v>
                </c:pt>
                <c:pt idx="202">
                  <c:v>-17.124300000000002</c:v>
                </c:pt>
                <c:pt idx="203">
                  <c:v>-18.203700000000001</c:v>
                </c:pt>
                <c:pt idx="204">
                  <c:v>-17.694800000000001</c:v>
                </c:pt>
                <c:pt idx="205">
                  <c:v>-17.1401</c:v>
                </c:pt>
                <c:pt idx="206">
                  <c:v>-18.300799999999999</c:v>
                </c:pt>
                <c:pt idx="207">
                  <c:v>-18.218399999999999</c:v>
                </c:pt>
                <c:pt idx="208">
                  <c:v>-16.9313</c:v>
                </c:pt>
                <c:pt idx="209">
                  <c:v>-18.604600000000001</c:v>
                </c:pt>
                <c:pt idx="210">
                  <c:v>-17.496400000000001</c:v>
                </c:pt>
                <c:pt idx="211">
                  <c:v>-17.353200000000001</c:v>
                </c:pt>
                <c:pt idx="212">
                  <c:v>-17.677399999999999</c:v>
                </c:pt>
                <c:pt idx="213">
                  <c:v>-16.098600000000001</c:v>
                </c:pt>
                <c:pt idx="214">
                  <c:v>-17.7699</c:v>
                </c:pt>
                <c:pt idx="215">
                  <c:v>-18.800899999999999</c:v>
                </c:pt>
                <c:pt idx="216">
                  <c:v>-19.770199999999999</c:v>
                </c:pt>
                <c:pt idx="217">
                  <c:v>-19.703099999999999</c:v>
                </c:pt>
                <c:pt idx="218">
                  <c:v>-19.960599999999999</c:v>
                </c:pt>
                <c:pt idx="219">
                  <c:v>-19.046800000000001</c:v>
                </c:pt>
                <c:pt idx="220">
                  <c:v>-17.771100000000001</c:v>
                </c:pt>
                <c:pt idx="221">
                  <c:v>-18.825700000000001</c:v>
                </c:pt>
                <c:pt idx="222">
                  <c:v>-18.234100000000002</c:v>
                </c:pt>
                <c:pt idx="223">
                  <c:v>-19.758400000000002</c:v>
                </c:pt>
                <c:pt idx="224">
                  <c:v>-20.015699999999999</c:v>
                </c:pt>
                <c:pt idx="225">
                  <c:v>-19.678100000000001</c:v>
                </c:pt>
                <c:pt idx="226">
                  <c:v>-18.414400000000001</c:v>
                </c:pt>
                <c:pt idx="227">
                  <c:v>-17.879200000000001</c:v>
                </c:pt>
                <c:pt idx="228">
                  <c:v>-17.197199999999999</c:v>
                </c:pt>
                <c:pt idx="229">
                  <c:v>-19.5228</c:v>
                </c:pt>
                <c:pt idx="230">
                  <c:v>-17.334800000000001</c:v>
                </c:pt>
                <c:pt idx="231">
                  <c:v>-18.9572</c:v>
                </c:pt>
                <c:pt idx="232">
                  <c:v>-18.865300000000001</c:v>
                </c:pt>
                <c:pt idx="233">
                  <c:v>-17.145900000000001</c:v>
                </c:pt>
                <c:pt idx="234">
                  <c:v>-17.9178</c:v>
                </c:pt>
                <c:pt idx="235">
                  <c:v>-18.2806</c:v>
                </c:pt>
                <c:pt idx="236">
                  <c:v>-19.577000000000002</c:v>
                </c:pt>
                <c:pt idx="237">
                  <c:v>-19.3185</c:v>
                </c:pt>
                <c:pt idx="238">
                  <c:v>-20.639800000000001</c:v>
                </c:pt>
                <c:pt idx="239">
                  <c:v>-19.553100000000001</c:v>
                </c:pt>
                <c:pt idx="240">
                  <c:v>-18.9878</c:v>
                </c:pt>
                <c:pt idx="241">
                  <c:v>-18.323599999999999</c:v>
                </c:pt>
                <c:pt idx="242">
                  <c:v>-19.716000000000001</c:v>
                </c:pt>
                <c:pt idx="243">
                  <c:v>-19.682099999999998</c:v>
                </c:pt>
                <c:pt idx="244">
                  <c:v>-21.8307</c:v>
                </c:pt>
                <c:pt idx="245">
                  <c:v>-19.042899999999999</c:v>
                </c:pt>
                <c:pt idx="246">
                  <c:v>-19.404</c:v>
                </c:pt>
                <c:pt idx="247">
                  <c:v>-21.252700000000001</c:v>
                </c:pt>
                <c:pt idx="248">
                  <c:v>-20.4452</c:v>
                </c:pt>
                <c:pt idx="249">
                  <c:v>-19.484000000000002</c:v>
                </c:pt>
                <c:pt idx="250">
                  <c:v>-20.141200000000001</c:v>
                </c:pt>
                <c:pt idx="251">
                  <c:v>-18.296500000000002</c:v>
                </c:pt>
                <c:pt idx="252">
                  <c:v>-19.8691</c:v>
                </c:pt>
                <c:pt idx="253">
                  <c:v>-21.284300000000002</c:v>
                </c:pt>
                <c:pt idx="254">
                  <c:v>-19.895199999999999</c:v>
                </c:pt>
                <c:pt idx="255">
                  <c:v>-22.093</c:v>
                </c:pt>
                <c:pt idx="256">
                  <c:v>-20.2545</c:v>
                </c:pt>
                <c:pt idx="257">
                  <c:v>-18.61</c:v>
                </c:pt>
                <c:pt idx="258">
                  <c:v>-19.4603</c:v>
                </c:pt>
                <c:pt idx="259">
                  <c:v>-21.2194</c:v>
                </c:pt>
                <c:pt idx="260">
                  <c:v>-20.899000000000001</c:v>
                </c:pt>
                <c:pt idx="261">
                  <c:v>-21.126799999999999</c:v>
                </c:pt>
                <c:pt idx="262">
                  <c:v>-21.332599999999999</c:v>
                </c:pt>
                <c:pt idx="263">
                  <c:v>-19.827300000000001</c:v>
                </c:pt>
                <c:pt idx="264">
                  <c:v>-20.049399999999999</c:v>
                </c:pt>
                <c:pt idx="265">
                  <c:v>-18.419</c:v>
                </c:pt>
                <c:pt idx="266">
                  <c:v>-18.87</c:v>
                </c:pt>
                <c:pt idx="267">
                  <c:v>-19.613399999999999</c:v>
                </c:pt>
                <c:pt idx="268">
                  <c:v>-22.0198</c:v>
                </c:pt>
                <c:pt idx="269">
                  <c:v>-23.071300000000001</c:v>
                </c:pt>
                <c:pt idx="270">
                  <c:v>-21.671600000000002</c:v>
                </c:pt>
                <c:pt idx="271">
                  <c:v>-22.294</c:v>
                </c:pt>
                <c:pt idx="272">
                  <c:v>-22.080500000000001</c:v>
                </c:pt>
                <c:pt idx="273">
                  <c:v>-20.567499999999999</c:v>
                </c:pt>
                <c:pt idx="274">
                  <c:v>-22.7302</c:v>
                </c:pt>
                <c:pt idx="275">
                  <c:v>-22.1435</c:v>
                </c:pt>
                <c:pt idx="276">
                  <c:v>-22.362300000000001</c:v>
                </c:pt>
                <c:pt idx="277">
                  <c:v>-25.4892</c:v>
                </c:pt>
                <c:pt idx="278">
                  <c:v>-23.565000000000001</c:v>
                </c:pt>
                <c:pt idx="279">
                  <c:v>-23.048500000000001</c:v>
                </c:pt>
                <c:pt idx="280">
                  <c:v>-22.260100000000001</c:v>
                </c:pt>
                <c:pt idx="281">
                  <c:v>-21.223500000000001</c:v>
                </c:pt>
                <c:pt idx="282">
                  <c:v>-21.1982</c:v>
                </c:pt>
                <c:pt idx="283">
                  <c:v>-21.7029</c:v>
                </c:pt>
                <c:pt idx="284">
                  <c:v>-21.6966</c:v>
                </c:pt>
                <c:pt idx="285">
                  <c:v>-23.187899999999999</c:v>
                </c:pt>
                <c:pt idx="286">
                  <c:v>-23.2956</c:v>
                </c:pt>
                <c:pt idx="287">
                  <c:v>-23.188600000000001</c:v>
                </c:pt>
                <c:pt idx="288">
                  <c:v>-21.275200000000002</c:v>
                </c:pt>
                <c:pt idx="289">
                  <c:v>-22.515699999999999</c:v>
                </c:pt>
                <c:pt idx="290">
                  <c:v>-22.422000000000001</c:v>
                </c:pt>
                <c:pt idx="291">
                  <c:v>-20.835699999999999</c:v>
                </c:pt>
                <c:pt idx="292">
                  <c:v>-22.172599999999999</c:v>
                </c:pt>
                <c:pt idx="293">
                  <c:v>-21.653700000000001</c:v>
                </c:pt>
                <c:pt idx="294">
                  <c:v>-22.9984</c:v>
                </c:pt>
                <c:pt idx="295">
                  <c:v>-22.098800000000001</c:v>
                </c:pt>
                <c:pt idx="296">
                  <c:v>-21.165700000000001</c:v>
                </c:pt>
                <c:pt idx="297">
                  <c:v>-21.847300000000001</c:v>
                </c:pt>
                <c:pt idx="298">
                  <c:v>-21.403300000000002</c:v>
                </c:pt>
                <c:pt idx="299">
                  <c:v>-22.495999999999999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C3E-1A4D-9909-2562B8D24E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Capture Price (EUR/MWh)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P50/P90/P99 at Key Project Horizons — DK1 Primary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Simulation!$L$2</c:f>
              <c:strCache>
                <c:ptCount val="1"/>
                <c:pt idx="0">
                  <c:v>P50</c:v>
                </c:pt>
              </c:strCache>
            </c:strRef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Simulation!$L$3:$L$7</c:f>
              <c:numCache>
                <c:formatCode>General</c:formatCode>
                <c:ptCount val="5"/>
                <c:pt idx="0">
                  <c:v>62.42</c:v>
                </c:pt>
                <c:pt idx="1">
                  <c:v>60.67</c:v>
                </c:pt>
                <c:pt idx="2">
                  <c:v>58.52</c:v>
                </c:pt>
                <c:pt idx="3">
                  <c:v>57.43</c:v>
                </c:pt>
                <c:pt idx="4">
                  <c:v>54.79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79B-1241-B0A9-6A3C20B61DC7}"/>
            </c:ext>
          </c:extLst>
        </c:ser>
        <c:ser>
          <c:idx val="1"/>
          <c:order val="1"/>
          <c:tx>
            <c:strRef>
              <c:f>Simulation!$M$2</c:f>
              <c:strCache>
                <c:ptCount val="1"/>
                <c:pt idx="0">
                  <c:v>P90</c:v>
                </c:pt>
              </c:strCache>
            </c:strRef>
          </c:tx>
          <c:spPr>
            <a:solidFill>
              <a:srgbClr val="FF8C00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Simulation!$M$3:$M$7</c:f>
              <c:numCache>
                <c:formatCode>General</c:formatCode>
                <c:ptCount val="5"/>
                <c:pt idx="0">
                  <c:v>19.97</c:v>
                </c:pt>
                <c:pt idx="1">
                  <c:v>18.27</c:v>
                </c:pt>
                <c:pt idx="2">
                  <c:v>16.52</c:v>
                </c:pt>
                <c:pt idx="3">
                  <c:v>14.71</c:v>
                </c:pt>
                <c:pt idx="4">
                  <c:v>12.55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679B-1241-B0A9-6A3C20B61DC7}"/>
            </c:ext>
          </c:extLst>
        </c:ser>
        <c:ser>
          <c:idx val="2"/>
          <c:order val="2"/>
          <c:tx>
            <c:strRef>
              <c:f>Simulation!$N$2</c:f>
              <c:strCache>
                <c:ptCount val="1"/>
                <c:pt idx="0">
                  <c:v>P99</c:v>
                </c:pt>
              </c:strCache>
            </c:strRef>
          </c:tx>
          <c:spPr>
            <a:solidFill>
              <a:srgbClr val="C00000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Simulation!$N$3:$N$7</c:f>
              <c:numCache>
                <c:formatCode>General</c:formatCode>
                <c:ptCount val="5"/>
                <c:pt idx="0">
                  <c:v>-14.85</c:v>
                </c:pt>
                <c:pt idx="1">
                  <c:v>-17.66</c:v>
                </c:pt>
                <c:pt idx="2">
                  <c:v>-15.45</c:v>
                </c:pt>
                <c:pt idx="3">
                  <c:v>-19.55</c:v>
                </c:pt>
                <c:pt idx="4">
                  <c:v>-22.5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679B-1241-B0A9-6A3C20B61D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Project Year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Capture Price (EUR/MWh)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MC Simulation - DK1 P50/P90/P99 Capture Price Paths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Simulation!$C$1</c:f>
              <c:strCache>
                <c:ptCount val="1"/>
                <c:pt idx="0">
                  <c:v>mu_capture</c:v>
                </c:pt>
              </c:strCache>
            </c:strRef>
          </c:tx>
          <c:spPr>
            <a:ln>
              <a:solidFill>
                <a:srgbClr val="70AD47"/>
              </a:solidFill>
              <a:prstDash val="solid"/>
            </a:ln>
          </c:spPr>
          <c:marker>
            <c:symbol val="none"/>
          </c:marker>
          <c:val>
            <c:numRef>
              <c:f>Simulation!$C$2:$C$301</c:f>
              <c:numCache>
                <c:formatCode>General</c:formatCode>
                <c:ptCount val="300"/>
                <c:pt idx="0">
                  <c:v>64.879900000000006</c:v>
                </c:pt>
                <c:pt idx="1">
                  <c:v>64.845699999999994</c:v>
                </c:pt>
                <c:pt idx="2">
                  <c:v>64.811400000000006</c:v>
                </c:pt>
                <c:pt idx="3">
                  <c:v>64.777100000000004</c:v>
                </c:pt>
                <c:pt idx="4">
                  <c:v>64.742900000000006</c:v>
                </c:pt>
                <c:pt idx="5">
                  <c:v>64.708600000000004</c:v>
                </c:pt>
                <c:pt idx="6">
                  <c:v>64.674400000000006</c:v>
                </c:pt>
                <c:pt idx="7">
                  <c:v>64.640100000000004</c:v>
                </c:pt>
                <c:pt idx="8">
                  <c:v>64.605800000000002</c:v>
                </c:pt>
                <c:pt idx="9">
                  <c:v>64.571600000000004</c:v>
                </c:pt>
                <c:pt idx="10">
                  <c:v>64.537300000000002</c:v>
                </c:pt>
                <c:pt idx="11">
                  <c:v>64.503</c:v>
                </c:pt>
                <c:pt idx="12">
                  <c:v>64.468800000000002</c:v>
                </c:pt>
                <c:pt idx="13">
                  <c:v>64.4345</c:v>
                </c:pt>
                <c:pt idx="14">
                  <c:v>64.400300000000001</c:v>
                </c:pt>
                <c:pt idx="15">
                  <c:v>64.366</c:v>
                </c:pt>
                <c:pt idx="16">
                  <c:v>64.331699999999998</c:v>
                </c:pt>
                <c:pt idx="17">
                  <c:v>64.297499999999999</c:v>
                </c:pt>
                <c:pt idx="18">
                  <c:v>64.263199999999998</c:v>
                </c:pt>
                <c:pt idx="19">
                  <c:v>64.228999999999999</c:v>
                </c:pt>
                <c:pt idx="20">
                  <c:v>64.194699999999997</c:v>
                </c:pt>
                <c:pt idx="21">
                  <c:v>64.160399999999996</c:v>
                </c:pt>
                <c:pt idx="22">
                  <c:v>64.126199999999997</c:v>
                </c:pt>
                <c:pt idx="23">
                  <c:v>64.091899999999995</c:v>
                </c:pt>
                <c:pt idx="24">
                  <c:v>64.057599999999994</c:v>
                </c:pt>
                <c:pt idx="25">
                  <c:v>64.023399999999995</c:v>
                </c:pt>
                <c:pt idx="26">
                  <c:v>63.989100000000001</c:v>
                </c:pt>
                <c:pt idx="27">
                  <c:v>63.954900000000002</c:v>
                </c:pt>
                <c:pt idx="28">
                  <c:v>63.9206</c:v>
                </c:pt>
                <c:pt idx="29">
                  <c:v>63.886299999999999</c:v>
                </c:pt>
                <c:pt idx="30">
                  <c:v>63.8521</c:v>
                </c:pt>
                <c:pt idx="31">
                  <c:v>63.817799999999998</c:v>
                </c:pt>
                <c:pt idx="32">
                  <c:v>63.7836</c:v>
                </c:pt>
                <c:pt idx="33">
                  <c:v>63.749299999999998</c:v>
                </c:pt>
                <c:pt idx="34">
                  <c:v>63.715000000000003</c:v>
                </c:pt>
                <c:pt idx="35">
                  <c:v>63.680799999999998</c:v>
                </c:pt>
                <c:pt idx="36">
                  <c:v>63.646500000000003</c:v>
                </c:pt>
                <c:pt idx="37">
                  <c:v>63.612200000000001</c:v>
                </c:pt>
                <c:pt idx="38">
                  <c:v>63.578000000000003</c:v>
                </c:pt>
                <c:pt idx="39">
                  <c:v>63.543700000000001</c:v>
                </c:pt>
                <c:pt idx="40">
                  <c:v>63.509500000000003</c:v>
                </c:pt>
                <c:pt idx="41">
                  <c:v>63.475200000000001</c:v>
                </c:pt>
                <c:pt idx="42">
                  <c:v>63.440899999999999</c:v>
                </c:pt>
                <c:pt idx="43">
                  <c:v>63.406700000000001</c:v>
                </c:pt>
                <c:pt idx="44">
                  <c:v>63.372399999999999</c:v>
                </c:pt>
                <c:pt idx="45">
                  <c:v>63.338200000000001</c:v>
                </c:pt>
                <c:pt idx="46">
                  <c:v>63.303899999999999</c:v>
                </c:pt>
                <c:pt idx="47">
                  <c:v>63.269599999999997</c:v>
                </c:pt>
                <c:pt idx="48">
                  <c:v>63.235399999999998</c:v>
                </c:pt>
                <c:pt idx="49">
                  <c:v>63.201099999999997</c:v>
                </c:pt>
                <c:pt idx="50">
                  <c:v>63.166899999999998</c:v>
                </c:pt>
                <c:pt idx="51">
                  <c:v>63.132599999999996</c:v>
                </c:pt>
                <c:pt idx="52">
                  <c:v>63.098300000000002</c:v>
                </c:pt>
                <c:pt idx="53">
                  <c:v>63.064100000000003</c:v>
                </c:pt>
                <c:pt idx="54">
                  <c:v>63.029800000000002</c:v>
                </c:pt>
                <c:pt idx="55">
                  <c:v>62.9955</c:v>
                </c:pt>
                <c:pt idx="56">
                  <c:v>62.961300000000001</c:v>
                </c:pt>
                <c:pt idx="57">
                  <c:v>62.927</c:v>
                </c:pt>
                <c:pt idx="58">
                  <c:v>62.892800000000001</c:v>
                </c:pt>
                <c:pt idx="59">
                  <c:v>62.858499999999999</c:v>
                </c:pt>
                <c:pt idx="60">
                  <c:v>62.824199999999998</c:v>
                </c:pt>
                <c:pt idx="61">
                  <c:v>62.79</c:v>
                </c:pt>
                <c:pt idx="62">
                  <c:v>62.755699999999997</c:v>
                </c:pt>
                <c:pt idx="63">
                  <c:v>62.721499999999999</c:v>
                </c:pt>
                <c:pt idx="64">
                  <c:v>62.687199999999997</c:v>
                </c:pt>
                <c:pt idx="65">
                  <c:v>62.652900000000002</c:v>
                </c:pt>
                <c:pt idx="66">
                  <c:v>62.618699999999997</c:v>
                </c:pt>
                <c:pt idx="67">
                  <c:v>62.584400000000002</c:v>
                </c:pt>
                <c:pt idx="68">
                  <c:v>62.5501</c:v>
                </c:pt>
                <c:pt idx="69">
                  <c:v>62.515900000000002</c:v>
                </c:pt>
                <c:pt idx="70">
                  <c:v>62.4816</c:v>
                </c:pt>
                <c:pt idx="71">
                  <c:v>62.447400000000002</c:v>
                </c:pt>
                <c:pt idx="72">
                  <c:v>62.4131</c:v>
                </c:pt>
                <c:pt idx="73">
                  <c:v>62.378799999999998</c:v>
                </c:pt>
                <c:pt idx="74">
                  <c:v>62.3446</c:v>
                </c:pt>
                <c:pt idx="75">
                  <c:v>62.310299999999998</c:v>
                </c:pt>
                <c:pt idx="76">
                  <c:v>62.2761</c:v>
                </c:pt>
                <c:pt idx="77">
                  <c:v>62.241799999999998</c:v>
                </c:pt>
                <c:pt idx="78">
                  <c:v>62.207500000000003</c:v>
                </c:pt>
                <c:pt idx="79">
                  <c:v>62.173299999999998</c:v>
                </c:pt>
                <c:pt idx="80">
                  <c:v>62.139000000000003</c:v>
                </c:pt>
                <c:pt idx="81">
                  <c:v>62.104700000000001</c:v>
                </c:pt>
                <c:pt idx="82">
                  <c:v>62.070500000000003</c:v>
                </c:pt>
                <c:pt idx="83">
                  <c:v>62.036200000000001</c:v>
                </c:pt>
                <c:pt idx="84">
                  <c:v>62.002000000000002</c:v>
                </c:pt>
                <c:pt idx="85">
                  <c:v>61.967700000000001</c:v>
                </c:pt>
                <c:pt idx="86">
                  <c:v>61.933399999999999</c:v>
                </c:pt>
                <c:pt idx="87">
                  <c:v>61.8992</c:v>
                </c:pt>
                <c:pt idx="88">
                  <c:v>61.864899999999999</c:v>
                </c:pt>
                <c:pt idx="89">
                  <c:v>61.8307</c:v>
                </c:pt>
                <c:pt idx="90">
                  <c:v>61.796399999999998</c:v>
                </c:pt>
                <c:pt idx="91">
                  <c:v>61.762099999999997</c:v>
                </c:pt>
                <c:pt idx="92">
                  <c:v>61.727899999999998</c:v>
                </c:pt>
                <c:pt idx="93">
                  <c:v>61.693600000000004</c:v>
                </c:pt>
                <c:pt idx="94">
                  <c:v>61.659300000000002</c:v>
                </c:pt>
                <c:pt idx="95">
                  <c:v>61.625100000000003</c:v>
                </c:pt>
                <c:pt idx="96">
                  <c:v>61.590800000000002</c:v>
                </c:pt>
                <c:pt idx="97">
                  <c:v>61.556600000000003</c:v>
                </c:pt>
                <c:pt idx="98">
                  <c:v>61.522300000000001</c:v>
                </c:pt>
                <c:pt idx="99">
                  <c:v>61.488</c:v>
                </c:pt>
                <c:pt idx="100">
                  <c:v>61.453800000000001</c:v>
                </c:pt>
                <c:pt idx="101">
                  <c:v>61.419499999999999</c:v>
                </c:pt>
                <c:pt idx="102">
                  <c:v>61.385300000000001</c:v>
                </c:pt>
                <c:pt idx="103">
                  <c:v>61.350999999999999</c:v>
                </c:pt>
                <c:pt idx="104">
                  <c:v>61.316699999999997</c:v>
                </c:pt>
                <c:pt idx="105">
                  <c:v>61.282499999999999</c:v>
                </c:pt>
                <c:pt idx="106">
                  <c:v>61.248199999999997</c:v>
                </c:pt>
                <c:pt idx="107">
                  <c:v>61.213900000000002</c:v>
                </c:pt>
                <c:pt idx="108">
                  <c:v>61.179699999999997</c:v>
                </c:pt>
                <c:pt idx="109">
                  <c:v>61.145400000000002</c:v>
                </c:pt>
                <c:pt idx="110">
                  <c:v>61.111199999999997</c:v>
                </c:pt>
                <c:pt idx="111">
                  <c:v>61.076900000000002</c:v>
                </c:pt>
                <c:pt idx="112">
                  <c:v>61.0426</c:v>
                </c:pt>
                <c:pt idx="113">
                  <c:v>61.008400000000002</c:v>
                </c:pt>
                <c:pt idx="114">
                  <c:v>60.9741</c:v>
                </c:pt>
                <c:pt idx="115">
                  <c:v>60.939900000000002</c:v>
                </c:pt>
                <c:pt idx="116">
                  <c:v>60.9056</c:v>
                </c:pt>
                <c:pt idx="117">
                  <c:v>60.871299999999998</c:v>
                </c:pt>
                <c:pt idx="118">
                  <c:v>60.8371</c:v>
                </c:pt>
                <c:pt idx="119">
                  <c:v>60.802799999999998</c:v>
                </c:pt>
                <c:pt idx="120">
                  <c:v>60.768500000000003</c:v>
                </c:pt>
                <c:pt idx="121">
                  <c:v>60.734299999999998</c:v>
                </c:pt>
                <c:pt idx="122">
                  <c:v>60.7</c:v>
                </c:pt>
                <c:pt idx="123">
                  <c:v>60.665799999999997</c:v>
                </c:pt>
                <c:pt idx="124">
                  <c:v>60.631500000000003</c:v>
                </c:pt>
                <c:pt idx="125">
                  <c:v>60.597200000000001</c:v>
                </c:pt>
                <c:pt idx="126">
                  <c:v>60.563000000000002</c:v>
                </c:pt>
                <c:pt idx="127">
                  <c:v>60.528700000000001</c:v>
                </c:pt>
                <c:pt idx="128">
                  <c:v>60.494500000000002</c:v>
                </c:pt>
                <c:pt idx="129">
                  <c:v>60.4602</c:v>
                </c:pt>
                <c:pt idx="130">
                  <c:v>60.425899999999999</c:v>
                </c:pt>
                <c:pt idx="131">
                  <c:v>60.3917</c:v>
                </c:pt>
                <c:pt idx="132">
                  <c:v>60.357399999999998</c:v>
                </c:pt>
                <c:pt idx="133">
                  <c:v>60.323099999999997</c:v>
                </c:pt>
                <c:pt idx="134">
                  <c:v>60.288899999999998</c:v>
                </c:pt>
                <c:pt idx="135">
                  <c:v>60.254600000000003</c:v>
                </c:pt>
                <c:pt idx="136">
                  <c:v>60.220399999999998</c:v>
                </c:pt>
                <c:pt idx="137">
                  <c:v>60.186100000000003</c:v>
                </c:pt>
                <c:pt idx="138">
                  <c:v>60.151800000000001</c:v>
                </c:pt>
                <c:pt idx="139">
                  <c:v>60.117600000000003</c:v>
                </c:pt>
                <c:pt idx="140">
                  <c:v>60.083300000000001</c:v>
                </c:pt>
                <c:pt idx="141">
                  <c:v>60.049100000000003</c:v>
                </c:pt>
                <c:pt idx="142">
                  <c:v>60.014800000000001</c:v>
                </c:pt>
                <c:pt idx="143">
                  <c:v>59.980499999999999</c:v>
                </c:pt>
                <c:pt idx="144">
                  <c:v>59.946300000000001</c:v>
                </c:pt>
                <c:pt idx="145">
                  <c:v>59.911999999999999</c:v>
                </c:pt>
                <c:pt idx="146">
                  <c:v>59.877699999999997</c:v>
                </c:pt>
                <c:pt idx="147">
                  <c:v>59.843499999999999</c:v>
                </c:pt>
                <c:pt idx="148">
                  <c:v>59.809199999999997</c:v>
                </c:pt>
                <c:pt idx="149">
                  <c:v>59.774999999999999</c:v>
                </c:pt>
                <c:pt idx="150">
                  <c:v>59.740699999999997</c:v>
                </c:pt>
                <c:pt idx="151">
                  <c:v>59.706400000000002</c:v>
                </c:pt>
                <c:pt idx="152">
                  <c:v>59.672199999999997</c:v>
                </c:pt>
                <c:pt idx="153">
                  <c:v>59.637900000000002</c:v>
                </c:pt>
                <c:pt idx="154">
                  <c:v>59.603700000000003</c:v>
                </c:pt>
                <c:pt idx="155">
                  <c:v>59.569400000000002</c:v>
                </c:pt>
                <c:pt idx="156">
                  <c:v>59.5351</c:v>
                </c:pt>
                <c:pt idx="157">
                  <c:v>59.500900000000001</c:v>
                </c:pt>
                <c:pt idx="158">
                  <c:v>59.4666</c:v>
                </c:pt>
                <c:pt idx="159">
                  <c:v>59.432299999999998</c:v>
                </c:pt>
                <c:pt idx="160">
                  <c:v>59.398099999999999</c:v>
                </c:pt>
                <c:pt idx="161">
                  <c:v>59.363799999999998</c:v>
                </c:pt>
                <c:pt idx="162">
                  <c:v>59.329599999999999</c:v>
                </c:pt>
                <c:pt idx="163">
                  <c:v>59.295299999999997</c:v>
                </c:pt>
                <c:pt idx="164">
                  <c:v>59.261000000000003</c:v>
                </c:pt>
                <c:pt idx="165">
                  <c:v>59.226799999999997</c:v>
                </c:pt>
                <c:pt idx="166">
                  <c:v>59.192500000000003</c:v>
                </c:pt>
                <c:pt idx="167">
                  <c:v>59.158299999999997</c:v>
                </c:pt>
                <c:pt idx="168">
                  <c:v>59.124000000000002</c:v>
                </c:pt>
                <c:pt idx="169">
                  <c:v>59.089700000000001</c:v>
                </c:pt>
                <c:pt idx="170">
                  <c:v>59.055500000000002</c:v>
                </c:pt>
                <c:pt idx="171">
                  <c:v>59.0212</c:v>
                </c:pt>
                <c:pt idx="172">
                  <c:v>58.986899999999999</c:v>
                </c:pt>
                <c:pt idx="173">
                  <c:v>58.9527</c:v>
                </c:pt>
                <c:pt idx="174">
                  <c:v>58.918399999999998</c:v>
                </c:pt>
                <c:pt idx="175">
                  <c:v>58.8842</c:v>
                </c:pt>
                <c:pt idx="176">
                  <c:v>58.849899999999998</c:v>
                </c:pt>
                <c:pt idx="177">
                  <c:v>58.815600000000003</c:v>
                </c:pt>
                <c:pt idx="178">
                  <c:v>58.781399999999998</c:v>
                </c:pt>
                <c:pt idx="179">
                  <c:v>58.747100000000003</c:v>
                </c:pt>
                <c:pt idx="180">
                  <c:v>58.712899999999998</c:v>
                </c:pt>
                <c:pt idx="181">
                  <c:v>58.678600000000003</c:v>
                </c:pt>
                <c:pt idx="182">
                  <c:v>58.644300000000001</c:v>
                </c:pt>
                <c:pt idx="183">
                  <c:v>58.610100000000003</c:v>
                </c:pt>
                <c:pt idx="184">
                  <c:v>58.575800000000001</c:v>
                </c:pt>
                <c:pt idx="185">
                  <c:v>58.541499999999999</c:v>
                </c:pt>
                <c:pt idx="186">
                  <c:v>58.507300000000001</c:v>
                </c:pt>
                <c:pt idx="187">
                  <c:v>58.472999999999999</c:v>
                </c:pt>
                <c:pt idx="188">
                  <c:v>58.438800000000001</c:v>
                </c:pt>
                <c:pt idx="189">
                  <c:v>58.404499999999999</c:v>
                </c:pt>
                <c:pt idx="190">
                  <c:v>58.370199999999997</c:v>
                </c:pt>
                <c:pt idx="191">
                  <c:v>58.335999999999999</c:v>
                </c:pt>
                <c:pt idx="192">
                  <c:v>58.301699999999997</c:v>
                </c:pt>
                <c:pt idx="193">
                  <c:v>58.267499999999998</c:v>
                </c:pt>
                <c:pt idx="194">
                  <c:v>58.233199999999997</c:v>
                </c:pt>
                <c:pt idx="195">
                  <c:v>58.198900000000002</c:v>
                </c:pt>
                <c:pt idx="196">
                  <c:v>58.164700000000003</c:v>
                </c:pt>
                <c:pt idx="197">
                  <c:v>58.130400000000002</c:v>
                </c:pt>
                <c:pt idx="198">
                  <c:v>58.0961</c:v>
                </c:pt>
                <c:pt idx="199">
                  <c:v>58.061900000000001</c:v>
                </c:pt>
                <c:pt idx="200">
                  <c:v>58.0276</c:v>
                </c:pt>
                <c:pt idx="201">
                  <c:v>57.993400000000001</c:v>
                </c:pt>
                <c:pt idx="202">
                  <c:v>57.959099999999999</c:v>
                </c:pt>
                <c:pt idx="203">
                  <c:v>57.924799999999998</c:v>
                </c:pt>
                <c:pt idx="204">
                  <c:v>57.890599999999999</c:v>
                </c:pt>
                <c:pt idx="205">
                  <c:v>57.856299999999997</c:v>
                </c:pt>
                <c:pt idx="206">
                  <c:v>57.822099999999999</c:v>
                </c:pt>
                <c:pt idx="207">
                  <c:v>57.787799999999997</c:v>
                </c:pt>
                <c:pt idx="208">
                  <c:v>57.753500000000003</c:v>
                </c:pt>
                <c:pt idx="209">
                  <c:v>57.719299999999997</c:v>
                </c:pt>
                <c:pt idx="210">
                  <c:v>57.685000000000002</c:v>
                </c:pt>
                <c:pt idx="211">
                  <c:v>57.650700000000001</c:v>
                </c:pt>
                <c:pt idx="212">
                  <c:v>57.616500000000002</c:v>
                </c:pt>
                <c:pt idx="213">
                  <c:v>57.5822</c:v>
                </c:pt>
                <c:pt idx="214">
                  <c:v>57.548000000000002</c:v>
                </c:pt>
                <c:pt idx="215">
                  <c:v>57.5137</c:v>
                </c:pt>
                <c:pt idx="216">
                  <c:v>57.479399999999998</c:v>
                </c:pt>
                <c:pt idx="217">
                  <c:v>57.4452</c:v>
                </c:pt>
                <c:pt idx="218">
                  <c:v>57.410899999999998</c:v>
                </c:pt>
                <c:pt idx="219">
                  <c:v>57.3767</c:v>
                </c:pt>
                <c:pt idx="220">
                  <c:v>57.342399999999998</c:v>
                </c:pt>
                <c:pt idx="221">
                  <c:v>57.308100000000003</c:v>
                </c:pt>
                <c:pt idx="222">
                  <c:v>57.273899999999998</c:v>
                </c:pt>
                <c:pt idx="223">
                  <c:v>57.239600000000003</c:v>
                </c:pt>
                <c:pt idx="224">
                  <c:v>57.205300000000001</c:v>
                </c:pt>
                <c:pt idx="225">
                  <c:v>57.171100000000003</c:v>
                </c:pt>
                <c:pt idx="226">
                  <c:v>57.136800000000001</c:v>
                </c:pt>
                <c:pt idx="227">
                  <c:v>57.102600000000002</c:v>
                </c:pt>
                <c:pt idx="228">
                  <c:v>57.068300000000001</c:v>
                </c:pt>
                <c:pt idx="229">
                  <c:v>57.033999999999999</c:v>
                </c:pt>
                <c:pt idx="230">
                  <c:v>56.9998</c:v>
                </c:pt>
                <c:pt idx="231">
                  <c:v>56.965499999999999</c:v>
                </c:pt>
                <c:pt idx="232">
                  <c:v>56.9313</c:v>
                </c:pt>
                <c:pt idx="233">
                  <c:v>56.896999999999998</c:v>
                </c:pt>
                <c:pt idx="234">
                  <c:v>56.862699999999997</c:v>
                </c:pt>
                <c:pt idx="235">
                  <c:v>56.828499999999998</c:v>
                </c:pt>
                <c:pt idx="236">
                  <c:v>56.794199999999996</c:v>
                </c:pt>
                <c:pt idx="237">
                  <c:v>56.759900000000002</c:v>
                </c:pt>
                <c:pt idx="238">
                  <c:v>56.725700000000003</c:v>
                </c:pt>
                <c:pt idx="239">
                  <c:v>56.691400000000002</c:v>
                </c:pt>
                <c:pt idx="240">
                  <c:v>56.657200000000003</c:v>
                </c:pt>
                <c:pt idx="241">
                  <c:v>56.622900000000001</c:v>
                </c:pt>
                <c:pt idx="242">
                  <c:v>56.5886</c:v>
                </c:pt>
                <c:pt idx="243">
                  <c:v>56.554400000000001</c:v>
                </c:pt>
                <c:pt idx="244">
                  <c:v>56.520099999999999</c:v>
                </c:pt>
                <c:pt idx="245">
                  <c:v>56.485900000000001</c:v>
                </c:pt>
                <c:pt idx="246">
                  <c:v>56.451599999999999</c:v>
                </c:pt>
                <c:pt idx="247">
                  <c:v>56.417299999999997</c:v>
                </c:pt>
                <c:pt idx="248">
                  <c:v>56.383099999999999</c:v>
                </c:pt>
                <c:pt idx="249">
                  <c:v>56.348799999999997</c:v>
                </c:pt>
                <c:pt idx="250">
                  <c:v>56.314500000000002</c:v>
                </c:pt>
                <c:pt idx="251">
                  <c:v>56.280299999999997</c:v>
                </c:pt>
                <c:pt idx="252">
                  <c:v>56.246000000000002</c:v>
                </c:pt>
                <c:pt idx="253">
                  <c:v>56.211799999999997</c:v>
                </c:pt>
                <c:pt idx="254">
                  <c:v>56.177500000000002</c:v>
                </c:pt>
                <c:pt idx="255">
                  <c:v>56.1432</c:v>
                </c:pt>
                <c:pt idx="256">
                  <c:v>56.109000000000002</c:v>
                </c:pt>
                <c:pt idx="257">
                  <c:v>56.0747</c:v>
                </c:pt>
                <c:pt idx="258">
                  <c:v>56.040500000000002</c:v>
                </c:pt>
                <c:pt idx="259">
                  <c:v>56.0062</c:v>
                </c:pt>
                <c:pt idx="260">
                  <c:v>55.971899999999998</c:v>
                </c:pt>
                <c:pt idx="261">
                  <c:v>55.9377</c:v>
                </c:pt>
                <c:pt idx="262">
                  <c:v>55.903399999999998</c:v>
                </c:pt>
                <c:pt idx="263">
                  <c:v>55.869100000000003</c:v>
                </c:pt>
                <c:pt idx="264">
                  <c:v>55.834899999999998</c:v>
                </c:pt>
                <c:pt idx="265">
                  <c:v>55.800600000000003</c:v>
                </c:pt>
                <c:pt idx="266">
                  <c:v>55.766399999999997</c:v>
                </c:pt>
                <c:pt idx="267">
                  <c:v>55.732100000000003</c:v>
                </c:pt>
                <c:pt idx="268">
                  <c:v>55.697800000000001</c:v>
                </c:pt>
                <c:pt idx="269">
                  <c:v>55.663600000000002</c:v>
                </c:pt>
                <c:pt idx="270">
                  <c:v>55.629300000000001</c:v>
                </c:pt>
                <c:pt idx="271">
                  <c:v>55.595100000000002</c:v>
                </c:pt>
                <c:pt idx="272">
                  <c:v>55.5608</c:v>
                </c:pt>
                <c:pt idx="273">
                  <c:v>55.526499999999999</c:v>
                </c:pt>
                <c:pt idx="274">
                  <c:v>55.4923</c:v>
                </c:pt>
                <c:pt idx="275">
                  <c:v>55.457999999999998</c:v>
                </c:pt>
                <c:pt idx="276">
                  <c:v>55.423699999999997</c:v>
                </c:pt>
                <c:pt idx="277">
                  <c:v>55.389499999999998</c:v>
                </c:pt>
                <c:pt idx="278">
                  <c:v>55.355200000000004</c:v>
                </c:pt>
                <c:pt idx="279">
                  <c:v>55.320999999999998</c:v>
                </c:pt>
                <c:pt idx="280">
                  <c:v>55.286700000000003</c:v>
                </c:pt>
                <c:pt idx="281">
                  <c:v>55.252400000000002</c:v>
                </c:pt>
                <c:pt idx="282">
                  <c:v>55.218200000000003</c:v>
                </c:pt>
                <c:pt idx="283">
                  <c:v>55.183900000000001</c:v>
                </c:pt>
                <c:pt idx="284">
                  <c:v>55.149700000000003</c:v>
                </c:pt>
                <c:pt idx="285">
                  <c:v>55.115400000000001</c:v>
                </c:pt>
                <c:pt idx="286">
                  <c:v>55.081099999999999</c:v>
                </c:pt>
                <c:pt idx="287">
                  <c:v>55.046900000000001</c:v>
                </c:pt>
                <c:pt idx="288">
                  <c:v>55.012599999999999</c:v>
                </c:pt>
                <c:pt idx="289">
                  <c:v>54.978299999999997</c:v>
                </c:pt>
                <c:pt idx="290">
                  <c:v>54.944099999999999</c:v>
                </c:pt>
                <c:pt idx="291">
                  <c:v>54.909799999999997</c:v>
                </c:pt>
                <c:pt idx="292">
                  <c:v>54.875599999999999</c:v>
                </c:pt>
                <c:pt idx="293">
                  <c:v>54.841299999999997</c:v>
                </c:pt>
                <c:pt idx="294">
                  <c:v>54.807000000000002</c:v>
                </c:pt>
                <c:pt idx="295">
                  <c:v>54.772799999999997</c:v>
                </c:pt>
                <c:pt idx="296">
                  <c:v>54.738500000000002</c:v>
                </c:pt>
                <c:pt idx="297">
                  <c:v>54.704300000000003</c:v>
                </c:pt>
                <c:pt idx="298">
                  <c:v>54.67</c:v>
                </c:pt>
                <c:pt idx="299">
                  <c:v>54.6357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01A-5946-9576-ECA13DF55590}"/>
            </c:ext>
          </c:extLst>
        </c:ser>
        <c:ser>
          <c:idx val="1"/>
          <c:order val="1"/>
          <c:tx>
            <c:strRef>
              <c:f>Simulation!$D$1</c:f>
              <c:strCache>
                <c:ptCount val="1"/>
                <c:pt idx="0">
                  <c:v>P50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Simulation!$D$2:$D$301</c:f>
              <c:numCache>
                <c:formatCode>General</c:formatCode>
                <c:ptCount val="300"/>
                <c:pt idx="0">
                  <c:v>68.294700000000006</c:v>
                </c:pt>
                <c:pt idx="1">
                  <c:v>67.801400000000001</c:v>
                </c:pt>
                <c:pt idx="2">
                  <c:v>67.715999999999994</c:v>
                </c:pt>
                <c:pt idx="3">
                  <c:v>67.0428</c:v>
                </c:pt>
                <c:pt idx="4">
                  <c:v>66.609099999999998</c:v>
                </c:pt>
                <c:pt idx="5">
                  <c:v>66.600399999999993</c:v>
                </c:pt>
                <c:pt idx="6">
                  <c:v>66.359899999999996</c:v>
                </c:pt>
                <c:pt idx="7">
                  <c:v>66.120599999999996</c:v>
                </c:pt>
                <c:pt idx="8">
                  <c:v>65.930499999999995</c:v>
                </c:pt>
                <c:pt idx="9">
                  <c:v>65.783900000000003</c:v>
                </c:pt>
                <c:pt idx="10">
                  <c:v>65.383499999999998</c:v>
                </c:pt>
                <c:pt idx="11">
                  <c:v>65.496399999999994</c:v>
                </c:pt>
                <c:pt idx="12">
                  <c:v>65.425899999999999</c:v>
                </c:pt>
                <c:pt idx="13">
                  <c:v>65.316800000000001</c:v>
                </c:pt>
                <c:pt idx="14">
                  <c:v>65.312399999999997</c:v>
                </c:pt>
                <c:pt idx="15">
                  <c:v>65.4709</c:v>
                </c:pt>
                <c:pt idx="16">
                  <c:v>65.074100000000001</c:v>
                </c:pt>
                <c:pt idx="17">
                  <c:v>65.384500000000003</c:v>
                </c:pt>
                <c:pt idx="18">
                  <c:v>65.383700000000005</c:v>
                </c:pt>
                <c:pt idx="19">
                  <c:v>64.921000000000006</c:v>
                </c:pt>
                <c:pt idx="20">
                  <c:v>64.671899999999994</c:v>
                </c:pt>
                <c:pt idx="21">
                  <c:v>64.665899999999993</c:v>
                </c:pt>
                <c:pt idx="22">
                  <c:v>64.580600000000004</c:v>
                </c:pt>
                <c:pt idx="23">
                  <c:v>64.753</c:v>
                </c:pt>
                <c:pt idx="24">
                  <c:v>64.5184</c:v>
                </c:pt>
                <c:pt idx="25">
                  <c:v>63.940199999999997</c:v>
                </c:pt>
                <c:pt idx="26">
                  <c:v>64.051199999999994</c:v>
                </c:pt>
                <c:pt idx="27">
                  <c:v>63.356000000000002</c:v>
                </c:pt>
                <c:pt idx="28">
                  <c:v>63.492600000000003</c:v>
                </c:pt>
                <c:pt idx="29">
                  <c:v>63.8812</c:v>
                </c:pt>
                <c:pt idx="30">
                  <c:v>63.822800000000001</c:v>
                </c:pt>
                <c:pt idx="31">
                  <c:v>63.611600000000003</c:v>
                </c:pt>
                <c:pt idx="32">
                  <c:v>63.688200000000002</c:v>
                </c:pt>
                <c:pt idx="33">
                  <c:v>63.705100000000002</c:v>
                </c:pt>
                <c:pt idx="34">
                  <c:v>63.259900000000002</c:v>
                </c:pt>
                <c:pt idx="35">
                  <c:v>63.463799999999999</c:v>
                </c:pt>
                <c:pt idx="36">
                  <c:v>63.579099999999997</c:v>
                </c:pt>
                <c:pt idx="37">
                  <c:v>63.822000000000003</c:v>
                </c:pt>
                <c:pt idx="38">
                  <c:v>63.89</c:v>
                </c:pt>
                <c:pt idx="39">
                  <c:v>64.002600000000001</c:v>
                </c:pt>
                <c:pt idx="40">
                  <c:v>63.587200000000003</c:v>
                </c:pt>
                <c:pt idx="41">
                  <c:v>63.627299999999998</c:v>
                </c:pt>
                <c:pt idx="42">
                  <c:v>63.357300000000002</c:v>
                </c:pt>
                <c:pt idx="43">
                  <c:v>62.892000000000003</c:v>
                </c:pt>
                <c:pt idx="44">
                  <c:v>63.613100000000003</c:v>
                </c:pt>
                <c:pt idx="45">
                  <c:v>63.198</c:v>
                </c:pt>
                <c:pt idx="46">
                  <c:v>63.062399999999997</c:v>
                </c:pt>
                <c:pt idx="47">
                  <c:v>62.844999999999999</c:v>
                </c:pt>
                <c:pt idx="48">
                  <c:v>62.6145</c:v>
                </c:pt>
                <c:pt idx="49">
                  <c:v>63.1053</c:v>
                </c:pt>
                <c:pt idx="50">
                  <c:v>62.860199999999999</c:v>
                </c:pt>
                <c:pt idx="51">
                  <c:v>62.910299999999999</c:v>
                </c:pt>
                <c:pt idx="52">
                  <c:v>62.301600000000001</c:v>
                </c:pt>
                <c:pt idx="53">
                  <c:v>62.481200000000001</c:v>
                </c:pt>
                <c:pt idx="54">
                  <c:v>62.362000000000002</c:v>
                </c:pt>
                <c:pt idx="55">
                  <c:v>62.566400000000002</c:v>
                </c:pt>
                <c:pt idx="56">
                  <c:v>62.761299999999999</c:v>
                </c:pt>
                <c:pt idx="57">
                  <c:v>63.337400000000002</c:v>
                </c:pt>
                <c:pt idx="58">
                  <c:v>62.783299999999997</c:v>
                </c:pt>
                <c:pt idx="59">
                  <c:v>62.422600000000003</c:v>
                </c:pt>
                <c:pt idx="60">
                  <c:v>62.588099999999997</c:v>
                </c:pt>
                <c:pt idx="61">
                  <c:v>62.356499999999997</c:v>
                </c:pt>
                <c:pt idx="62">
                  <c:v>62.613300000000002</c:v>
                </c:pt>
                <c:pt idx="63">
                  <c:v>62.583500000000001</c:v>
                </c:pt>
                <c:pt idx="64">
                  <c:v>63.014600000000002</c:v>
                </c:pt>
                <c:pt idx="65">
                  <c:v>62.804200000000002</c:v>
                </c:pt>
                <c:pt idx="66">
                  <c:v>62.8996</c:v>
                </c:pt>
                <c:pt idx="67">
                  <c:v>62.928100000000001</c:v>
                </c:pt>
                <c:pt idx="68">
                  <c:v>62.620800000000003</c:v>
                </c:pt>
                <c:pt idx="69">
                  <c:v>62.820099999999996</c:v>
                </c:pt>
                <c:pt idx="70">
                  <c:v>63.287399999999998</c:v>
                </c:pt>
                <c:pt idx="71">
                  <c:v>63.168700000000001</c:v>
                </c:pt>
                <c:pt idx="72">
                  <c:v>62.891599999999997</c:v>
                </c:pt>
                <c:pt idx="73">
                  <c:v>62.721299999999999</c:v>
                </c:pt>
                <c:pt idx="74">
                  <c:v>62.930500000000002</c:v>
                </c:pt>
                <c:pt idx="75">
                  <c:v>62.6355</c:v>
                </c:pt>
                <c:pt idx="76">
                  <c:v>62.648899999999998</c:v>
                </c:pt>
                <c:pt idx="77">
                  <c:v>62.814100000000003</c:v>
                </c:pt>
                <c:pt idx="78">
                  <c:v>63.0745</c:v>
                </c:pt>
                <c:pt idx="79">
                  <c:v>62.987400000000001</c:v>
                </c:pt>
                <c:pt idx="80">
                  <c:v>62.477699999999999</c:v>
                </c:pt>
                <c:pt idx="81">
                  <c:v>62.520099999999999</c:v>
                </c:pt>
                <c:pt idx="82">
                  <c:v>62.274299999999997</c:v>
                </c:pt>
                <c:pt idx="83">
                  <c:v>62.398000000000003</c:v>
                </c:pt>
                <c:pt idx="84">
                  <c:v>62.176699999999997</c:v>
                </c:pt>
                <c:pt idx="85">
                  <c:v>62.078299999999999</c:v>
                </c:pt>
                <c:pt idx="86">
                  <c:v>61.882800000000003</c:v>
                </c:pt>
                <c:pt idx="87">
                  <c:v>61.758800000000001</c:v>
                </c:pt>
                <c:pt idx="88">
                  <c:v>62.489800000000002</c:v>
                </c:pt>
                <c:pt idx="89">
                  <c:v>62.011600000000001</c:v>
                </c:pt>
                <c:pt idx="90">
                  <c:v>61.820099999999996</c:v>
                </c:pt>
                <c:pt idx="91">
                  <c:v>61.529000000000003</c:v>
                </c:pt>
                <c:pt idx="92">
                  <c:v>61.644199999999998</c:v>
                </c:pt>
                <c:pt idx="93">
                  <c:v>61.483800000000002</c:v>
                </c:pt>
                <c:pt idx="94">
                  <c:v>61.343000000000004</c:v>
                </c:pt>
                <c:pt idx="95">
                  <c:v>60.9542</c:v>
                </c:pt>
                <c:pt idx="96">
                  <c:v>60.433999999999997</c:v>
                </c:pt>
                <c:pt idx="97">
                  <c:v>60.3001</c:v>
                </c:pt>
                <c:pt idx="98">
                  <c:v>60.472999999999999</c:v>
                </c:pt>
                <c:pt idx="99">
                  <c:v>60.869599999999998</c:v>
                </c:pt>
                <c:pt idx="100">
                  <c:v>60.967199999999998</c:v>
                </c:pt>
                <c:pt idx="101">
                  <c:v>60.7791</c:v>
                </c:pt>
                <c:pt idx="102">
                  <c:v>61.364400000000003</c:v>
                </c:pt>
                <c:pt idx="103">
                  <c:v>61.255400000000002</c:v>
                </c:pt>
                <c:pt idx="104">
                  <c:v>61.037399999999998</c:v>
                </c:pt>
                <c:pt idx="105">
                  <c:v>61.084000000000003</c:v>
                </c:pt>
                <c:pt idx="106">
                  <c:v>61.1586</c:v>
                </c:pt>
                <c:pt idx="107">
                  <c:v>61.577399999999997</c:v>
                </c:pt>
                <c:pt idx="108">
                  <c:v>61.240200000000002</c:v>
                </c:pt>
                <c:pt idx="109">
                  <c:v>61.502299999999998</c:v>
                </c:pt>
                <c:pt idx="110">
                  <c:v>60.835599999999999</c:v>
                </c:pt>
                <c:pt idx="111">
                  <c:v>61.0535</c:v>
                </c:pt>
                <c:pt idx="112">
                  <c:v>60.529499999999999</c:v>
                </c:pt>
                <c:pt idx="113">
                  <c:v>60.994</c:v>
                </c:pt>
                <c:pt idx="114">
                  <c:v>60.7776</c:v>
                </c:pt>
                <c:pt idx="115">
                  <c:v>60.989199999999997</c:v>
                </c:pt>
                <c:pt idx="116">
                  <c:v>60.859000000000002</c:v>
                </c:pt>
                <c:pt idx="117">
                  <c:v>60.968400000000003</c:v>
                </c:pt>
                <c:pt idx="118">
                  <c:v>60.726399999999998</c:v>
                </c:pt>
                <c:pt idx="119">
                  <c:v>60.670499999999997</c:v>
                </c:pt>
                <c:pt idx="120">
                  <c:v>61.146299999999997</c:v>
                </c:pt>
                <c:pt idx="121">
                  <c:v>61.206400000000002</c:v>
                </c:pt>
                <c:pt idx="122">
                  <c:v>61.753700000000002</c:v>
                </c:pt>
                <c:pt idx="123">
                  <c:v>61.686599999999999</c:v>
                </c:pt>
                <c:pt idx="124">
                  <c:v>60.947600000000001</c:v>
                </c:pt>
                <c:pt idx="125">
                  <c:v>60.886899999999997</c:v>
                </c:pt>
                <c:pt idx="126">
                  <c:v>60.445799999999998</c:v>
                </c:pt>
                <c:pt idx="127">
                  <c:v>60.150300000000001</c:v>
                </c:pt>
                <c:pt idx="128">
                  <c:v>60.156999999999996</c:v>
                </c:pt>
                <c:pt idx="129">
                  <c:v>60.278799999999997</c:v>
                </c:pt>
                <c:pt idx="130">
                  <c:v>59.587400000000002</c:v>
                </c:pt>
                <c:pt idx="131">
                  <c:v>59.313600000000001</c:v>
                </c:pt>
                <c:pt idx="132">
                  <c:v>59.377499999999998</c:v>
                </c:pt>
                <c:pt idx="133">
                  <c:v>59.407899999999998</c:v>
                </c:pt>
                <c:pt idx="134">
                  <c:v>59.741799999999998</c:v>
                </c:pt>
                <c:pt idx="135">
                  <c:v>59.462400000000002</c:v>
                </c:pt>
                <c:pt idx="136">
                  <c:v>59.789299999999997</c:v>
                </c:pt>
                <c:pt idx="137">
                  <c:v>59.872399999999999</c:v>
                </c:pt>
                <c:pt idx="138">
                  <c:v>59.916400000000003</c:v>
                </c:pt>
                <c:pt idx="139">
                  <c:v>60.414400000000001</c:v>
                </c:pt>
                <c:pt idx="140">
                  <c:v>60.186</c:v>
                </c:pt>
                <c:pt idx="141">
                  <c:v>60.031100000000002</c:v>
                </c:pt>
                <c:pt idx="142">
                  <c:v>60.125399999999999</c:v>
                </c:pt>
                <c:pt idx="143">
                  <c:v>59.919600000000003</c:v>
                </c:pt>
                <c:pt idx="144">
                  <c:v>59.594900000000003</c:v>
                </c:pt>
                <c:pt idx="145">
                  <c:v>59.667400000000001</c:v>
                </c:pt>
                <c:pt idx="146">
                  <c:v>59.491300000000003</c:v>
                </c:pt>
                <c:pt idx="147">
                  <c:v>59.798499999999997</c:v>
                </c:pt>
                <c:pt idx="148">
                  <c:v>60.2316</c:v>
                </c:pt>
                <c:pt idx="149">
                  <c:v>60.200200000000002</c:v>
                </c:pt>
                <c:pt idx="150">
                  <c:v>59.999000000000002</c:v>
                </c:pt>
                <c:pt idx="151">
                  <c:v>59.941400000000002</c:v>
                </c:pt>
                <c:pt idx="152">
                  <c:v>60.151600000000002</c:v>
                </c:pt>
                <c:pt idx="153">
                  <c:v>60.090600000000002</c:v>
                </c:pt>
                <c:pt idx="154">
                  <c:v>59.853000000000002</c:v>
                </c:pt>
                <c:pt idx="155">
                  <c:v>59.837600000000002</c:v>
                </c:pt>
                <c:pt idx="156">
                  <c:v>59.904000000000003</c:v>
                </c:pt>
                <c:pt idx="157">
                  <c:v>60.064399999999999</c:v>
                </c:pt>
                <c:pt idx="158">
                  <c:v>60.2468</c:v>
                </c:pt>
                <c:pt idx="159">
                  <c:v>59.739600000000003</c:v>
                </c:pt>
                <c:pt idx="160">
                  <c:v>59.525199999999998</c:v>
                </c:pt>
                <c:pt idx="161">
                  <c:v>59.8279</c:v>
                </c:pt>
                <c:pt idx="162">
                  <c:v>59.814599999999999</c:v>
                </c:pt>
                <c:pt idx="163">
                  <c:v>59.204599999999999</c:v>
                </c:pt>
                <c:pt idx="164">
                  <c:v>59.776600000000002</c:v>
                </c:pt>
                <c:pt idx="165">
                  <c:v>59.235399999999998</c:v>
                </c:pt>
                <c:pt idx="166">
                  <c:v>59.460599999999999</c:v>
                </c:pt>
                <c:pt idx="167">
                  <c:v>59.320799999999998</c:v>
                </c:pt>
                <c:pt idx="168">
                  <c:v>59.476599999999998</c:v>
                </c:pt>
                <c:pt idx="169">
                  <c:v>59.312100000000001</c:v>
                </c:pt>
                <c:pt idx="170">
                  <c:v>59.968200000000003</c:v>
                </c:pt>
                <c:pt idx="171">
                  <c:v>59.154899999999998</c:v>
                </c:pt>
                <c:pt idx="172">
                  <c:v>59.2273</c:v>
                </c:pt>
                <c:pt idx="173">
                  <c:v>58.9161</c:v>
                </c:pt>
                <c:pt idx="174">
                  <c:v>58.901699999999998</c:v>
                </c:pt>
                <c:pt idx="175">
                  <c:v>58.7956</c:v>
                </c:pt>
                <c:pt idx="176">
                  <c:v>58.636499999999998</c:v>
                </c:pt>
                <c:pt idx="177">
                  <c:v>58.411799999999999</c:v>
                </c:pt>
                <c:pt idx="178">
                  <c:v>59.124600000000001</c:v>
                </c:pt>
                <c:pt idx="179">
                  <c:v>58.524299999999997</c:v>
                </c:pt>
                <c:pt idx="180">
                  <c:v>58.806399999999996</c:v>
                </c:pt>
                <c:pt idx="181">
                  <c:v>58.637</c:v>
                </c:pt>
                <c:pt idx="182">
                  <c:v>58.421100000000003</c:v>
                </c:pt>
                <c:pt idx="183">
                  <c:v>58.748800000000003</c:v>
                </c:pt>
                <c:pt idx="184">
                  <c:v>58.416600000000003</c:v>
                </c:pt>
                <c:pt idx="185">
                  <c:v>58.813800000000001</c:v>
                </c:pt>
                <c:pt idx="186">
                  <c:v>59.0899</c:v>
                </c:pt>
                <c:pt idx="187">
                  <c:v>59.006</c:v>
                </c:pt>
                <c:pt idx="188">
                  <c:v>59.099899999999998</c:v>
                </c:pt>
                <c:pt idx="189">
                  <c:v>58.677100000000003</c:v>
                </c:pt>
                <c:pt idx="190">
                  <c:v>58.001899999999999</c:v>
                </c:pt>
                <c:pt idx="191">
                  <c:v>58.121000000000002</c:v>
                </c:pt>
                <c:pt idx="192">
                  <c:v>58.175899999999999</c:v>
                </c:pt>
                <c:pt idx="193">
                  <c:v>58.313699999999997</c:v>
                </c:pt>
                <c:pt idx="194">
                  <c:v>58.316499999999998</c:v>
                </c:pt>
                <c:pt idx="195">
                  <c:v>59.061999999999998</c:v>
                </c:pt>
                <c:pt idx="196">
                  <c:v>58.623699999999999</c:v>
                </c:pt>
                <c:pt idx="197">
                  <c:v>58.728400000000001</c:v>
                </c:pt>
                <c:pt idx="198">
                  <c:v>58.811399999999999</c:v>
                </c:pt>
                <c:pt idx="199">
                  <c:v>58.820300000000003</c:v>
                </c:pt>
                <c:pt idx="200">
                  <c:v>59.194299999999998</c:v>
                </c:pt>
                <c:pt idx="201">
                  <c:v>58.099200000000003</c:v>
                </c:pt>
                <c:pt idx="202">
                  <c:v>57.761600000000001</c:v>
                </c:pt>
                <c:pt idx="203">
                  <c:v>58.112400000000001</c:v>
                </c:pt>
                <c:pt idx="204">
                  <c:v>58.2211</c:v>
                </c:pt>
                <c:pt idx="205">
                  <c:v>57.723199999999999</c:v>
                </c:pt>
                <c:pt idx="206">
                  <c:v>57.688400000000001</c:v>
                </c:pt>
                <c:pt idx="207">
                  <c:v>57.740200000000002</c:v>
                </c:pt>
                <c:pt idx="208">
                  <c:v>57.661700000000003</c:v>
                </c:pt>
                <c:pt idx="209">
                  <c:v>57.849299999999999</c:v>
                </c:pt>
                <c:pt idx="210">
                  <c:v>57.866100000000003</c:v>
                </c:pt>
                <c:pt idx="211">
                  <c:v>57.361600000000003</c:v>
                </c:pt>
                <c:pt idx="212">
                  <c:v>57.889800000000001</c:v>
                </c:pt>
                <c:pt idx="213">
                  <c:v>57.627899999999997</c:v>
                </c:pt>
                <c:pt idx="214">
                  <c:v>57.475099999999998</c:v>
                </c:pt>
                <c:pt idx="215">
                  <c:v>57.366199999999999</c:v>
                </c:pt>
                <c:pt idx="216">
                  <c:v>57.380899999999997</c:v>
                </c:pt>
                <c:pt idx="217">
                  <c:v>57.518000000000001</c:v>
                </c:pt>
                <c:pt idx="218">
                  <c:v>57.335099999999997</c:v>
                </c:pt>
                <c:pt idx="219">
                  <c:v>57.778300000000002</c:v>
                </c:pt>
                <c:pt idx="220">
                  <c:v>57.755600000000001</c:v>
                </c:pt>
                <c:pt idx="221">
                  <c:v>57.5916</c:v>
                </c:pt>
                <c:pt idx="222">
                  <c:v>57.982799999999997</c:v>
                </c:pt>
                <c:pt idx="223">
                  <c:v>58.2971</c:v>
                </c:pt>
                <c:pt idx="224">
                  <c:v>58.331000000000003</c:v>
                </c:pt>
                <c:pt idx="225">
                  <c:v>58.040999999999997</c:v>
                </c:pt>
                <c:pt idx="226">
                  <c:v>57.454799999999999</c:v>
                </c:pt>
                <c:pt idx="227">
                  <c:v>57.5411</c:v>
                </c:pt>
                <c:pt idx="228">
                  <c:v>57.635800000000003</c:v>
                </c:pt>
                <c:pt idx="229">
                  <c:v>57.844799999999999</c:v>
                </c:pt>
                <c:pt idx="230">
                  <c:v>57.862699999999997</c:v>
                </c:pt>
                <c:pt idx="231">
                  <c:v>57.587800000000001</c:v>
                </c:pt>
                <c:pt idx="232">
                  <c:v>57.799300000000002</c:v>
                </c:pt>
                <c:pt idx="233">
                  <c:v>57.183799999999998</c:v>
                </c:pt>
                <c:pt idx="234">
                  <c:v>57.244700000000002</c:v>
                </c:pt>
                <c:pt idx="235">
                  <c:v>57.238900000000001</c:v>
                </c:pt>
                <c:pt idx="236">
                  <c:v>57.369300000000003</c:v>
                </c:pt>
                <c:pt idx="237">
                  <c:v>57.975200000000001</c:v>
                </c:pt>
                <c:pt idx="238">
                  <c:v>57.563200000000002</c:v>
                </c:pt>
                <c:pt idx="239">
                  <c:v>57.431699999999999</c:v>
                </c:pt>
                <c:pt idx="240">
                  <c:v>57.059800000000003</c:v>
                </c:pt>
                <c:pt idx="241">
                  <c:v>57.019500000000001</c:v>
                </c:pt>
                <c:pt idx="242">
                  <c:v>57.063699999999997</c:v>
                </c:pt>
                <c:pt idx="243">
                  <c:v>57.352400000000003</c:v>
                </c:pt>
                <c:pt idx="244">
                  <c:v>57.4925</c:v>
                </c:pt>
                <c:pt idx="245">
                  <c:v>56.979799999999997</c:v>
                </c:pt>
                <c:pt idx="246">
                  <c:v>57.054400000000001</c:v>
                </c:pt>
                <c:pt idx="247">
                  <c:v>56.621000000000002</c:v>
                </c:pt>
                <c:pt idx="248">
                  <c:v>56.545400000000001</c:v>
                </c:pt>
                <c:pt idx="249">
                  <c:v>56.317799999999998</c:v>
                </c:pt>
                <c:pt idx="250">
                  <c:v>56.343299999999999</c:v>
                </c:pt>
                <c:pt idx="251">
                  <c:v>56.133899999999997</c:v>
                </c:pt>
                <c:pt idx="252">
                  <c:v>56.307299999999998</c:v>
                </c:pt>
                <c:pt idx="253">
                  <c:v>56.3294</c:v>
                </c:pt>
                <c:pt idx="254">
                  <c:v>56.040100000000002</c:v>
                </c:pt>
                <c:pt idx="255">
                  <c:v>55.600900000000003</c:v>
                </c:pt>
                <c:pt idx="256">
                  <c:v>55.866799999999998</c:v>
                </c:pt>
                <c:pt idx="257">
                  <c:v>56.117699999999999</c:v>
                </c:pt>
                <c:pt idx="258">
                  <c:v>56.387900000000002</c:v>
                </c:pt>
                <c:pt idx="259">
                  <c:v>56.37</c:v>
                </c:pt>
                <c:pt idx="260">
                  <c:v>56.283799999999999</c:v>
                </c:pt>
                <c:pt idx="261">
                  <c:v>56.153399999999998</c:v>
                </c:pt>
                <c:pt idx="262">
                  <c:v>55.9422</c:v>
                </c:pt>
                <c:pt idx="263">
                  <c:v>56.049100000000003</c:v>
                </c:pt>
                <c:pt idx="264">
                  <c:v>56.027000000000001</c:v>
                </c:pt>
                <c:pt idx="265">
                  <c:v>56.292099999999998</c:v>
                </c:pt>
                <c:pt idx="266">
                  <c:v>56.020099999999999</c:v>
                </c:pt>
                <c:pt idx="267">
                  <c:v>55.575099999999999</c:v>
                </c:pt>
                <c:pt idx="268">
                  <c:v>55.430799999999998</c:v>
                </c:pt>
                <c:pt idx="269">
                  <c:v>55.918999999999997</c:v>
                </c:pt>
                <c:pt idx="270">
                  <c:v>55.1798</c:v>
                </c:pt>
                <c:pt idx="271">
                  <c:v>55.441099999999999</c:v>
                </c:pt>
                <c:pt idx="272">
                  <c:v>55.448999999999998</c:v>
                </c:pt>
                <c:pt idx="273">
                  <c:v>54.765999999999998</c:v>
                </c:pt>
                <c:pt idx="274">
                  <c:v>54.488</c:v>
                </c:pt>
                <c:pt idx="275">
                  <c:v>54.8748</c:v>
                </c:pt>
                <c:pt idx="276">
                  <c:v>54.854999999999997</c:v>
                </c:pt>
                <c:pt idx="277">
                  <c:v>54.994700000000002</c:v>
                </c:pt>
                <c:pt idx="278">
                  <c:v>55.0124</c:v>
                </c:pt>
                <c:pt idx="279">
                  <c:v>55.299900000000001</c:v>
                </c:pt>
                <c:pt idx="280">
                  <c:v>55.047499999999999</c:v>
                </c:pt>
                <c:pt idx="281">
                  <c:v>54.958300000000001</c:v>
                </c:pt>
                <c:pt idx="282">
                  <c:v>55.636099999999999</c:v>
                </c:pt>
                <c:pt idx="283">
                  <c:v>55.528500000000001</c:v>
                </c:pt>
                <c:pt idx="284">
                  <c:v>55.348599999999998</c:v>
                </c:pt>
                <c:pt idx="285">
                  <c:v>54.8767</c:v>
                </c:pt>
                <c:pt idx="286">
                  <c:v>54.9223</c:v>
                </c:pt>
                <c:pt idx="287">
                  <c:v>55.137</c:v>
                </c:pt>
                <c:pt idx="288">
                  <c:v>55.7804</c:v>
                </c:pt>
                <c:pt idx="289">
                  <c:v>55.0518</c:v>
                </c:pt>
                <c:pt idx="290">
                  <c:v>55.185499999999998</c:v>
                </c:pt>
                <c:pt idx="291">
                  <c:v>55.273200000000003</c:v>
                </c:pt>
                <c:pt idx="292">
                  <c:v>54.8977</c:v>
                </c:pt>
                <c:pt idx="293">
                  <c:v>55.2318</c:v>
                </c:pt>
                <c:pt idx="294">
                  <c:v>55.400799999999997</c:v>
                </c:pt>
                <c:pt idx="295">
                  <c:v>55.449399999999997</c:v>
                </c:pt>
                <c:pt idx="296">
                  <c:v>55.0685</c:v>
                </c:pt>
                <c:pt idx="297">
                  <c:v>55.167099999999998</c:v>
                </c:pt>
                <c:pt idx="298">
                  <c:v>55.203600000000002</c:v>
                </c:pt>
                <c:pt idx="299">
                  <c:v>54.787700000000001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01A-5946-9576-ECA13DF55590}"/>
            </c:ext>
          </c:extLst>
        </c:ser>
        <c:ser>
          <c:idx val="2"/>
          <c:order val="2"/>
          <c:tx>
            <c:strRef>
              <c:f>Simulation!$F$1</c:f>
              <c:strCache>
                <c:ptCount val="1"/>
                <c:pt idx="0">
                  <c:v>P90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Simulation!$F$2:$F$301</c:f>
              <c:numCache>
                <c:formatCode>General</c:formatCode>
                <c:ptCount val="300"/>
                <c:pt idx="0">
                  <c:v>68.294700000000006</c:v>
                </c:pt>
                <c:pt idx="1">
                  <c:v>88.792000000000002</c:v>
                </c:pt>
                <c:pt idx="2">
                  <c:v>95.421899999999994</c:v>
                </c:pt>
                <c:pt idx="3">
                  <c:v>99.405100000000004</c:v>
                </c:pt>
                <c:pt idx="4">
                  <c:v>101.8293</c:v>
                </c:pt>
                <c:pt idx="5">
                  <c:v>103.20610000000001</c:v>
                </c:pt>
                <c:pt idx="6">
                  <c:v>104.5352</c:v>
                </c:pt>
                <c:pt idx="7">
                  <c:v>105.3618</c:v>
                </c:pt>
                <c:pt idx="8">
                  <c:v>106.68219999999999</c:v>
                </c:pt>
                <c:pt idx="9">
                  <c:v>106.2259</c:v>
                </c:pt>
                <c:pt idx="10">
                  <c:v>106.8023</c:v>
                </c:pt>
                <c:pt idx="11">
                  <c:v>107.48390000000001</c:v>
                </c:pt>
                <c:pt idx="12">
                  <c:v>107.7007</c:v>
                </c:pt>
                <c:pt idx="13">
                  <c:v>107.16670000000001</c:v>
                </c:pt>
                <c:pt idx="14">
                  <c:v>106.9542</c:v>
                </c:pt>
                <c:pt idx="15">
                  <c:v>107.1016</c:v>
                </c:pt>
                <c:pt idx="16">
                  <c:v>106.71169999999999</c:v>
                </c:pt>
                <c:pt idx="17">
                  <c:v>106.69750000000001</c:v>
                </c:pt>
                <c:pt idx="18">
                  <c:v>107.0715</c:v>
                </c:pt>
                <c:pt idx="19">
                  <c:v>106.3661</c:v>
                </c:pt>
                <c:pt idx="20">
                  <c:v>106.0552</c:v>
                </c:pt>
                <c:pt idx="21">
                  <c:v>106.54049999999999</c:v>
                </c:pt>
                <c:pt idx="22">
                  <c:v>106.2385</c:v>
                </c:pt>
                <c:pt idx="23">
                  <c:v>107.02119999999999</c:v>
                </c:pt>
                <c:pt idx="24">
                  <c:v>106.5809</c:v>
                </c:pt>
                <c:pt idx="25">
                  <c:v>106.9217</c:v>
                </c:pt>
                <c:pt idx="26">
                  <c:v>106.31789999999999</c:v>
                </c:pt>
                <c:pt idx="27">
                  <c:v>106.5489</c:v>
                </c:pt>
                <c:pt idx="28">
                  <c:v>107.00709999999999</c:v>
                </c:pt>
                <c:pt idx="29">
                  <c:v>106.4804</c:v>
                </c:pt>
                <c:pt idx="30">
                  <c:v>106.7461</c:v>
                </c:pt>
                <c:pt idx="31">
                  <c:v>106.28489999999999</c:v>
                </c:pt>
                <c:pt idx="32">
                  <c:v>105.93040000000001</c:v>
                </c:pt>
                <c:pt idx="33">
                  <c:v>106.3858</c:v>
                </c:pt>
                <c:pt idx="34">
                  <c:v>106.3125</c:v>
                </c:pt>
                <c:pt idx="35">
                  <c:v>106.08240000000001</c:v>
                </c:pt>
                <c:pt idx="36">
                  <c:v>106.5273</c:v>
                </c:pt>
                <c:pt idx="37">
                  <c:v>106.0641</c:v>
                </c:pt>
                <c:pt idx="38">
                  <c:v>106.3878</c:v>
                </c:pt>
                <c:pt idx="39">
                  <c:v>107.0149</c:v>
                </c:pt>
                <c:pt idx="40">
                  <c:v>106.5256</c:v>
                </c:pt>
                <c:pt idx="41">
                  <c:v>105.9055</c:v>
                </c:pt>
                <c:pt idx="42">
                  <c:v>105.6174</c:v>
                </c:pt>
                <c:pt idx="43">
                  <c:v>106.7486</c:v>
                </c:pt>
                <c:pt idx="44">
                  <c:v>106.6917</c:v>
                </c:pt>
                <c:pt idx="45">
                  <c:v>105.99630000000001</c:v>
                </c:pt>
                <c:pt idx="46">
                  <c:v>106.3837</c:v>
                </c:pt>
                <c:pt idx="47">
                  <c:v>105.53789999999999</c:v>
                </c:pt>
                <c:pt idx="48">
                  <c:v>105.8738</c:v>
                </c:pt>
                <c:pt idx="49">
                  <c:v>105.42019999999999</c:v>
                </c:pt>
                <c:pt idx="50">
                  <c:v>105.9263</c:v>
                </c:pt>
                <c:pt idx="51">
                  <c:v>105.9239</c:v>
                </c:pt>
                <c:pt idx="52">
                  <c:v>107.0939</c:v>
                </c:pt>
                <c:pt idx="53">
                  <c:v>106.59399999999999</c:v>
                </c:pt>
                <c:pt idx="54">
                  <c:v>106.0158</c:v>
                </c:pt>
                <c:pt idx="55">
                  <c:v>105.8965</c:v>
                </c:pt>
                <c:pt idx="56">
                  <c:v>105.88639999999999</c:v>
                </c:pt>
                <c:pt idx="57">
                  <c:v>105.34910000000001</c:v>
                </c:pt>
                <c:pt idx="58">
                  <c:v>105.0819</c:v>
                </c:pt>
                <c:pt idx="59">
                  <c:v>104.7962</c:v>
                </c:pt>
                <c:pt idx="60">
                  <c:v>104.6194</c:v>
                </c:pt>
                <c:pt idx="61">
                  <c:v>104.5851</c:v>
                </c:pt>
                <c:pt idx="62">
                  <c:v>104.42870000000001</c:v>
                </c:pt>
                <c:pt idx="63">
                  <c:v>105.0498</c:v>
                </c:pt>
                <c:pt idx="64">
                  <c:v>105.01730000000001</c:v>
                </c:pt>
                <c:pt idx="65">
                  <c:v>104.7948</c:v>
                </c:pt>
                <c:pt idx="66">
                  <c:v>105.1039</c:v>
                </c:pt>
                <c:pt idx="67">
                  <c:v>104.6435</c:v>
                </c:pt>
                <c:pt idx="68">
                  <c:v>105.58459999999999</c:v>
                </c:pt>
                <c:pt idx="69">
                  <c:v>105.0303</c:v>
                </c:pt>
                <c:pt idx="70">
                  <c:v>104.81950000000001</c:v>
                </c:pt>
                <c:pt idx="71">
                  <c:v>104.794</c:v>
                </c:pt>
                <c:pt idx="72">
                  <c:v>104.23560000000001</c:v>
                </c:pt>
                <c:pt idx="73">
                  <c:v>105.1266</c:v>
                </c:pt>
                <c:pt idx="74">
                  <c:v>104.3575</c:v>
                </c:pt>
                <c:pt idx="75">
                  <c:v>104.0579</c:v>
                </c:pt>
                <c:pt idx="76">
                  <c:v>104.74509999999999</c:v>
                </c:pt>
                <c:pt idx="77">
                  <c:v>105.3045</c:v>
                </c:pt>
                <c:pt idx="78">
                  <c:v>104.739</c:v>
                </c:pt>
                <c:pt idx="79">
                  <c:v>104.8005</c:v>
                </c:pt>
                <c:pt idx="80">
                  <c:v>105.56</c:v>
                </c:pt>
                <c:pt idx="81">
                  <c:v>105.27549999999999</c:v>
                </c:pt>
                <c:pt idx="82">
                  <c:v>105.35850000000001</c:v>
                </c:pt>
                <c:pt idx="83">
                  <c:v>104.9301</c:v>
                </c:pt>
                <c:pt idx="84">
                  <c:v>104.19370000000001</c:v>
                </c:pt>
                <c:pt idx="85">
                  <c:v>104.4503</c:v>
                </c:pt>
                <c:pt idx="86">
                  <c:v>104.4059</c:v>
                </c:pt>
                <c:pt idx="87">
                  <c:v>104.6636</c:v>
                </c:pt>
                <c:pt idx="88">
                  <c:v>103.9323</c:v>
                </c:pt>
                <c:pt idx="89">
                  <c:v>104.3646</c:v>
                </c:pt>
                <c:pt idx="90">
                  <c:v>104.11669999999999</c:v>
                </c:pt>
                <c:pt idx="91">
                  <c:v>103.1152</c:v>
                </c:pt>
                <c:pt idx="92">
                  <c:v>103.5711</c:v>
                </c:pt>
                <c:pt idx="93">
                  <c:v>103.7415</c:v>
                </c:pt>
                <c:pt idx="94">
                  <c:v>103.0638</c:v>
                </c:pt>
                <c:pt idx="95">
                  <c:v>103.24379999999999</c:v>
                </c:pt>
                <c:pt idx="96">
                  <c:v>103.4725</c:v>
                </c:pt>
                <c:pt idx="97">
                  <c:v>104.0874</c:v>
                </c:pt>
                <c:pt idx="98">
                  <c:v>103.7557</c:v>
                </c:pt>
                <c:pt idx="99">
                  <c:v>103.3719</c:v>
                </c:pt>
                <c:pt idx="100">
                  <c:v>102.8931</c:v>
                </c:pt>
                <c:pt idx="101">
                  <c:v>103.48</c:v>
                </c:pt>
                <c:pt idx="102">
                  <c:v>103.4362</c:v>
                </c:pt>
                <c:pt idx="103">
                  <c:v>103.6602</c:v>
                </c:pt>
                <c:pt idx="104">
                  <c:v>103.876</c:v>
                </c:pt>
                <c:pt idx="105">
                  <c:v>103.3539</c:v>
                </c:pt>
                <c:pt idx="106">
                  <c:v>104.0643</c:v>
                </c:pt>
                <c:pt idx="107">
                  <c:v>103.729</c:v>
                </c:pt>
                <c:pt idx="108">
                  <c:v>103.124</c:v>
                </c:pt>
                <c:pt idx="109">
                  <c:v>104.1474</c:v>
                </c:pt>
                <c:pt idx="110">
                  <c:v>103.8365</c:v>
                </c:pt>
                <c:pt idx="111">
                  <c:v>103.62779999999999</c:v>
                </c:pt>
                <c:pt idx="112">
                  <c:v>103.6986</c:v>
                </c:pt>
                <c:pt idx="113">
                  <c:v>104.1523</c:v>
                </c:pt>
                <c:pt idx="114">
                  <c:v>103.7169</c:v>
                </c:pt>
                <c:pt idx="115">
                  <c:v>102.9686</c:v>
                </c:pt>
                <c:pt idx="116">
                  <c:v>104.0425</c:v>
                </c:pt>
                <c:pt idx="117">
                  <c:v>103.405</c:v>
                </c:pt>
                <c:pt idx="118">
                  <c:v>104.0852</c:v>
                </c:pt>
                <c:pt idx="119">
                  <c:v>102.6712</c:v>
                </c:pt>
                <c:pt idx="120">
                  <c:v>102.8569</c:v>
                </c:pt>
                <c:pt idx="121">
                  <c:v>103.6764</c:v>
                </c:pt>
                <c:pt idx="122">
                  <c:v>102.9127</c:v>
                </c:pt>
                <c:pt idx="123">
                  <c:v>103.0419</c:v>
                </c:pt>
                <c:pt idx="124">
                  <c:v>102.3314</c:v>
                </c:pt>
                <c:pt idx="125">
                  <c:v>102.20659999999999</c:v>
                </c:pt>
                <c:pt idx="126">
                  <c:v>102.40049999999999</c:v>
                </c:pt>
                <c:pt idx="127">
                  <c:v>103.4308</c:v>
                </c:pt>
                <c:pt idx="128">
                  <c:v>102.1999</c:v>
                </c:pt>
                <c:pt idx="129">
                  <c:v>102.2739</c:v>
                </c:pt>
                <c:pt idx="130">
                  <c:v>102.51300000000001</c:v>
                </c:pt>
                <c:pt idx="131">
                  <c:v>102.4083</c:v>
                </c:pt>
                <c:pt idx="132">
                  <c:v>103.0194</c:v>
                </c:pt>
                <c:pt idx="133">
                  <c:v>102.6127</c:v>
                </c:pt>
                <c:pt idx="134">
                  <c:v>103.1204</c:v>
                </c:pt>
                <c:pt idx="135">
                  <c:v>102.2724</c:v>
                </c:pt>
                <c:pt idx="136">
                  <c:v>102.1324</c:v>
                </c:pt>
                <c:pt idx="137">
                  <c:v>102.39409999999999</c:v>
                </c:pt>
                <c:pt idx="138">
                  <c:v>101.65049999999999</c:v>
                </c:pt>
                <c:pt idx="139">
                  <c:v>101.8997</c:v>
                </c:pt>
                <c:pt idx="140">
                  <c:v>102.251</c:v>
                </c:pt>
                <c:pt idx="141">
                  <c:v>102.3168</c:v>
                </c:pt>
                <c:pt idx="142">
                  <c:v>103.2574</c:v>
                </c:pt>
                <c:pt idx="143">
                  <c:v>102.6332</c:v>
                </c:pt>
                <c:pt idx="144">
                  <c:v>102.9134</c:v>
                </c:pt>
                <c:pt idx="145">
                  <c:v>102.5651</c:v>
                </c:pt>
                <c:pt idx="146">
                  <c:v>102.9928</c:v>
                </c:pt>
                <c:pt idx="147">
                  <c:v>102.6515</c:v>
                </c:pt>
                <c:pt idx="148">
                  <c:v>101.60129999999999</c:v>
                </c:pt>
                <c:pt idx="149">
                  <c:v>102.0462</c:v>
                </c:pt>
                <c:pt idx="150">
                  <c:v>102.43300000000001</c:v>
                </c:pt>
                <c:pt idx="151">
                  <c:v>101.99169999999999</c:v>
                </c:pt>
                <c:pt idx="152">
                  <c:v>101.5997</c:v>
                </c:pt>
                <c:pt idx="153">
                  <c:v>101.5175</c:v>
                </c:pt>
                <c:pt idx="154">
                  <c:v>101.81180000000001</c:v>
                </c:pt>
                <c:pt idx="155">
                  <c:v>101.7285</c:v>
                </c:pt>
                <c:pt idx="156">
                  <c:v>101.84310000000001</c:v>
                </c:pt>
                <c:pt idx="157">
                  <c:v>102.3386</c:v>
                </c:pt>
                <c:pt idx="158">
                  <c:v>102.0985</c:v>
                </c:pt>
                <c:pt idx="159">
                  <c:v>102.76649999999999</c:v>
                </c:pt>
                <c:pt idx="160">
                  <c:v>102.9953</c:v>
                </c:pt>
                <c:pt idx="161">
                  <c:v>102.5698</c:v>
                </c:pt>
                <c:pt idx="162">
                  <c:v>101.4092</c:v>
                </c:pt>
                <c:pt idx="163">
                  <c:v>102.29349999999999</c:v>
                </c:pt>
                <c:pt idx="164">
                  <c:v>102.44159999999999</c:v>
                </c:pt>
                <c:pt idx="165">
                  <c:v>102.24160000000001</c:v>
                </c:pt>
                <c:pt idx="166">
                  <c:v>102.7966</c:v>
                </c:pt>
                <c:pt idx="167">
                  <c:v>102.2007</c:v>
                </c:pt>
                <c:pt idx="168">
                  <c:v>101.8429</c:v>
                </c:pt>
                <c:pt idx="169">
                  <c:v>101.6437</c:v>
                </c:pt>
                <c:pt idx="170">
                  <c:v>101.09010000000001</c:v>
                </c:pt>
                <c:pt idx="171">
                  <c:v>101.45059999999999</c:v>
                </c:pt>
                <c:pt idx="172">
                  <c:v>101.36409999999999</c:v>
                </c:pt>
                <c:pt idx="173">
                  <c:v>101.1601</c:v>
                </c:pt>
                <c:pt idx="174">
                  <c:v>101.69970000000001</c:v>
                </c:pt>
                <c:pt idx="175">
                  <c:v>101.75579999999999</c:v>
                </c:pt>
                <c:pt idx="176">
                  <c:v>101.642</c:v>
                </c:pt>
                <c:pt idx="177">
                  <c:v>101.24079999999999</c:v>
                </c:pt>
                <c:pt idx="178">
                  <c:v>101.84010000000001</c:v>
                </c:pt>
                <c:pt idx="179">
                  <c:v>102.12479999999999</c:v>
                </c:pt>
                <c:pt idx="180">
                  <c:v>102.17870000000001</c:v>
                </c:pt>
                <c:pt idx="181">
                  <c:v>101.43729999999999</c:v>
                </c:pt>
                <c:pt idx="182">
                  <c:v>101.8087</c:v>
                </c:pt>
                <c:pt idx="183">
                  <c:v>101.7594</c:v>
                </c:pt>
                <c:pt idx="184">
                  <c:v>100.8886</c:v>
                </c:pt>
                <c:pt idx="185">
                  <c:v>101.7694</c:v>
                </c:pt>
                <c:pt idx="186">
                  <c:v>101.6969</c:v>
                </c:pt>
                <c:pt idx="187">
                  <c:v>100.7578</c:v>
                </c:pt>
                <c:pt idx="188">
                  <c:v>100.8995</c:v>
                </c:pt>
                <c:pt idx="189">
                  <c:v>101.2963</c:v>
                </c:pt>
                <c:pt idx="190">
                  <c:v>101.434</c:v>
                </c:pt>
                <c:pt idx="191">
                  <c:v>101.25190000000001</c:v>
                </c:pt>
                <c:pt idx="192">
                  <c:v>101.35380000000001</c:v>
                </c:pt>
                <c:pt idx="193">
                  <c:v>101.0924</c:v>
                </c:pt>
                <c:pt idx="194">
                  <c:v>100.7328</c:v>
                </c:pt>
                <c:pt idx="195">
                  <c:v>101.4028</c:v>
                </c:pt>
                <c:pt idx="196">
                  <c:v>100.315</c:v>
                </c:pt>
                <c:pt idx="197">
                  <c:v>100.7097</c:v>
                </c:pt>
                <c:pt idx="198">
                  <c:v>99.936599999999999</c:v>
                </c:pt>
                <c:pt idx="199">
                  <c:v>100.5244</c:v>
                </c:pt>
                <c:pt idx="200">
                  <c:v>100.52979999999999</c:v>
                </c:pt>
                <c:pt idx="201">
                  <c:v>100.56270000000001</c:v>
                </c:pt>
                <c:pt idx="202">
                  <c:v>101.26730000000001</c:v>
                </c:pt>
                <c:pt idx="203">
                  <c:v>100.318</c:v>
                </c:pt>
                <c:pt idx="204">
                  <c:v>101.14660000000001</c:v>
                </c:pt>
                <c:pt idx="205">
                  <c:v>100.39790000000001</c:v>
                </c:pt>
                <c:pt idx="206">
                  <c:v>100.2668</c:v>
                </c:pt>
                <c:pt idx="207">
                  <c:v>100.4824</c:v>
                </c:pt>
                <c:pt idx="208">
                  <c:v>100.1611</c:v>
                </c:pt>
                <c:pt idx="209">
                  <c:v>100.7315</c:v>
                </c:pt>
                <c:pt idx="210">
                  <c:v>100.955</c:v>
                </c:pt>
                <c:pt idx="211">
                  <c:v>100.3673</c:v>
                </c:pt>
                <c:pt idx="212">
                  <c:v>100.2337</c:v>
                </c:pt>
                <c:pt idx="213">
                  <c:v>100.1961</c:v>
                </c:pt>
                <c:pt idx="214">
                  <c:v>99.870500000000007</c:v>
                </c:pt>
                <c:pt idx="215">
                  <c:v>99.554400000000001</c:v>
                </c:pt>
                <c:pt idx="216">
                  <c:v>99.727900000000005</c:v>
                </c:pt>
                <c:pt idx="217">
                  <c:v>100.1896</c:v>
                </c:pt>
                <c:pt idx="218">
                  <c:v>99.789100000000005</c:v>
                </c:pt>
                <c:pt idx="219">
                  <c:v>100.845</c:v>
                </c:pt>
                <c:pt idx="220">
                  <c:v>100.55240000000001</c:v>
                </c:pt>
                <c:pt idx="221">
                  <c:v>100.7236</c:v>
                </c:pt>
                <c:pt idx="222">
                  <c:v>100.83150000000001</c:v>
                </c:pt>
                <c:pt idx="223">
                  <c:v>99.891400000000004</c:v>
                </c:pt>
                <c:pt idx="224">
                  <c:v>100.8745</c:v>
                </c:pt>
                <c:pt idx="225">
                  <c:v>100.49169999999999</c:v>
                </c:pt>
                <c:pt idx="226">
                  <c:v>100.3511</c:v>
                </c:pt>
                <c:pt idx="227">
                  <c:v>100.3754</c:v>
                </c:pt>
                <c:pt idx="228">
                  <c:v>100.0886</c:v>
                </c:pt>
                <c:pt idx="229">
                  <c:v>100.55289999999999</c:v>
                </c:pt>
                <c:pt idx="230">
                  <c:v>99.490899999999996</c:v>
                </c:pt>
                <c:pt idx="231">
                  <c:v>100.2533</c:v>
                </c:pt>
                <c:pt idx="232">
                  <c:v>99.635000000000005</c:v>
                </c:pt>
                <c:pt idx="233">
                  <c:v>99.327799999999996</c:v>
                </c:pt>
                <c:pt idx="234">
                  <c:v>100.0309</c:v>
                </c:pt>
                <c:pt idx="235">
                  <c:v>99.275700000000001</c:v>
                </c:pt>
                <c:pt idx="236">
                  <c:v>99.905799999999999</c:v>
                </c:pt>
                <c:pt idx="237">
                  <c:v>99.717399999999998</c:v>
                </c:pt>
                <c:pt idx="238">
                  <c:v>99.501800000000003</c:v>
                </c:pt>
                <c:pt idx="239">
                  <c:v>100.2013</c:v>
                </c:pt>
                <c:pt idx="240">
                  <c:v>99.924599999999998</c:v>
                </c:pt>
                <c:pt idx="241">
                  <c:v>99.6434</c:v>
                </c:pt>
                <c:pt idx="242">
                  <c:v>100.2641</c:v>
                </c:pt>
                <c:pt idx="243">
                  <c:v>99.823700000000002</c:v>
                </c:pt>
                <c:pt idx="244">
                  <c:v>99.422300000000007</c:v>
                </c:pt>
                <c:pt idx="245">
                  <c:v>100.1323</c:v>
                </c:pt>
                <c:pt idx="246">
                  <c:v>99.182299999999998</c:v>
                </c:pt>
                <c:pt idx="247">
                  <c:v>98.911799999999999</c:v>
                </c:pt>
                <c:pt idx="248">
                  <c:v>98.702699999999993</c:v>
                </c:pt>
                <c:pt idx="249">
                  <c:v>98.417500000000004</c:v>
                </c:pt>
                <c:pt idx="250">
                  <c:v>99.028000000000006</c:v>
                </c:pt>
                <c:pt idx="251">
                  <c:v>99.036799999999999</c:v>
                </c:pt>
                <c:pt idx="252">
                  <c:v>99.232799999999997</c:v>
                </c:pt>
                <c:pt idx="253">
                  <c:v>98.9131</c:v>
                </c:pt>
                <c:pt idx="254">
                  <c:v>99.431899999999999</c:v>
                </c:pt>
                <c:pt idx="255">
                  <c:v>99.149299999999997</c:v>
                </c:pt>
                <c:pt idx="256">
                  <c:v>99.001199999999997</c:v>
                </c:pt>
                <c:pt idx="257">
                  <c:v>98.410899999999998</c:v>
                </c:pt>
                <c:pt idx="258">
                  <c:v>98.407200000000003</c:v>
                </c:pt>
                <c:pt idx="259">
                  <c:v>98.131100000000004</c:v>
                </c:pt>
                <c:pt idx="260">
                  <c:v>98.128500000000003</c:v>
                </c:pt>
                <c:pt idx="261">
                  <c:v>98.080600000000004</c:v>
                </c:pt>
                <c:pt idx="262">
                  <c:v>97.723500000000001</c:v>
                </c:pt>
                <c:pt idx="263">
                  <c:v>98.469200000000001</c:v>
                </c:pt>
                <c:pt idx="264">
                  <c:v>97.911600000000007</c:v>
                </c:pt>
                <c:pt idx="265">
                  <c:v>98.0792</c:v>
                </c:pt>
                <c:pt idx="266">
                  <c:v>98.495800000000003</c:v>
                </c:pt>
                <c:pt idx="267">
                  <c:v>98.351200000000006</c:v>
                </c:pt>
                <c:pt idx="268">
                  <c:v>97.255099999999999</c:v>
                </c:pt>
                <c:pt idx="269">
                  <c:v>97.260800000000003</c:v>
                </c:pt>
                <c:pt idx="270">
                  <c:v>97.0364</c:v>
                </c:pt>
                <c:pt idx="271">
                  <c:v>97.063800000000001</c:v>
                </c:pt>
                <c:pt idx="272">
                  <c:v>96.849900000000005</c:v>
                </c:pt>
                <c:pt idx="273">
                  <c:v>96.576599999999999</c:v>
                </c:pt>
                <c:pt idx="274">
                  <c:v>97.297300000000007</c:v>
                </c:pt>
                <c:pt idx="275">
                  <c:v>97.022900000000007</c:v>
                </c:pt>
                <c:pt idx="276">
                  <c:v>96.806799999999996</c:v>
                </c:pt>
                <c:pt idx="277">
                  <c:v>97.090900000000005</c:v>
                </c:pt>
                <c:pt idx="278">
                  <c:v>97.3078</c:v>
                </c:pt>
                <c:pt idx="279">
                  <c:v>98.006799999999998</c:v>
                </c:pt>
                <c:pt idx="280">
                  <c:v>97.8</c:v>
                </c:pt>
                <c:pt idx="281">
                  <c:v>97.215900000000005</c:v>
                </c:pt>
                <c:pt idx="282">
                  <c:v>97.407399999999996</c:v>
                </c:pt>
                <c:pt idx="283">
                  <c:v>97</c:v>
                </c:pt>
                <c:pt idx="284">
                  <c:v>97.294799999999995</c:v>
                </c:pt>
                <c:pt idx="285">
                  <c:v>98.680199999999999</c:v>
                </c:pt>
                <c:pt idx="286">
                  <c:v>97.782399999999996</c:v>
                </c:pt>
                <c:pt idx="287">
                  <c:v>97.395799999999994</c:v>
                </c:pt>
                <c:pt idx="288">
                  <c:v>97.242599999999996</c:v>
                </c:pt>
                <c:pt idx="289">
                  <c:v>97.208399999999997</c:v>
                </c:pt>
                <c:pt idx="290">
                  <c:v>97.206599999999995</c:v>
                </c:pt>
                <c:pt idx="291">
                  <c:v>97.394599999999997</c:v>
                </c:pt>
                <c:pt idx="292">
                  <c:v>98.322400000000002</c:v>
                </c:pt>
                <c:pt idx="293">
                  <c:v>97.313299999999998</c:v>
                </c:pt>
                <c:pt idx="294">
                  <c:v>97.4803</c:v>
                </c:pt>
                <c:pt idx="295">
                  <c:v>98.040599999999998</c:v>
                </c:pt>
                <c:pt idx="296">
                  <c:v>97.702799999999996</c:v>
                </c:pt>
                <c:pt idx="297">
                  <c:v>97.2149</c:v>
                </c:pt>
                <c:pt idx="298">
                  <c:v>97.247100000000003</c:v>
                </c:pt>
                <c:pt idx="299">
                  <c:v>97.016499999999994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01A-5946-9576-ECA13DF55590}"/>
            </c:ext>
          </c:extLst>
        </c:ser>
        <c:ser>
          <c:idx val="3"/>
          <c:order val="3"/>
          <c:tx>
            <c:strRef>
              <c:f>Simulation!$I$1</c:f>
              <c:strCache>
                <c:ptCount val="1"/>
                <c:pt idx="0">
                  <c:v>P1</c:v>
                </c:pt>
              </c:strCache>
            </c:strRef>
          </c:tx>
          <c:spPr>
            <a:ln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Simulation!$I$2:$I$301</c:f>
              <c:numCache>
                <c:formatCode>General</c:formatCode>
                <c:ptCount val="300"/>
                <c:pt idx="0">
                  <c:v>68.294700000000006</c:v>
                </c:pt>
                <c:pt idx="1">
                  <c:v>29.904399999999999</c:v>
                </c:pt>
                <c:pt idx="2">
                  <c:v>16.7822</c:v>
                </c:pt>
                <c:pt idx="3">
                  <c:v>8.3993000000000002</c:v>
                </c:pt>
                <c:pt idx="4">
                  <c:v>1.8517999999999999</c:v>
                </c:pt>
                <c:pt idx="5">
                  <c:v>-0.58720000000000006</c:v>
                </c:pt>
                <c:pt idx="6">
                  <c:v>-3.1092</c:v>
                </c:pt>
                <c:pt idx="7">
                  <c:v>-3.7242999999999999</c:v>
                </c:pt>
                <c:pt idx="8">
                  <c:v>-6.282</c:v>
                </c:pt>
                <c:pt idx="9">
                  <c:v>-7.1670999999999996</c:v>
                </c:pt>
                <c:pt idx="10">
                  <c:v>-9.9291</c:v>
                </c:pt>
                <c:pt idx="11">
                  <c:v>-10.276999999999999</c:v>
                </c:pt>
                <c:pt idx="12">
                  <c:v>-10.3538</c:v>
                </c:pt>
                <c:pt idx="13">
                  <c:v>-10.622400000000001</c:v>
                </c:pt>
                <c:pt idx="14">
                  <c:v>-11.728199999999999</c:v>
                </c:pt>
                <c:pt idx="15">
                  <c:v>-10.784700000000001</c:v>
                </c:pt>
                <c:pt idx="16">
                  <c:v>-10.3581</c:v>
                </c:pt>
                <c:pt idx="17">
                  <c:v>-10.783799999999999</c:v>
                </c:pt>
                <c:pt idx="18">
                  <c:v>-10.436</c:v>
                </c:pt>
                <c:pt idx="19">
                  <c:v>-12.1113</c:v>
                </c:pt>
                <c:pt idx="20">
                  <c:v>-13.504</c:v>
                </c:pt>
                <c:pt idx="21">
                  <c:v>-13.9411</c:v>
                </c:pt>
                <c:pt idx="22">
                  <c:v>-13.647500000000001</c:v>
                </c:pt>
                <c:pt idx="23">
                  <c:v>-12.8962</c:v>
                </c:pt>
                <c:pt idx="24">
                  <c:v>-12.7455</c:v>
                </c:pt>
                <c:pt idx="25">
                  <c:v>-14.4254</c:v>
                </c:pt>
                <c:pt idx="26">
                  <c:v>-13.498100000000001</c:v>
                </c:pt>
                <c:pt idx="27">
                  <c:v>-13.906000000000001</c:v>
                </c:pt>
                <c:pt idx="28">
                  <c:v>-13.088100000000001</c:v>
                </c:pt>
                <c:pt idx="29">
                  <c:v>-13.6127</c:v>
                </c:pt>
                <c:pt idx="30">
                  <c:v>-14.2719</c:v>
                </c:pt>
                <c:pt idx="31">
                  <c:v>-14.798500000000001</c:v>
                </c:pt>
                <c:pt idx="32">
                  <c:v>-13.538500000000001</c:v>
                </c:pt>
                <c:pt idx="33">
                  <c:v>-11.889900000000001</c:v>
                </c:pt>
                <c:pt idx="34">
                  <c:v>-12.8583</c:v>
                </c:pt>
                <c:pt idx="35">
                  <c:v>-13.456300000000001</c:v>
                </c:pt>
                <c:pt idx="36">
                  <c:v>-12.6991</c:v>
                </c:pt>
                <c:pt idx="37">
                  <c:v>-13.132999999999999</c:v>
                </c:pt>
                <c:pt idx="38">
                  <c:v>-13.748699999999999</c:v>
                </c:pt>
                <c:pt idx="39">
                  <c:v>-10.923299999999999</c:v>
                </c:pt>
                <c:pt idx="40">
                  <c:v>-11.792199999999999</c:v>
                </c:pt>
                <c:pt idx="41">
                  <c:v>-12.793900000000001</c:v>
                </c:pt>
                <c:pt idx="42">
                  <c:v>-12.7378</c:v>
                </c:pt>
                <c:pt idx="43">
                  <c:v>-13.1998</c:v>
                </c:pt>
                <c:pt idx="44">
                  <c:v>-13.6732</c:v>
                </c:pt>
                <c:pt idx="45">
                  <c:v>-11.345700000000001</c:v>
                </c:pt>
                <c:pt idx="46">
                  <c:v>-13.978</c:v>
                </c:pt>
                <c:pt idx="47">
                  <c:v>-11.7179</c:v>
                </c:pt>
                <c:pt idx="48">
                  <c:v>-15.3363</c:v>
                </c:pt>
                <c:pt idx="49">
                  <c:v>-13.8474</c:v>
                </c:pt>
                <c:pt idx="50">
                  <c:v>-14.554600000000001</c:v>
                </c:pt>
                <c:pt idx="51">
                  <c:v>-13.6883</c:v>
                </c:pt>
                <c:pt idx="52">
                  <c:v>-14.742100000000001</c:v>
                </c:pt>
                <c:pt idx="53">
                  <c:v>-15.0685</c:v>
                </c:pt>
                <c:pt idx="54">
                  <c:v>-15.131</c:v>
                </c:pt>
                <c:pt idx="55">
                  <c:v>-15.072900000000001</c:v>
                </c:pt>
                <c:pt idx="56">
                  <c:v>-15.904400000000001</c:v>
                </c:pt>
                <c:pt idx="57">
                  <c:v>-12.8935</c:v>
                </c:pt>
                <c:pt idx="58">
                  <c:v>-13.5031</c:v>
                </c:pt>
                <c:pt idx="59">
                  <c:v>-14.852</c:v>
                </c:pt>
                <c:pt idx="60">
                  <c:v>-14.4422</c:v>
                </c:pt>
                <c:pt idx="61">
                  <c:v>-14.311299999999999</c:v>
                </c:pt>
                <c:pt idx="62">
                  <c:v>-14.1129</c:v>
                </c:pt>
                <c:pt idx="63">
                  <c:v>-15.600199999999999</c:v>
                </c:pt>
                <c:pt idx="64">
                  <c:v>-14.6386</c:v>
                </c:pt>
                <c:pt idx="65">
                  <c:v>-14.2339</c:v>
                </c:pt>
                <c:pt idx="66">
                  <c:v>-13.939</c:v>
                </c:pt>
                <c:pt idx="67">
                  <c:v>-13.5924</c:v>
                </c:pt>
                <c:pt idx="68">
                  <c:v>-14.416399999999999</c:v>
                </c:pt>
                <c:pt idx="69">
                  <c:v>-12.809699999999999</c:v>
                </c:pt>
                <c:pt idx="70">
                  <c:v>-12.5524</c:v>
                </c:pt>
                <c:pt idx="71">
                  <c:v>-14.5814</c:v>
                </c:pt>
                <c:pt idx="72">
                  <c:v>-14.459099999999999</c:v>
                </c:pt>
                <c:pt idx="73">
                  <c:v>-14.246700000000001</c:v>
                </c:pt>
                <c:pt idx="74">
                  <c:v>-13.198700000000001</c:v>
                </c:pt>
                <c:pt idx="75">
                  <c:v>-13.7272</c:v>
                </c:pt>
                <c:pt idx="76">
                  <c:v>-14.894299999999999</c:v>
                </c:pt>
                <c:pt idx="77">
                  <c:v>-14.1244</c:v>
                </c:pt>
                <c:pt idx="78">
                  <c:v>-14.9331</c:v>
                </c:pt>
                <c:pt idx="79">
                  <c:v>-14.484299999999999</c:v>
                </c:pt>
                <c:pt idx="80">
                  <c:v>-13.9704</c:v>
                </c:pt>
                <c:pt idx="81">
                  <c:v>-13.4672</c:v>
                </c:pt>
                <c:pt idx="82">
                  <c:v>-11.973000000000001</c:v>
                </c:pt>
                <c:pt idx="83">
                  <c:v>-14.044600000000001</c:v>
                </c:pt>
                <c:pt idx="84">
                  <c:v>-14.858700000000001</c:v>
                </c:pt>
                <c:pt idx="85">
                  <c:v>-17.5259</c:v>
                </c:pt>
                <c:pt idx="86">
                  <c:v>-16.604500000000002</c:v>
                </c:pt>
                <c:pt idx="87">
                  <c:v>-15.8719</c:v>
                </c:pt>
                <c:pt idx="88">
                  <c:v>-14.683</c:v>
                </c:pt>
                <c:pt idx="89">
                  <c:v>-15.2051</c:v>
                </c:pt>
                <c:pt idx="90">
                  <c:v>-14.3461</c:v>
                </c:pt>
                <c:pt idx="91">
                  <c:v>-13.7967</c:v>
                </c:pt>
                <c:pt idx="92">
                  <c:v>-14.792999999999999</c:v>
                </c:pt>
                <c:pt idx="93">
                  <c:v>-12.9876</c:v>
                </c:pt>
                <c:pt idx="94">
                  <c:v>-16.6783</c:v>
                </c:pt>
                <c:pt idx="95">
                  <c:v>-17.8401</c:v>
                </c:pt>
                <c:pt idx="96">
                  <c:v>-16.38</c:v>
                </c:pt>
                <c:pt idx="97">
                  <c:v>-14.069699999999999</c:v>
                </c:pt>
                <c:pt idx="98">
                  <c:v>-14.218400000000001</c:v>
                </c:pt>
                <c:pt idx="99">
                  <c:v>-14.901899999999999</c:v>
                </c:pt>
                <c:pt idx="100">
                  <c:v>-16.207899999999999</c:v>
                </c:pt>
                <c:pt idx="101">
                  <c:v>-15.758599999999999</c:v>
                </c:pt>
                <c:pt idx="102">
                  <c:v>-15.114800000000001</c:v>
                </c:pt>
                <c:pt idx="103">
                  <c:v>-16.111499999999999</c:v>
                </c:pt>
                <c:pt idx="104">
                  <c:v>-17.392700000000001</c:v>
                </c:pt>
                <c:pt idx="105">
                  <c:v>-14.813000000000001</c:v>
                </c:pt>
                <c:pt idx="106">
                  <c:v>-16.495899999999999</c:v>
                </c:pt>
                <c:pt idx="107">
                  <c:v>-15.9916</c:v>
                </c:pt>
                <c:pt idx="108">
                  <c:v>-15.6677</c:v>
                </c:pt>
                <c:pt idx="109">
                  <c:v>-15.3741</c:v>
                </c:pt>
                <c:pt idx="110">
                  <c:v>-16.553699999999999</c:v>
                </c:pt>
                <c:pt idx="111">
                  <c:v>-16.214200000000002</c:v>
                </c:pt>
                <c:pt idx="112">
                  <c:v>-15.9712</c:v>
                </c:pt>
                <c:pt idx="113">
                  <c:v>-16.410299999999999</c:v>
                </c:pt>
                <c:pt idx="114">
                  <c:v>-15.899100000000001</c:v>
                </c:pt>
                <c:pt idx="115">
                  <c:v>-19.121200000000002</c:v>
                </c:pt>
                <c:pt idx="116">
                  <c:v>-16.9329</c:v>
                </c:pt>
                <c:pt idx="117">
                  <c:v>-16.0822</c:v>
                </c:pt>
                <c:pt idx="118">
                  <c:v>-16.359400000000001</c:v>
                </c:pt>
                <c:pt idx="119">
                  <c:v>-17.661999999999999</c:v>
                </c:pt>
                <c:pt idx="120">
                  <c:v>-14.7202</c:v>
                </c:pt>
                <c:pt idx="121">
                  <c:v>-14.688499999999999</c:v>
                </c:pt>
                <c:pt idx="122">
                  <c:v>-17.2074</c:v>
                </c:pt>
                <c:pt idx="123">
                  <c:v>-16.354800000000001</c:v>
                </c:pt>
                <c:pt idx="124">
                  <c:v>-15.916399999999999</c:v>
                </c:pt>
                <c:pt idx="125">
                  <c:v>-17.090699999999998</c:v>
                </c:pt>
                <c:pt idx="126">
                  <c:v>-17.619299999999999</c:v>
                </c:pt>
                <c:pt idx="127">
                  <c:v>-17.385300000000001</c:v>
                </c:pt>
                <c:pt idx="128">
                  <c:v>-16.589500000000001</c:v>
                </c:pt>
                <c:pt idx="129">
                  <c:v>-17.134499999999999</c:v>
                </c:pt>
                <c:pt idx="130">
                  <c:v>-16.1617</c:v>
                </c:pt>
                <c:pt idx="131">
                  <c:v>-18.368500000000001</c:v>
                </c:pt>
                <c:pt idx="132">
                  <c:v>-16.144200000000001</c:v>
                </c:pt>
                <c:pt idx="133">
                  <c:v>-16.664000000000001</c:v>
                </c:pt>
                <c:pt idx="134">
                  <c:v>-17.2591</c:v>
                </c:pt>
                <c:pt idx="135">
                  <c:v>-17.153700000000001</c:v>
                </c:pt>
                <c:pt idx="136">
                  <c:v>-17.505700000000001</c:v>
                </c:pt>
                <c:pt idx="137">
                  <c:v>-17.065999999999999</c:v>
                </c:pt>
                <c:pt idx="138">
                  <c:v>-17.163499999999999</c:v>
                </c:pt>
                <c:pt idx="139">
                  <c:v>-18.004300000000001</c:v>
                </c:pt>
                <c:pt idx="140">
                  <c:v>-16.977399999999999</c:v>
                </c:pt>
                <c:pt idx="141">
                  <c:v>-17.2578</c:v>
                </c:pt>
                <c:pt idx="142">
                  <c:v>-14.4405</c:v>
                </c:pt>
                <c:pt idx="143">
                  <c:v>-16.2683</c:v>
                </c:pt>
                <c:pt idx="144">
                  <c:v>-15.579700000000001</c:v>
                </c:pt>
                <c:pt idx="145">
                  <c:v>-18.049800000000001</c:v>
                </c:pt>
                <c:pt idx="146">
                  <c:v>-16.027100000000001</c:v>
                </c:pt>
                <c:pt idx="147">
                  <c:v>-16.786799999999999</c:v>
                </c:pt>
                <c:pt idx="148">
                  <c:v>-16.519300000000001</c:v>
                </c:pt>
                <c:pt idx="149">
                  <c:v>-16.265899999999998</c:v>
                </c:pt>
                <c:pt idx="150">
                  <c:v>-17.402699999999999</c:v>
                </c:pt>
                <c:pt idx="151">
                  <c:v>-19.355499999999999</c:v>
                </c:pt>
                <c:pt idx="152">
                  <c:v>-16.6891</c:v>
                </c:pt>
                <c:pt idx="153">
                  <c:v>-16.014500000000002</c:v>
                </c:pt>
                <c:pt idx="154">
                  <c:v>-16.781400000000001</c:v>
                </c:pt>
                <c:pt idx="155">
                  <c:v>-14.247999999999999</c:v>
                </c:pt>
                <c:pt idx="156">
                  <c:v>-16.882000000000001</c:v>
                </c:pt>
                <c:pt idx="157">
                  <c:v>-16.5929</c:v>
                </c:pt>
                <c:pt idx="158">
                  <c:v>-18.084499999999998</c:v>
                </c:pt>
                <c:pt idx="159">
                  <c:v>-17.139099999999999</c:v>
                </c:pt>
                <c:pt idx="160">
                  <c:v>-17.9604</c:v>
                </c:pt>
                <c:pt idx="161">
                  <c:v>-14.891999999999999</c:v>
                </c:pt>
                <c:pt idx="162">
                  <c:v>-16.716000000000001</c:v>
                </c:pt>
                <c:pt idx="163">
                  <c:v>-16.325600000000001</c:v>
                </c:pt>
                <c:pt idx="164">
                  <c:v>-16.284600000000001</c:v>
                </c:pt>
                <c:pt idx="165">
                  <c:v>-18.9238</c:v>
                </c:pt>
                <c:pt idx="166">
                  <c:v>-18.526</c:v>
                </c:pt>
                <c:pt idx="167">
                  <c:v>-17.8521</c:v>
                </c:pt>
                <c:pt idx="168">
                  <c:v>-17.174700000000001</c:v>
                </c:pt>
                <c:pt idx="169">
                  <c:v>-16.756399999999999</c:v>
                </c:pt>
                <c:pt idx="170">
                  <c:v>-18.9239</c:v>
                </c:pt>
                <c:pt idx="171">
                  <c:v>-18.308399999999999</c:v>
                </c:pt>
                <c:pt idx="172">
                  <c:v>-17.3916</c:v>
                </c:pt>
                <c:pt idx="173">
                  <c:v>-16.803999999999998</c:v>
                </c:pt>
                <c:pt idx="174">
                  <c:v>-16.976299999999998</c:v>
                </c:pt>
                <c:pt idx="175">
                  <c:v>-18.064499999999999</c:v>
                </c:pt>
                <c:pt idx="176">
                  <c:v>-18.1587</c:v>
                </c:pt>
                <c:pt idx="177">
                  <c:v>-17.826499999999999</c:v>
                </c:pt>
                <c:pt idx="178">
                  <c:v>-18.7103</c:v>
                </c:pt>
                <c:pt idx="179">
                  <c:v>-15.448600000000001</c:v>
                </c:pt>
                <c:pt idx="180">
                  <c:v>-18.7454</c:v>
                </c:pt>
                <c:pt idx="181">
                  <c:v>-20.336500000000001</c:v>
                </c:pt>
                <c:pt idx="182">
                  <c:v>-18.9252</c:v>
                </c:pt>
                <c:pt idx="183">
                  <c:v>-19.575399999999998</c:v>
                </c:pt>
                <c:pt idx="184">
                  <c:v>-19.1358</c:v>
                </c:pt>
                <c:pt idx="185">
                  <c:v>-18.389600000000002</c:v>
                </c:pt>
                <c:pt idx="186">
                  <c:v>-16.8718</c:v>
                </c:pt>
                <c:pt idx="187">
                  <c:v>-15.5593</c:v>
                </c:pt>
                <c:pt idx="188">
                  <c:v>-15.9483</c:v>
                </c:pt>
                <c:pt idx="189">
                  <c:v>-16.099599999999999</c:v>
                </c:pt>
                <c:pt idx="190">
                  <c:v>-16.348600000000001</c:v>
                </c:pt>
                <c:pt idx="191">
                  <c:v>-17.384599999999999</c:v>
                </c:pt>
                <c:pt idx="192">
                  <c:v>-16.6051</c:v>
                </c:pt>
                <c:pt idx="193">
                  <c:v>-17.899100000000001</c:v>
                </c:pt>
                <c:pt idx="194">
                  <c:v>-16.925699999999999</c:v>
                </c:pt>
                <c:pt idx="195">
                  <c:v>-18.071100000000001</c:v>
                </c:pt>
                <c:pt idx="196">
                  <c:v>-17.4038</c:v>
                </c:pt>
                <c:pt idx="197">
                  <c:v>-18.041599999999999</c:v>
                </c:pt>
                <c:pt idx="198">
                  <c:v>-17.633400000000002</c:v>
                </c:pt>
                <c:pt idx="199">
                  <c:v>-17.7789</c:v>
                </c:pt>
                <c:pt idx="200">
                  <c:v>-17.724799999999998</c:v>
                </c:pt>
                <c:pt idx="201">
                  <c:v>-17.967500000000001</c:v>
                </c:pt>
                <c:pt idx="202">
                  <c:v>-17.124300000000002</c:v>
                </c:pt>
                <c:pt idx="203">
                  <c:v>-18.203700000000001</c:v>
                </c:pt>
                <c:pt idx="204">
                  <c:v>-17.694800000000001</c:v>
                </c:pt>
                <c:pt idx="205">
                  <c:v>-17.1401</c:v>
                </c:pt>
                <c:pt idx="206">
                  <c:v>-18.300799999999999</c:v>
                </c:pt>
                <c:pt idx="207">
                  <c:v>-18.218399999999999</c:v>
                </c:pt>
                <c:pt idx="208">
                  <c:v>-16.9313</c:v>
                </c:pt>
                <c:pt idx="209">
                  <c:v>-18.604600000000001</c:v>
                </c:pt>
                <c:pt idx="210">
                  <c:v>-17.496400000000001</c:v>
                </c:pt>
                <c:pt idx="211">
                  <c:v>-17.353200000000001</c:v>
                </c:pt>
                <c:pt idx="212">
                  <c:v>-17.677399999999999</c:v>
                </c:pt>
                <c:pt idx="213">
                  <c:v>-16.098600000000001</c:v>
                </c:pt>
                <c:pt idx="214">
                  <c:v>-17.7699</c:v>
                </c:pt>
                <c:pt idx="215">
                  <c:v>-18.800899999999999</c:v>
                </c:pt>
                <c:pt idx="216">
                  <c:v>-19.770199999999999</c:v>
                </c:pt>
                <c:pt idx="217">
                  <c:v>-19.703099999999999</c:v>
                </c:pt>
                <c:pt idx="218">
                  <c:v>-19.960599999999999</c:v>
                </c:pt>
                <c:pt idx="219">
                  <c:v>-19.046800000000001</c:v>
                </c:pt>
                <c:pt idx="220">
                  <c:v>-17.771100000000001</c:v>
                </c:pt>
                <c:pt idx="221">
                  <c:v>-18.825700000000001</c:v>
                </c:pt>
                <c:pt idx="222">
                  <c:v>-18.234100000000002</c:v>
                </c:pt>
                <c:pt idx="223">
                  <c:v>-19.758400000000002</c:v>
                </c:pt>
                <c:pt idx="224">
                  <c:v>-20.015699999999999</c:v>
                </c:pt>
                <c:pt idx="225">
                  <c:v>-19.678100000000001</c:v>
                </c:pt>
                <c:pt idx="226">
                  <c:v>-18.414400000000001</c:v>
                </c:pt>
                <c:pt idx="227">
                  <c:v>-17.879200000000001</c:v>
                </c:pt>
                <c:pt idx="228">
                  <c:v>-17.197199999999999</c:v>
                </c:pt>
                <c:pt idx="229">
                  <c:v>-19.5228</c:v>
                </c:pt>
                <c:pt idx="230">
                  <c:v>-17.334800000000001</c:v>
                </c:pt>
                <c:pt idx="231">
                  <c:v>-18.9572</c:v>
                </c:pt>
                <c:pt idx="232">
                  <c:v>-18.865300000000001</c:v>
                </c:pt>
                <c:pt idx="233">
                  <c:v>-17.145900000000001</c:v>
                </c:pt>
                <c:pt idx="234">
                  <c:v>-17.9178</c:v>
                </c:pt>
                <c:pt idx="235">
                  <c:v>-18.2806</c:v>
                </c:pt>
                <c:pt idx="236">
                  <c:v>-19.577000000000002</c:v>
                </c:pt>
                <c:pt idx="237">
                  <c:v>-19.3185</c:v>
                </c:pt>
                <c:pt idx="238">
                  <c:v>-20.639800000000001</c:v>
                </c:pt>
                <c:pt idx="239">
                  <c:v>-19.553100000000001</c:v>
                </c:pt>
                <c:pt idx="240">
                  <c:v>-18.9878</c:v>
                </c:pt>
                <c:pt idx="241">
                  <c:v>-18.323599999999999</c:v>
                </c:pt>
                <c:pt idx="242">
                  <c:v>-19.716000000000001</c:v>
                </c:pt>
                <c:pt idx="243">
                  <c:v>-19.682099999999998</c:v>
                </c:pt>
                <c:pt idx="244">
                  <c:v>-21.8307</c:v>
                </c:pt>
                <c:pt idx="245">
                  <c:v>-19.042899999999999</c:v>
                </c:pt>
                <c:pt idx="246">
                  <c:v>-19.404</c:v>
                </c:pt>
                <c:pt idx="247">
                  <c:v>-21.252700000000001</c:v>
                </c:pt>
                <c:pt idx="248">
                  <c:v>-20.4452</c:v>
                </c:pt>
                <c:pt idx="249">
                  <c:v>-19.484000000000002</c:v>
                </c:pt>
                <c:pt idx="250">
                  <c:v>-20.141200000000001</c:v>
                </c:pt>
                <c:pt idx="251">
                  <c:v>-18.296500000000002</c:v>
                </c:pt>
                <c:pt idx="252">
                  <c:v>-19.8691</c:v>
                </c:pt>
                <c:pt idx="253">
                  <c:v>-21.284300000000002</c:v>
                </c:pt>
                <c:pt idx="254">
                  <c:v>-19.895199999999999</c:v>
                </c:pt>
                <c:pt idx="255">
                  <c:v>-22.093</c:v>
                </c:pt>
                <c:pt idx="256">
                  <c:v>-20.2545</c:v>
                </c:pt>
                <c:pt idx="257">
                  <c:v>-18.61</c:v>
                </c:pt>
                <c:pt idx="258">
                  <c:v>-19.4603</c:v>
                </c:pt>
                <c:pt idx="259">
                  <c:v>-21.2194</c:v>
                </c:pt>
                <c:pt idx="260">
                  <c:v>-20.899000000000001</c:v>
                </c:pt>
                <c:pt idx="261">
                  <c:v>-21.126799999999999</c:v>
                </c:pt>
                <c:pt idx="262">
                  <c:v>-21.332599999999999</c:v>
                </c:pt>
                <c:pt idx="263">
                  <c:v>-19.827300000000001</c:v>
                </c:pt>
                <c:pt idx="264">
                  <c:v>-20.049399999999999</c:v>
                </c:pt>
                <c:pt idx="265">
                  <c:v>-18.419</c:v>
                </c:pt>
                <c:pt idx="266">
                  <c:v>-18.87</c:v>
                </c:pt>
                <c:pt idx="267">
                  <c:v>-19.613399999999999</c:v>
                </c:pt>
                <c:pt idx="268">
                  <c:v>-22.0198</c:v>
                </c:pt>
                <c:pt idx="269">
                  <c:v>-23.071300000000001</c:v>
                </c:pt>
                <c:pt idx="270">
                  <c:v>-21.671600000000002</c:v>
                </c:pt>
                <c:pt idx="271">
                  <c:v>-22.294</c:v>
                </c:pt>
                <c:pt idx="272">
                  <c:v>-22.080500000000001</c:v>
                </c:pt>
                <c:pt idx="273">
                  <c:v>-20.567499999999999</c:v>
                </c:pt>
                <c:pt idx="274">
                  <c:v>-22.7302</c:v>
                </c:pt>
                <c:pt idx="275">
                  <c:v>-22.1435</c:v>
                </c:pt>
                <c:pt idx="276">
                  <c:v>-22.362300000000001</c:v>
                </c:pt>
                <c:pt idx="277">
                  <c:v>-25.4892</c:v>
                </c:pt>
                <c:pt idx="278">
                  <c:v>-23.565000000000001</c:v>
                </c:pt>
                <c:pt idx="279">
                  <c:v>-23.048500000000001</c:v>
                </c:pt>
                <c:pt idx="280">
                  <c:v>-22.260100000000001</c:v>
                </c:pt>
                <c:pt idx="281">
                  <c:v>-21.223500000000001</c:v>
                </c:pt>
                <c:pt idx="282">
                  <c:v>-21.1982</c:v>
                </c:pt>
                <c:pt idx="283">
                  <c:v>-21.7029</c:v>
                </c:pt>
                <c:pt idx="284">
                  <c:v>-21.6966</c:v>
                </c:pt>
                <c:pt idx="285">
                  <c:v>-23.187899999999999</c:v>
                </c:pt>
                <c:pt idx="286">
                  <c:v>-23.2956</c:v>
                </c:pt>
                <c:pt idx="287">
                  <c:v>-23.188600000000001</c:v>
                </c:pt>
                <c:pt idx="288">
                  <c:v>-21.275200000000002</c:v>
                </c:pt>
                <c:pt idx="289">
                  <c:v>-22.515699999999999</c:v>
                </c:pt>
                <c:pt idx="290">
                  <c:v>-22.422000000000001</c:v>
                </c:pt>
                <c:pt idx="291">
                  <c:v>-20.835699999999999</c:v>
                </c:pt>
                <c:pt idx="292">
                  <c:v>-22.172599999999999</c:v>
                </c:pt>
                <c:pt idx="293">
                  <c:v>-21.653700000000001</c:v>
                </c:pt>
                <c:pt idx="294">
                  <c:v>-22.9984</c:v>
                </c:pt>
                <c:pt idx="295">
                  <c:v>-22.098800000000001</c:v>
                </c:pt>
                <c:pt idx="296">
                  <c:v>-21.165700000000001</c:v>
                </c:pt>
                <c:pt idx="297">
                  <c:v>-21.847300000000001</c:v>
                </c:pt>
                <c:pt idx="298">
                  <c:v>-21.403300000000002</c:v>
                </c:pt>
                <c:pt idx="299">
                  <c:v>-22.495999999999999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01A-5946-9576-ECA13DF555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Capture Price (EUR/MWh)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P50/P90/P99 at Key Project Horizons — DK1 Primary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Simulation!$L$2</c:f>
              <c:strCache>
                <c:ptCount val="1"/>
                <c:pt idx="0">
                  <c:v>P50</c:v>
                </c:pt>
              </c:strCache>
            </c:strRef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Simulation!$L$3:$L$7</c:f>
              <c:numCache>
                <c:formatCode>General</c:formatCode>
                <c:ptCount val="5"/>
                <c:pt idx="0">
                  <c:v>62.42</c:v>
                </c:pt>
                <c:pt idx="1">
                  <c:v>60.67</c:v>
                </c:pt>
                <c:pt idx="2">
                  <c:v>58.52</c:v>
                </c:pt>
                <c:pt idx="3">
                  <c:v>57.43</c:v>
                </c:pt>
                <c:pt idx="4">
                  <c:v>54.79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AC9F-9844-A1E5-B089253F35DC}"/>
            </c:ext>
          </c:extLst>
        </c:ser>
        <c:ser>
          <c:idx val="1"/>
          <c:order val="1"/>
          <c:tx>
            <c:strRef>
              <c:f>Simulation!$M$2</c:f>
              <c:strCache>
                <c:ptCount val="1"/>
                <c:pt idx="0">
                  <c:v>P90</c:v>
                </c:pt>
              </c:strCache>
            </c:strRef>
          </c:tx>
          <c:spPr>
            <a:solidFill>
              <a:srgbClr val="FF8C00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Simulation!$M$3:$M$7</c:f>
              <c:numCache>
                <c:formatCode>General</c:formatCode>
                <c:ptCount val="5"/>
                <c:pt idx="0">
                  <c:v>19.97</c:v>
                </c:pt>
                <c:pt idx="1">
                  <c:v>18.27</c:v>
                </c:pt>
                <c:pt idx="2">
                  <c:v>16.52</c:v>
                </c:pt>
                <c:pt idx="3">
                  <c:v>14.71</c:v>
                </c:pt>
                <c:pt idx="4">
                  <c:v>12.55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AC9F-9844-A1E5-B089253F35DC}"/>
            </c:ext>
          </c:extLst>
        </c:ser>
        <c:ser>
          <c:idx val="2"/>
          <c:order val="2"/>
          <c:tx>
            <c:strRef>
              <c:f>Simulation!$N$2</c:f>
              <c:strCache>
                <c:ptCount val="1"/>
                <c:pt idx="0">
                  <c:v>P99</c:v>
                </c:pt>
              </c:strCache>
            </c:strRef>
          </c:tx>
          <c:spPr>
            <a:solidFill>
              <a:srgbClr val="C00000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Simulation!$N$3:$N$7</c:f>
              <c:numCache>
                <c:formatCode>General</c:formatCode>
                <c:ptCount val="5"/>
                <c:pt idx="0">
                  <c:v>-14.85</c:v>
                </c:pt>
                <c:pt idx="1">
                  <c:v>-17.66</c:v>
                </c:pt>
                <c:pt idx="2">
                  <c:v>-15.45</c:v>
                </c:pt>
                <c:pt idx="3">
                  <c:v>-19.55</c:v>
                </c:pt>
                <c:pt idx="4">
                  <c:v>-22.5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AC9F-9844-A1E5-B089253F35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Project Year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Capture Price (EUR/MWh)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MC Simulation - DK1 P50/P90/P99 Capture Price Paths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2.587037037037037E-2"/>
          <c:y val="4.8506944444444443E-2"/>
          <c:w val="0.97412962962962968"/>
          <c:h val="0.95149305555555552"/>
        </c:manualLayout>
      </c:layout>
      <c:lineChart>
        <c:grouping val="standard"/>
        <c:varyColors val="1"/>
        <c:ser>
          <c:idx val="0"/>
          <c:order val="0"/>
          <c:tx>
            <c:strRef>
              <c:f>Simulation!$C$1</c:f>
              <c:strCache>
                <c:ptCount val="1"/>
                <c:pt idx="0">
                  <c:v>mu_capture</c:v>
                </c:pt>
              </c:strCache>
            </c:strRef>
          </c:tx>
          <c:spPr>
            <a:ln>
              <a:solidFill>
                <a:srgbClr val="70AD47"/>
              </a:solidFill>
              <a:prstDash val="solid"/>
            </a:ln>
          </c:spPr>
          <c:marker>
            <c:symbol val="none"/>
          </c:marker>
          <c:val>
            <c:numRef>
              <c:f>Simulation!$C$2:$C$301</c:f>
              <c:numCache>
                <c:formatCode>General</c:formatCode>
                <c:ptCount val="300"/>
                <c:pt idx="0">
                  <c:v>64.879900000000006</c:v>
                </c:pt>
                <c:pt idx="1">
                  <c:v>64.845699999999994</c:v>
                </c:pt>
                <c:pt idx="2">
                  <c:v>64.811400000000006</c:v>
                </c:pt>
                <c:pt idx="3">
                  <c:v>64.777100000000004</c:v>
                </c:pt>
                <c:pt idx="4">
                  <c:v>64.742900000000006</c:v>
                </c:pt>
                <c:pt idx="5">
                  <c:v>64.708600000000004</c:v>
                </c:pt>
                <c:pt idx="6">
                  <c:v>64.674400000000006</c:v>
                </c:pt>
                <c:pt idx="7">
                  <c:v>64.640100000000004</c:v>
                </c:pt>
                <c:pt idx="8">
                  <c:v>64.605800000000002</c:v>
                </c:pt>
                <c:pt idx="9">
                  <c:v>64.571600000000004</c:v>
                </c:pt>
                <c:pt idx="10">
                  <c:v>64.537300000000002</c:v>
                </c:pt>
                <c:pt idx="11">
                  <c:v>64.503</c:v>
                </c:pt>
                <c:pt idx="12">
                  <c:v>64.468800000000002</c:v>
                </c:pt>
                <c:pt idx="13">
                  <c:v>64.4345</c:v>
                </c:pt>
                <c:pt idx="14">
                  <c:v>64.400300000000001</c:v>
                </c:pt>
                <c:pt idx="15">
                  <c:v>64.366</c:v>
                </c:pt>
                <c:pt idx="16">
                  <c:v>64.331699999999998</c:v>
                </c:pt>
                <c:pt idx="17">
                  <c:v>64.297499999999999</c:v>
                </c:pt>
                <c:pt idx="18">
                  <c:v>64.263199999999998</c:v>
                </c:pt>
                <c:pt idx="19">
                  <c:v>64.228999999999999</c:v>
                </c:pt>
                <c:pt idx="20">
                  <c:v>64.194699999999997</c:v>
                </c:pt>
                <c:pt idx="21">
                  <c:v>64.160399999999996</c:v>
                </c:pt>
                <c:pt idx="22">
                  <c:v>64.126199999999997</c:v>
                </c:pt>
                <c:pt idx="23">
                  <c:v>64.091899999999995</c:v>
                </c:pt>
                <c:pt idx="24">
                  <c:v>64.057599999999994</c:v>
                </c:pt>
                <c:pt idx="25">
                  <c:v>64.023399999999995</c:v>
                </c:pt>
                <c:pt idx="26">
                  <c:v>63.989100000000001</c:v>
                </c:pt>
                <c:pt idx="27">
                  <c:v>63.954900000000002</c:v>
                </c:pt>
                <c:pt idx="28">
                  <c:v>63.9206</c:v>
                </c:pt>
                <c:pt idx="29">
                  <c:v>63.886299999999999</c:v>
                </c:pt>
                <c:pt idx="30">
                  <c:v>63.8521</c:v>
                </c:pt>
                <c:pt idx="31">
                  <c:v>63.817799999999998</c:v>
                </c:pt>
                <c:pt idx="32">
                  <c:v>63.7836</c:v>
                </c:pt>
                <c:pt idx="33">
                  <c:v>63.749299999999998</c:v>
                </c:pt>
                <c:pt idx="34">
                  <c:v>63.715000000000003</c:v>
                </c:pt>
                <c:pt idx="35">
                  <c:v>63.680799999999998</c:v>
                </c:pt>
                <c:pt idx="36">
                  <c:v>63.646500000000003</c:v>
                </c:pt>
                <c:pt idx="37">
                  <c:v>63.612200000000001</c:v>
                </c:pt>
                <c:pt idx="38">
                  <c:v>63.578000000000003</c:v>
                </c:pt>
                <c:pt idx="39">
                  <c:v>63.543700000000001</c:v>
                </c:pt>
                <c:pt idx="40">
                  <c:v>63.509500000000003</c:v>
                </c:pt>
                <c:pt idx="41">
                  <c:v>63.475200000000001</c:v>
                </c:pt>
                <c:pt idx="42">
                  <c:v>63.440899999999999</c:v>
                </c:pt>
                <c:pt idx="43">
                  <c:v>63.406700000000001</c:v>
                </c:pt>
                <c:pt idx="44">
                  <c:v>63.372399999999999</c:v>
                </c:pt>
                <c:pt idx="45">
                  <c:v>63.338200000000001</c:v>
                </c:pt>
                <c:pt idx="46">
                  <c:v>63.303899999999999</c:v>
                </c:pt>
                <c:pt idx="47">
                  <c:v>63.269599999999997</c:v>
                </c:pt>
                <c:pt idx="48">
                  <c:v>63.235399999999998</c:v>
                </c:pt>
                <c:pt idx="49">
                  <c:v>63.201099999999997</c:v>
                </c:pt>
                <c:pt idx="50">
                  <c:v>63.166899999999998</c:v>
                </c:pt>
                <c:pt idx="51">
                  <c:v>63.132599999999996</c:v>
                </c:pt>
                <c:pt idx="52">
                  <c:v>63.098300000000002</c:v>
                </c:pt>
                <c:pt idx="53">
                  <c:v>63.064100000000003</c:v>
                </c:pt>
                <c:pt idx="54">
                  <c:v>63.029800000000002</c:v>
                </c:pt>
                <c:pt idx="55">
                  <c:v>62.9955</c:v>
                </c:pt>
                <c:pt idx="56">
                  <c:v>62.961300000000001</c:v>
                </c:pt>
                <c:pt idx="57">
                  <c:v>62.927</c:v>
                </c:pt>
                <c:pt idx="58">
                  <c:v>62.892800000000001</c:v>
                </c:pt>
                <c:pt idx="59">
                  <c:v>62.858499999999999</c:v>
                </c:pt>
                <c:pt idx="60">
                  <c:v>62.824199999999998</c:v>
                </c:pt>
                <c:pt idx="61">
                  <c:v>62.79</c:v>
                </c:pt>
                <c:pt idx="62">
                  <c:v>62.755699999999997</c:v>
                </c:pt>
                <c:pt idx="63">
                  <c:v>62.721499999999999</c:v>
                </c:pt>
                <c:pt idx="64">
                  <c:v>62.687199999999997</c:v>
                </c:pt>
                <c:pt idx="65">
                  <c:v>62.652900000000002</c:v>
                </c:pt>
                <c:pt idx="66">
                  <c:v>62.618699999999997</c:v>
                </c:pt>
                <c:pt idx="67">
                  <c:v>62.584400000000002</c:v>
                </c:pt>
                <c:pt idx="68">
                  <c:v>62.5501</c:v>
                </c:pt>
                <c:pt idx="69">
                  <c:v>62.515900000000002</c:v>
                </c:pt>
                <c:pt idx="70">
                  <c:v>62.4816</c:v>
                </c:pt>
                <c:pt idx="71">
                  <c:v>62.447400000000002</c:v>
                </c:pt>
                <c:pt idx="72">
                  <c:v>62.4131</c:v>
                </c:pt>
                <c:pt idx="73">
                  <c:v>62.378799999999998</c:v>
                </c:pt>
                <c:pt idx="74">
                  <c:v>62.3446</c:v>
                </c:pt>
                <c:pt idx="75">
                  <c:v>62.310299999999998</c:v>
                </c:pt>
                <c:pt idx="76">
                  <c:v>62.2761</c:v>
                </c:pt>
                <c:pt idx="77">
                  <c:v>62.241799999999998</c:v>
                </c:pt>
                <c:pt idx="78">
                  <c:v>62.207500000000003</c:v>
                </c:pt>
                <c:pt idx="79">
                  <c:v>62.173299999999998</c:v>
                </c:pt>
                <c:pt idx="80">
                  <c:v>62.139000000000003</c:v>
                </c:pt>
                <c:pt idx="81">
                  <c:v>62.104700000000001</c:v>
                </c:pt>
                <c:pt idx="82">
                  <c:v>62.070500000000003</c:v>
                </c:pt>
                <c:pt idx="83">
                  <c:v>62.036200000000001</c:v>
                </c:pt>
                <c:pt idx="84">
                  <c:v>62.002000000000002</c:v>
                </c:pt>
                <c:pt idx="85">
                  <c:v>61.967700000000001</c:v>
                </c:pt>
                <c:pt idx="86">
                  <c:v>61.933399999999999</c:v>
                </c:pt>
                <c:pt idx="87">
                  <c:v>61.8992</c:v>
                </c:pt>
                <c:pt idx="88">
                  <c:v>61.864899999999999</c:v>
                </c:pt>
                <c:pt idx="89">
                  <c:v>61.8307</c:v>
                </c:pt>
                <c:pt idx="90">
                  <c:v>61.796399999999998</c:v>
                </c:pt>
                <c:pt idx="91">
                  <c:v>61.762099999999997</c:v>
                </c:pt>
                <c:pt idx="92">
                  <c:v>61.727899999999998</c:v>
                </c:pt>
                <c:pt idx="93">
                  <c:v>61.693600000000004</c:v>
                </c:pt>
                <c:pt idx="94">
                  <c:v>61.659300000000002</c:v>
                </c:pt>
                <c:pt idx="95">
                  <c:v>61.625100000000003</c:v>
                </c:pt>
                <c:pt idx="96">
                  <c:v>61.590800000000002</c:v>
                </c:pt>
                <c:pt idx="97">
                  <c:v>61.556600000000003</c:v>
                </c:pt>
                <c:pt idx="98">
                  <c:v>61.522300000000001</c:v>
                </c:pt>
                <c:pt idx="99">
                  <c:v>61.488</c:v>
                </c:pt>
                <c:pt idx="100">
                  <c:v>61.453800000000001</c:v>
                </c:pt>
                <c:pt idx="101">
                  <c:v>61.419499999999999</c:v>
                </c:pt>
                <c:pt idx="102">
                  <c:v>61.385300000000001</c:v>
                </c:pt>
                <c:pt idx="103">
                  <c:v>61.350999999999999</c:v>
                </c:pt>
                <c:pt idx="104">
                  <c:v>61.316699999999997</c:v>
                </c:pt>
                <c:pt idx="105">
                  <c:v>61.282499999999999</c:v>
                </c:pt>
                <c:pt idx="106">
                  <c:v>61.248199999999997</c:v>
                </c:pt>
                <c:pt idx="107">
                  <c:v>61.213900000000002</c:v>
                </c:pt>
                <c:pt idx="108">
                  <c:v>61.179699999999997</c:v>
                </c:pt>
                <c:pt idx="109">
                  <c:v>61.145400000000002</c:v>
                </c:pt>
                <c:pt idx="110">
                  <c:v>61.111199999999997</c:v>
                </c:pt>
                <c:pt idx="111">
                  <c:v>61.076900000000002</c:v>
                </c:pt>
                <c:pt idx="112">
                  <c:v>61.0426</c:v>
                </c:pt>
                <c:pt idx="113">
                  <c:v>61.008400000000002</c:v>
                </c:pt>
                <c:pt idx="114">
                  <c:v>60.9741</c:v>
                </c:pt>
                <c:pt idx="115">
                  <c:v>60.939900000000002</c:v>
                </c:pt>
                <c:pt idx="116">
                  <c:v>60.9056</c:v>
                </c:pt>
                <c:pt idx="117">
                  <c:v>60.871299999999998</c:v>
                </c:pt>
                <c:pt idx="118">
                  <c:v>60.8371</c:v>
                </c:pt>
                <c:pt idx="119">
                  <c:v>60.802799999999998</c:v>
                </c:pt>
                <c:pt idx="120">
                  <c:v>60.768500000000003</c:v>
                </c:pt>
                <c:pt idx="121">
                  <c:v>60.734299999999998</c:v>
                </c:pt>
                <c:pt idx="122">
                  <c:v>60.7</c:v>
                </c:pt>
                <c:pt idx="123">
                  <c:v>60.665799999999997</c:v>
                </c:pt>
                <c:pt idx="124">
                  <c:v>60.631500000000003</c:v>
                </c:pt>
                <c:pt idx="125">
                  <c:v>60.597200000000001</c:v>
                </c:pt>
                <c:pt idx="126">
                  <c:v>60.563000000000002</c:v>
                </c:pt>
                <c:pt idx="127">
                  <c:v>60.528700000000001</c:v>
                </c:pt>
                <c:pt idx="128">
                  <c:v>60.494500000000002</c:v>
                </c:pt>
                <c:pt idx="129">
                  <c:v>60.4602</c:v>
                </c:pt>
                <c:pt idx="130">
                  <c:v>60.425899999999999</c:v>
                </c:pt>
                <c:pt idx="131">
                  <c:v>60.3917</c:v>
                </c:pt>
                <c:pt idx="132">
                  <c:v>60.357399999999998</c:v>
                </c:pt>
                <c:pt idx="133">
                  <c:v>60.323099999999997</c:v>
                </c:pt>
                <c:pt idx="134">
                  <c:v>60.288899999999998</c:v>
                </c:pt>
                <c:pt idx="135">
                  <c:v>60.254600000000003</c:v>
                </c:pt>
                <c:pt idx="136">
                  <c:v>60.220399999999998</c:v>
                </c:pt>
                <c:pt idx="137">
                  <c:v>60.186100000000003</c:v>
                </c:pt>
                <c:pt idx="138">
                  <c:v>60.151800000000001</c:v>
                </c:pt>
                <c:pt idx="139">
                  <c:v>60.117600000000003</c:v>
                </c:pt>
                <c:pt idx="140">
                  <c:v>60.083300000000001</c:v>
                </c:pt>
                <c:pt idx="141">
                  <c:v>60.049100000000003</c:v>
                </c:pt>
                <c:pt idx="142">
                  <c:v>60.014800000000001</c:v>
                </c:pt>
                <c:pt idx="143">
                  <c:v>59.980499999999999</c:v>
                </c:pt>
                <c:pt idx="144">
                  <c:v>59.946300000000001</c:v>
                </c:pt>
                <c:pt idx="145">
                  <c:v>59.911999999999999</c:v>
                </c:pt>
                <c:pt idx="146">
                  <c:v>59.877699999999997</c:v>
                </c:pt>
                <c:pt idx="147">
                  <c:v>59.843499999999999</c:v>
                </c:pt>
                <c:pt idx="148">
                  <c:v>59.809199999999997</c:v>
                </c:pt>
                <c:pt idx="149">
                  <c:v>59.774999999999999</c:v>
                </c:pt>
                <c:pt idx="150">
                  <c:v>59.740699999999997</c:v>
                </c:pt>
                <c:pt idx="151">
                  <c:v>59.706400000000002</c:v>
                </c:pt>
                <c:pt idx="152">
                  <c:v>59.672199999999997</c:v>
                </c:pt>
                <c:pt idx="153">
                  <c:v>59.637900000000002</c:v>
                </c:pt>
                <c:pt idx="154">
                  <c:v>59.603700000000003</c:v>
                </c:pt>
                <c:pt idx="155">
                  <c:v>59.569400000000002</c:v>
                </c:pt>
                <c:pt idx="156">
                  <c:v>59.5351</c:v>
                </c:pt>
                <c:pt idx="157">
                  <c:v>59.500900000000001</c:v>
                </c:pt>
                <c:pt idx="158">
                  <c:v>59.4666</c:v>
                </c:pt>
                <c:pt idx="159">
                  <c:v>59.432299999999998</c:v>
                </c:pt>
                <c:pt idx="160">
                  <c:v>59.398099999999999</c:v>
                </c:pt>
                <c:pt idx="161">
                  <c:v>59.363799999999998</c:v>
                </c:pt>
                <c:pt idx="162">
                  <c:v>59.329599999999999</c:v>
                </c:pt>
                <c:pt idx="163">
                  <c:v>59.295299999999997</c:v>
                </c:pt>
                <c:pt idx="164">
                  <c:v>59.261000000000003</c:v>
                </c:pt>
                <c:pt idx="165">
                  <c:v>59.226799999999997</c:v>
                </c:pt>
                <c:pt idx="166">
                  <c:v>59.192500000000003</c:v>
                </c:pt>
                <c:pt idx="167">
                  <c:v>59.158299999999997</c:v>
                </c:pt>
                <c:pt idx="168">
                  <c:v>59.124000000000002</c:v>
                </c:pt>
                <c:pt idx="169">
                  <c:v>59.089700000000001</c:v>
                </c:pt>
                <c:pt idx="170">
                  <c:v>59.055500000000002</c:v>
                </c:pt>
                <c:pt idx="171">
                  <c:v>59.0212</c:v>
                </c:pt>
                <c:pt idx="172">
                  <c:v>58.986899999999999</c:v>
                </c:pt>
                <c:pt idx="173">
                  <c:v>58.9527</c:v>
                </c:pt>
                <c:pt idx="174">
                  <c:v>58.918399999999998</c:v>
                </c:pt>
                <c:pt idx="175">
                  <c:v>58.8842</c:v>
                </c:pt>
                <c:pt idx="176">
                  <c:v>58.849899999999998</c:v>
                </c:pt>
                <c:pt idx="177">
                  <c:v>58.815600000000003</c:v>
                </c:pt>
                <c:pt idx="178">
                  <c:v>58.781399999999998</c:v>
                </c:pt>
                <c:pt idx="179">
                  <c:v>58.747100000000003</c:v>
                </c:pt>
                <c:pt idx="180">
                  <c:v>58.712899999999998</c:v>
                </c:pt>
                <c:pt idx="181">
                  <c:v>58.678600000000003</c:v>
                </c:pt>
                <c:pt idx="182">
                  <c:v>58.644300000000001</c:v>
                </c:pt>
                <c:pt idx="183">
                  <c:v>58.610100000000003</c:v>
                </c:pt>
                <c:pt idx="184">
                  <c:v>58.575800000000001</c:v>
                </c:pt>
                <c:pt idx="185">
                  <c:v>58.541499999999999</c:v>
                </c:pt>
                <c:pt idx="186">
                  <c:v>58.507300000000001</c:v>
                </c:pt>
                <c:pt idx="187">
                  <c:v>58.472999999999999</c:v>
                </c:pt>
                <c:pt idx="188">
                  <c:v>58.438800000000001</c:v>
                </c:pt>
                <c:pt idx="189">
                  <c:v>58.404499999999999</c:v>
                </c:pt>
                <c:pt idx="190">
                  <c:v>58.370199999999997</c:v>
                </c:pt>
                <c:pt idx="191">
                  <c:v>58.335999999999999</c:v>
                </c:pt>
                <c:pt idx="192">
                  <c:v>58.301699999999997</c:v>
                </c:pt>
                <c:pt idx="193">
                  <c:v>58.267499999999998</c:v>
                </c:pt>
                <c:pt idx="194">
                  <c:v>58.233199999999997</c:v>
                </c:pt>
                <c:pt idx="195">
                  <c:v>58.198900000000002</c:v>
                </c:pt>
                <c:pt idx="196">
                  <c:v>58.164700000000003</c:v>
                </c:pt>
                <c:pt idx="197">
                  <c:v>58.130400000000002</c:v>
                </c:pt>
                <c:pt idx="198">
                  <c:v>58.0961</c:v>
                </c:pt>
                <c:pt idx="199">
                  <c:v>58.061900000000001</c:v>
                </c:pt>
                <c:pt idx="200">
                  <c:v>58.0276</c:v>
                </c:pt>
                <c:pt idx="201">
                  <c:v>57.993400000000001</c:v>
                </c:pt>
                <c:pt idx="202">
                  <c:v>57.959099999999999</c:v>
                </c:pt>
                <c:pt idx="203">
                  <c:v>57.924799999999998</c:v>
                </c:pt>
                <c:pt idx="204">
                  <c:v>57.890599999999999</c:v>
                </c:pt>
                <c:pt idx="205">
                  <c:v>57.856299999999997</c:v>
                </c:pt>
                <c:pt idx="206">
                  <c:v>57.822099999999999</c:v>
                </c:pt>
                <c:pt idx="207">
                  <c:v>57.787799999999997</c:v>
                </c:pt>
                <c:pt idx="208">
                  <c:v>57.753500000000003</c:v>
                </c:pt>
                <c:pt idx="209">
                  <c:v>57.719299999999997</c:v>
                </c:pt>
                <c:pt idx="210">
                  <c:v>57.685000000000002</c:v>
                </c:pt>
                <c:pt idx="211">
                  <c:v>57.650700000000001</c:v>
                </c:pt>
                <c:pt idx="212">
                  <c:v>57.616500000000002</c:v>
                </c:pt>
                <c:pt idx="213">
                  <c:v>57.5822</c:v>
                </c:pt>
                <c:pt idx="214">
                  <c:v>57.548000000000002</c:v>
                </c:pt>
                <c:pt idx="215">
                  <c:v>57.5137</c:v>
                </c:pt>
                <c:pt idx="216">
                  <c:v>57.479399999999998</c:v>
                </c:pt>
                <c:pt idx="217">
                  <c:v>57.4452</c:v>
                </c:pt>
                <c:pt idx="218">
                  <c:v>57.410899999999998</c:v>
                </c:pt>
                <c:pt idx="219">
                  <c:v>57.3767</c:v>
                </c:pt>
                <c:pt idx="220">
                  <c:v>57.342399999999998</c:v>
                </c:pt>
                <c:pt idx="221">
                  <c:v>57.308100000000003</c:v>
                </c:pt>
                <c:pt idx="222">
                  <c:v>57.273899999999998</c:v>
                </c:pt>
                <c:pt idx="223">
                  <c:v>57.239600000000003</c:v>
                </c:pt>
                <c:pt idx="224">
                  <c:v>57.205300000000001</c:v>
                </c:pt>
                <c:pt idx="225">
                  <c:v>57.171100000000003</c:v>
                </c:pt>
                <c:pt idx="226">
                  <c:v>57.136800000000001</c:v>
                </c:pt>
                <c:pt idx="227">
                  <c:v>57.102600000000002</c:v>
                </c:pt>
                <c:pt idx="228">
                  <c:v>57.068300000000001</c:v>
                </c:pt>
                <c:pt idx="229">
                  <c:v>57.033999999999999</c:v>
                </c:pt>
                <c:pt idx="230">
                  <c:v>56.9998</c:v>
                </c:pt>
                <c:pt idx="231">
                  <c:v>56.965499999999999</c:v>
                </c:pt>
                <c:pt idx="232">
                  <c:v>56.9313</c:v>
                </c:pt>
                <c:pt idx="233">
                  <c:v>56.896999999999998</c:v>
                </c:pt>
                <c:pt idx="234">
                  <c:v>56.862699999999997</c:v>
                </c:pt>
                <c:pt idx="235">
                  <c:v>56.828499999999998</c:v>
                </c:pt>
                <c:pt idx="236">
                  <c:v>56.794199999999996</c:v>
                </c:pt>
                <c:pt idx="237">
                  <c:v>56.759900000000002</c:v>
                </c:pt>
                <c:pt idx="238">
                  <c:v>56.725700000000003</c:v>
                </c:pt>
                <c:pt idx="239">
                  <c:v>56.691400000000002</c:v>
                </c:pt>
                <c:pt idx="240">
                  <c:v>56.657200000000003</c:v>
                </c:pt>
                <c:pt idx="241">
                  <c:v>56.622900000000001</c:v>
                </c:pt>
                <c:pt idx="242">
                  <c:v>56.5886</c:v>
                </c:pt>
                <c:pt idx="243">
                  <c:v>56.554400000000001</c:v>
                </c:pt>
                <c:pt idx="244">
                  <c:v>56.520099999999999</c:v>
                </c:pt>
                <c:pt idx="245">
                  <c:v>56.485900000000001</c:v>
                </c:pt>
                <c:pt idx="246">
                  <c:v>56.451599999999999</c:v>
                </c:pt>
                <c:pt idx="247">
                  <c:v>56.417299999999997</c:v>
                </c:pt>
                <c:pt idx="248">
                  <c:v>56.383099999999999</c:v>
                </c:pt>
                <c:pt idx="249">
                  <c:v>56.348799999999997</c:v>
                </c:pt>
                <c:pt idx="250">
                  <c:v>56.314500000000002</c:v>
                </c:pt>
                <c:pt idx="251">
                  <c:v>56.280299999999997</c:v>
                </c:pt>
                <c:pt idx="252">
                  <c:v>56.246000000000002</c:v>
                </c:pt>
                <c:pt idx="253">
                  <c:v>56.211799999999997</c:v>
                </c:pt>
                <c:pt idx="254">
                  <c:v>56.177500000000002</c:v>
                </c:pt>
                <c:pt idx="255">
                  <c:v>56.1432</c:v>
                </c:pt>
                <c:pt idx="256">
                  <c:v>56.109000000000002</c:v>
                </c:pt>
                <c:pt idx="257">
                  <c:v>56.0747</c:v>
                </c:pt>
                <c:pt idx="258">
                  <c:v>56.040500000000002</c:v>
                </c:pt>
                <c:pt idx="259">
                  <c:v>56.0062</c:v>
                </c:pt>
                <c:pt idx="260">
                  <c:v>55.971899999999998</c:v>
                </c:pt>
                <c:pt idx="261">
                  <c:v>55.9377</c:v>
                </c:pt>
                <c:pt idx="262">
                  <c:v>55.903399999999998</c:v>
                </c:pt>
                <c:pt idx="263">
                  <c:v>55.869100000000003</c:v>
                </c:pt>
                <c:pt idx="264">
                  <c:v>55.834899999999998</c:v>
                </c:pt>
                <c:pt idx="265">
                  <c:v>55.800600000000003</c:v>
                </c:pt>
                <c:pt idx="266">
                  <c:v>55.766399999999997</c:v>
                </c:pt>
                <c:pt idx="267">
                  <c:v>55.732100000000003</c:v>
                </c:pt>
                <c:pt idx="268">
                  <c:v>55.697800000000001</c:v>
                </c:pt>
                <c:pt idx="269">
                  <c:v>55.663600000000002</c:v>
                </c:pt>
                <c:pt idx="270">
                  <c:v>55.629300000000001</c:v>
                </c:pt>
                <c:pt idx="271">
                  <c:v>55.595100000000002</c:v>
                </c:pt>
                <c:pt idx="272">
                  <c:v>55.5608</c:v>
                </c:pt>
                <c:pt idx="273">
                  <c:v>55.526499999999999</c:v>
                </c:pt>
                <c:pt idx="274">
                  <c:v>55.4923</c:v>
                </c:pt>
                <c:pt idx="275">
                  <c:v>55.457999999999998</c:v>
                </c:pt>
                <c:pt idx="276">
                  <c:v>55.423699999999997</c:v>
                </c:pt>
                <c:pt idx="277">
                  <c:v>55.389499999999998</c:v>
                </c:pt>
                <c:pt idx="278">
                  <c:v>55.355200000000004</c:v>
                </c:pt>
                <c:pt idx="279">
                  <c:v>55.320999999999998</c:v>
                </c:pt>
                <c:pt idx="280">
                  <c:v>55.286700000000003</c:v>
                </c:pt>
                <c:pt idx="281">
                  <c:v>55.252400000000002</c:v>
                </c:pt>
                <c:pt idx="282">
                  <c:v>55.218200000000003</c:v>
                </c:pt>
                <c:pt idx="283">
                  <c:v>55.183900000000001</c:v>
                </c:pt>
                <c:pt idx="284">
                  <c:v>55.149700000000003</c:v>
                </c:pt>
                <c:pt idx="285">
                  <c:v>55.115400000000001</c:v>
                </c:pt>
                <c:pt idx="286">
                  <c:v>55.081099999999999</c:v>
                </c:pt>
                <c:pt idx="287">
                  <c:v>55.046900000000001</c:v>
                </c:pt>
                <c:pt idx="288">
                  <c:v>55.012599999999999</c:v>
                </c:pt>
                <c:pt idx="289">
                  <c:v>54.978299999999997</c:v>
                </c:pt>
                <c:pt idx="290">
                  <c:v>54.944099999999999</c:v>
                </c:pt>
                <c:pt idx="291">
                  <c:v>54.909799999999997</c:v>
                </c:pt>
                <c:pt idx="292">
                  <c:v>54.875599999999999</c:v>
                </c:pt>
                <c:pt idx="293">
                  <c:v>54.841299999999997</c:v>
                </c:pt>
                <c:pt idx="294">
                  <c:v>54.807000000000002</c:v>
                </c:pt>
                <c:pt idx="295">
                  <c:v>54.772799999999997</c:v>
                </c:pt>
                <c:pt idx="296">
                  <c:v>54.738500000000002</c:v>
                </c:pt>
                <c:pt idx="297">
                  <c:v>54.704300000000003</c:v>
                </c:pt>
                <c:pt idx="298">
                  <c:v>54.67</c:v>
                </c:pt>
                <c:pt idx="299">
                  <c:v>54.6357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B8F-CB43-812A-49854AEF1DB3}"/>
            </c:ext>
          </c:extLst>
        </c:ser>
        <c:ser>
          <c:idx val="1"/>
          <c:order val="1"/>
          <c:tx>
            <c:strRef>
              <c:f>Simulation!$D$1</c:f>
              <c:strCache>
                <c:ptCount val="1"/>
                <c:pt idx="0">
                  <c:v>P50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Simulation!$D$2:$D$301</c:f>
              <c:numCache>
                <c:formatCode>General</c:formatCode>
                <c:ptCount val="300"/>
                <c:pt idx="0">
                  <c:v>68.294700000000006</c:v>
                </c:pt>
                <c:pt idx="1">
                  <c:v>67.801400000000001</c:v>
                </c:pt>
                <c:pt idx="2">
                  <c:v>67.715999999999994</c:v>
                </c:pt>
                <c:pt idx="3">
                  <c:v>67.0428</c:v>
                </c:pt>
                <c:pt idx="4">
                  <c:v>66.609099999999998</c:v>
                </c:pt>
                <c:pt idx="5">
                  <c:v>66.600399999999993</c:v>
                </c:pt>
                <c:pt idx="6">
                  <c:v>66.359899999999996</c:v>
                </c:pt>
                <c:pt idx="7">
                  <c:v>66.120599999999996</c:v>
                </c:pt>
                <c:pt idx="8">
                  <c:v>65.930499999999995</c:v>
                </c:pt>
                <c:pt idx="9">
                  <c:v>65.783900000000003</c:v>
                </c:pt>
                <c:pt idx="10">
                  <c:v>65.383499999999998</c:v>
                </c:pt>
                <c:pt idx="11">
                  <c:v>65.496399999999994</c:v>
                </c:pt>
                <c:pt idx="12">
                  <c:v>65.425899999999999</c:v>
                </c:pt>
                <c:pt idx="13">
                  <c:v>65.316800000000001</c:v>
                </c:pt>
                <c:pt idx="14">
                  <c:v>65.312399999999997</c:v>
                </c:pt>
                <c:pt idx="15">
                  <c:v>65.4709</c:v>
                </c:pt>
                <c:pt idx="16">
                  <c:v>65.074100000000001</c:v>
                </c:pt>
                <c:pt idx="17">
                  <c:v>65.384500000000003</c:v>
                </c:pt>
                <c:pt idx="18">
                  <c:v>65.383700000000005</c:v>
                </c:pt>
                <c:pt idx="19">
                  <c:v>64.921000000000006</c:v>
                </c:pt>
                <c:pt idx="20">
                  <c:v>64.671899999999994</c:v>
                </c:pt>
                <c:pt idx="21">
                  <c:v>64.665899999999993</c:v>
                </c:pt>
                <c:pt idx="22">
                  <c:v>64.580600000000004</c:v>
                </c:pt>
                <c:pt idx="23">
                  <c:v>64.753</c:v>
                </c:pt>
                <c:pt idx="24">
                  <c:v>64.5184</c:v>
                </c:pt>
                <c:pt idx="25">
                  <c:v>63.940199999999997</c:v>
                </c:pt>
                <c:pt idx="26">
                  <c:v>64.051199999999994</c:v>
                </c:pt>
                <c:pt idx="27">
                  <c:v>63.356000000000002</c:v>
                </c:pt>
                <c:pt idx="28">
                  <c:v>63.492600000000003</c:v>
                </c:pt>
                <c:pt idx="29">
                  <c:v>63.8812</c:v>
                </c:pt>
                <c:pt idx="30">
                  <c:v>63.822800000000001</c:v>
                </c:pt>
                <c:pt idx="31">
                  <c:v>63.611600000000003</c:v>
                </c:pt>
                <c:pt idx="32">
                  <c:v>63.688200000000002</c:v>
                </c:pt>
                <c:pt idx="33">
                  <c:v>63.705100000000002</c:v>
                </c:pt>
                <c:pt idx="34">
                  <c:v>63.259900000000002</c:v>
                </c:pt>
                <c:pt idx="35">
                  <c:v>63.463799999999999</c:v>
                </c:pt>
                <c:pt idx="36">
                  <c:v>63.579099999999997</c:v>
                </c:pt>
                <c:pt idx="37">
                  <c:v>63.822000000000003</c:v>
                </c:pt>
                <c:pt idx="38">
                  <c:v>63.89</c:v>
                </c:pt>
                <c:pt idx="39">
                  <c:v>64.002600000000001</c:v>
                </c:pt>
                <c:pt idx="40">
                  <c:v>63.587200000000003</c:v>
                </c:pt>
                <c:pt idx="41">
                  <c:v>63.627299999999998</c:v>
                </c:pt>
                <c:pt idx="42">
                  <c:v>63.357300000000002</c:v>
                </c:pt>
                <c:pt idx="43">
                  <c:v>62.892000000000003</c:v>
                </c:pt>
                <c:pt idx="44">
                  <c:v>63.613100000000003</c:v>
                </c:pt>
                <c:pt idx="45">
                  <c:v>63.198</c:v>
                </c:pt>
                <c:pt idx="46">
                  <c:v>63.062399999999997</c:v>
                </c:pt>
                <c:pt idx="47">
                  <c:v>62.844999999999999</c:v>
                </c:pt>
                <c:pt idx="48">
                  <c:v>62.6145</c:v>
                </c:pt>
                <c:pt idx="49">
                  <c:v>63.1053</c:v>
                </c:pt>
                <c:pt idx="50">
                  <c:v>62.860199999999999</c:v>
                </c:pt>
                <c:pt idx="51">
                  <c:v>62.910299999999999</c:v>
                </c:pt>
                <c:pt idx="52">
                  <c:v>62.301600000000001</c:v>
                </c:pt>
                <c:pt idx="53">
                  <c:v>62.481200000000001</c:v>
                </c:pt>
                <c:pt idx="54">
                  <c:v>62.362000000000002</c:v>
                </c:pt>
                <c:pt idx="55">
                  <c:v>62.566400000000002</c:v>
                </c:pt>
                <c:pt idx="56">
                  <c:v>62.761299999999999</c:v>
                </c:pt>
                <c:pt idx="57">
                  <c:v>63.337400000000002</c:v>
                </c:pt>
                <c:pt idx="58">
                  <c:v>62.783299999999997</c:v>
                </c:pt>
                <c:pt idx="59">
                  <c:v>62.422600000000003</c:v>
                </c:pt>
                <c:pt idx="60">
                  <c:v>62.588099999999997</c:v>
                </c:pt>
                <c:pt idx="61">
                  <c:v>62.356499999999997</c:v>
                </c:pt>
                <c:pt idx="62">
                  <c:v>62.613300000000002</c:v>
                </c:pt>
                <c:pt idx="63">
                  <c:v>62.583500000000001</c:v>
                </c:pt>
                <c:pt idx="64">
                  <c:v>63.014600000000002</c:v>
                </c:pt>
                <c:pt idx="65">
                  <c:v>62.804200000000002</c:v>
                </c:pt>
                <c:pt idx="66">
                  <c:v>62.8996</c:v>
                </c:pt>
                <c:pt idx="67">
                  <c:v>62.928100000000001</c:v>
                </c:pt>
                <c:pt idx="68">
                  <c:v>62.620800000000003</c:v>
                </c:pt>
                <c:pt idx="69">
                  <c:v>62.820099999999996</c:v>
                </c:pt>
                <c:pt idx="70">
                  <c:v>63.287399999999998</c:v>
                </c:pt>
                <c:pt idx="71">
                  <c:v>63.168700000000001</c:v>
                </c:pt>
                <c:pt idx="72">
                  <c:v>62.891599999999997</c:v>
                </c:pt>
                <c:pt idx="73">
                  <c:v>62.721299999999999</c:v>
                </c:pt>
                <c:pt idx="74">
                  <c:v>62.930500000000002</c:v>
                </c:pt>
                <c:pt idx="75">
                  <c:v>62.6355</c:v>
                </c:pt>
                <c:pt idx="76">
                  <c:v>62.648899999999998</c:v>
                </c:pt>
                <c:pt idx="77">
                  <c:v>62.814100000000003</c:v>
                </c:pt>
                <c:pt idx="78">
                  <c:v>63.0745</c:v>
                </c:pt>
                <c:pt idx="79">
                  <c:v>62.987400000000001</c:v>
                </c:pt>
                <c:pt idx="80">
                  <c:v>62.477699999999999</c:v>
                </c:pt>
                <c:pt idx="81">
                  <c:v>62.520099999999999</c:v>
                </c:pt>
                <c:pt idx="82">
                  <c:v>62.274299999999997</c:v>
                </c:pt>
                <c:pt idx="83">
                  <c:v>62.398000000000003</c:v>
                </c:pt>
                <c:pt idx="84">
                  <c:v>62.176699999999997</c:v>
                </c:pt>
                <c:pt idx="85">
                  <c:v>62.078299999999999</c:v>
                </c:pt>
                <c:pt idx="86">
                  <c:v>61.882800000000003</c:v>
                </c:pt>
                <c:pt idx="87">
                  <c:v>61.758800000000001</c:v>
                </c:pt>
                <c:pt idx="88">
                  <c:v>62.489800000000002</c:v>
                </c:pt>
                <c:pt idx="89">
                  <c:v>62.011600000000001</c:v>
                </c:pt>
                <c:pt idx="90">
                  <c:v>61.820099999999996</c:v>
                </c:pt>
                <c:pt idx="91">
                  <c:v>61.529000000000003</c:v>
                </c:pt>
                <c:pt idx="92">
                  <c:v>61.644199999999998</c:v>
                </c:pt>
                <c:pt idx="93">
                  <c:v>61.483800000000002</c:v>
                </c:pt>
                <c:pt idx="94">
                  <c:v>61.343000000000004</c:v>
                </c:pt>
                <c:pt idx="95">
                  <c:v>60.9542</c:v>
                </c:pt>
                <c:pt idx="96">
                  <c:v>60.433999999999997</c:v>
                </c:pt>
                <c:pt idx="97">
                  <c:v>60.3001</c:v>
                </c:pt>
                <c:pt idx="98">
                  <c:v>60.472999999999999</c:v>
                </c:pt>
                <c:pt idx="99">
                  <c:v>60.869599999999998</c:v>
                </c:pt>
                <c:pt idx="100">
                  <c:v>60.967199999999998</c:v>
                </c:pt>
                <c:pt idx="101">
                  <c:v>60.7791</c:v>
                </c:pt>
                <c:pt idx="102">
                  <c:v>61.364400000000003</c:v>
                </c:pt>
                <c:pt idx="103">
                  <c:v>61.255400000000002</c:v>
                </c:pt>
                <c:pt idx="104">
                  <c:v>61.037399999999998</c:v>
                </c:pt>
                <c:pt idx="105">
                  <c:v>61.084000000000003</c:v>
                </c:pt>
                <c:pt idx="106">
                  <c:v>61.1586</c:v>
                </c:pt>
                <c:pt idx="107">
                  <c:v>61.577399999999997</c:v>
                </c:pt>
                <c:pt idx="108">
                  <c:v>61.240200000000002</c:v>
                </c:pt>
                <c:pt idx="109">
                  <c:v>61.502299999999998</c:v>
                </c:pt>
                <c:pt idx="110">
                  <c:v>60.835599999999999</c:v>
                </c:pt>
                <c:pt idx="111">
                  <c:v>61.0535</c:v>
                </c:pt>
                <c:pt idx="112">
                  <c:v>60.529499999999999</c:v>
                </c:pt>
                <c:pt idx="113">
                  <c:v>60.994</c:v>
                </c:pt>
                <c:pt idx="114">
                  <c:v>60.7776</c:v>
                </c:pt>
                <c:pt idx="115">
                  <c:v>60.989199999999997</c:v>
                </c:pt>
                <c:pt idx="116">
                  <c:v>60.859000000000002</c:v>
                </c:pt>
                <c:pt idx="117">
                  <c:v>60.968400000000003</c:v>
                </c:pt>
                <c:pt idx="118">
                  <c:v>60.726399999999998</c:v>
                </c:pt>
                <c:pt idx="119">
                  <c:v>60.670499999999997</c:v>
                </c:pt>
                <c:pt idx="120">
                  <c:v>61.146299999999997</c:v>
                </c:pt>
                <c:pt idx="121">
                  <c:v>61.206400000000002</c:v>
                </c:pt>
                <c:pt idx="122">
                  <c:v>61.753700000000002</c:v>
                </c:pt>
                <c:pt idx="123">
                  <c:v>61.686599999999999</c:v>
                </c:pt>
                <c:pt idx="124">
                  <c:v>60.947600000000001</c:v>
                </c:pt>
                <c:pt idx="125">
                  <c:v>60.886899999999997</c:v>
                </c:pt>
                <c:pt idx="126">
                  <c:v>60.445799999999998</c:v>
                </c:pt>
                <c:pt idx="127">
                  <c:v>60.150300000000001</c:v>
                </c:pt>
                <c:pt idx="128">
                  <c:v>60.156999999999996</c:v>
                </c:pt>
                <c:pt idx="129">
                  <c:v>60.278799999999997</c:v>
                </c:pt>
                <c:pt idx="130">
                  <c:v>59.587400000000002</c:v>
                </c:pt>
                <c:pt idx="131">
                  <c:v>59.313600000000001</c:v>
                </c:pt>
                <c:pt idx="132">
                  <c:v>59.377499999999998</c:v>
                </c:pt>
                <c:pt idx="133">
                  <c:v>59.407899999999998</c:v>
                </c:pt>
                <c:pt idx="134">
                  <c:v>59.741799999999998</c:v>
                </c:pt>
                <c:pt idx="135">
                  <c:v>59.462400000000002</c:v>
                </c:pt>
                <c:pt idx="136">
                  <c:v>59.789299999999997</c:v>
                </c:pt>
                <c:pt idx="137">
                  <c:v>59.872399999999999</c:v>
                </c:pt>
                <c:pt idx="138">
                  <c:v>59.916400000000003</c:v>
                </c:pt>
                <c:pt idx="139">
                  <c:v>60.414400000000001</c:v>
                </c:pt>
                <c:pt idx="140">
                  <c:v>60.186</c:v>
                </c:pt>
                <c:pt idx="141">
                  <c:v>60.031100000000002</c:v>
                </c:pt>
                <c:pt idx="142">
                  <c:v>60.125399999999999</c:v>
                </c:pt>
                <c:pt idx="143">
                  <c:v>59.919600000000003</c:v>
                </c:pt>
                <c:pt idx="144">
                  <c:v>59.594900000000003</c:v>
                </c:pt>
                <c:pt idx="145">
                  <c:v>59.667400000000001</c:v>
                </c:pt>
                <c:pt idx="146">
                  <c:v>59.491300000000003</c:v>
                </c:pt>
                <c:pt idx="147">
                  <c:v>59.798499999999997</c:v>
                </c:pt>
                <c:pt idx="148">
                  <c:v>60.2316</c:v>
                </c:pt>
                <c:pt idx="149">
                  <c:v>60.200200000000002</c:v>
                </c:pt>
                <c:pt idx="150">
                  <c:v>59.999000000000002</c:v>
                </c:pt>
                <c:pt idx="151">
                  <c:v>59.941400000000002</c:v>
                </c:pt>
                <c:pt idx="152">
                  <c:v>60.151600000000002</c:v>
                </c:pt>
                <c:pt idx="153">
                  <c:v>60.090600000000002</c:v>
                </c:pt>
                <c:pt idx="154">
                  <c:v>59.853000000000002</c:v>
                </c:pt>
                <c:pt idx="155">
                  <c:v>59.837600000000002</c:v>
                </c:pt>
                <c:pt idx="156">
                  <c:v>59.904000000000003</c:v>
                </c:pt>
                <c:pt idx="157">
                  <c:v>60.064399999999999</c:v>
                </c:pt>
                <c:pt idx="158">
                  <c:v>60.2468</c:v>
                </c:pt>
                <c:pt idx="159">
                  <c:v>59.739600000000003</c:v>
                </c:pt>
                <c:pt idx="160">
                  <c:v>59.525199999999998</c:v>
                </c:pt>
                <c:pt idx="161">
                  <c:v>59.8279</c:v>
                </c:pt>
                <c:pt idx="162">
                  <c:v>59.814599999999999</c:v>
                </c:pt>
                <c:pt idx="163">
                  <c:v>59.204599999999999</c:v>
                </c:pt>
                <c:pt idx="164">
                  <c:v>59.776600000000002</c:v>
                </c:pt>
                <c:pt idx="165">
                  <c:v>59.235399999999998</c:v>
                </c:pt>
                <c:pt idx="166">
                  <c:v>59.460599999999999</c:v>
                </c:pt>
                <c:pt idx="167">
                  <c:v>59.320799999999998</c:v>
                </c:pt>
                <c:pt idx="168">
                  <c:v>59.476599999999998</c:v>
                </c:pt>
                <c:pt idx="169">
                  <c:v>59.312100000000001</c:v>
                </c:pt>
                <c:pt idx="170">
                  <c:v>59.968200000000003</c:v>
                </c:pt>
                <c:pt idx="171">
                  <c:v>59.154899999999998</c:v>
                </c:pt>
                <c:pt idx="172">
                  <c:v>59.2273</c:v>
                </c:pt>
                <c:pt idx="173">
                  <c:v>58.9161</c:v>
                </c:pt>
                <c:pt idx="174">
                  <c:v>58.901699999999998</c:v>
                </c:pt>
                <c:pt idx="175">
                  <c:v>58.7956</c:v>
                </c:pt>
                <c:pt idx="176">
                  <c:v>58.636499999999998</c:v>
                </c:pt>
                <c:pt idx="177">
                  <c:v>58.411799999999999</c:v>
                </c:pt>
                <c:pt idx="178">
                  <c:v>59.124600000000001</c:v>
                </c:pt>
                <c:pt idx="179">
                  <c:v>58.524299999999997</c:v>
                </c:pt>
                <c:pt idx="180">
                  <c:v>58.806399999999996</c:v>
                </c:pt>
                <c:pt idx="181">
                  <c:v>58.637</c:v>
                </c:pt>
                <c:pt idx="182">
                  <c:v>58.421100000000003</c:v>
                </c:pt>
                <c:pt idx="183">
                  <c:v>58.748800000000003</c:v>
                </c:pt>
                <c:pt idx="184">
                  <c:v>58.416600000000003</c:v>
                </c:pt>
                <c:pt idx="185">
                  <c:v>58.813800000000001</c:v>
                </c:pt>
                <c:pt idx="186">
                  <c:v>59.0899</c:v>
                </c:pt>
                <c:pt idx="187">
                  <c:v>59.006</c:v>
                </c:pt>
                <c:pt idx="188">
                  <c:v>59.099899999999998</c:v>
                </c:pt>
                <c:pt idx="189">
                  <c:v>58.677100000000003</c:v>
                </c:pt>
                <c:pt idx="190">
                  <c:v>58.001899999999999</c:v>
                </c:pt>
                <c:pt idx="191">
                  <c:v>58.121000000000002</c:v>
                </c:pt>
                <c:pt idx="192">
                  <c:v>58.175899999999999</c:v>
                </c:pt>
                <c:pt idx="193">
                  <c:v>58.313699999999997</c:v>
                </c:pt>
                <c:pt idx="194">
                  <c:v>58.316499999999998</c:v>
                </c:pt>
                <c:pt idx="195">
                  <c:v>59.061999999999998</c:v>
                </c:pt>
                <c:pt idx="196">
                  <c:v>58.623699999999999</c:v>
                </c:pt>
                <c:pt idx="197">
                  <c:v>58.728400000000001</c:v>
                </c:pt>
                <c:pt idx="198">
                  <c:v>58.811399999999999</c:v>
                </c:pt>
                <c:pt idx="199">
                  <c:v>58.820300000000003</c:v>
                </c:pt>
                <c:pt idx="200">
                  <c:v>59.194299999999998</c:v>
                </c:pt>
                <c:pt idx="201">
                  <c:v>58.099200000000003</c:v>
                </c:pt>
                <c:pt idx="202">
                  <c:v>57.761600000000001</c:v>
                </c:pt>
                <c:pt idx="203">
                  <c:v>58.112400000000001</c:v>
                </c:pt>
                <c:pt idx="204">
                  <c:v>58.2211</c:v>
                </c:pt>
                <c:pt idx="205">
                  <c:v>57.723199999999999</c:v>
                </c:pt>
                <c:pt idx="206">
                  <c:v>57.688400000000001</c:v>
                </c:pt>
                <c:pt idx="207">
                  <c:v>57.740200000000002</c:v>
                </c:pt>
                <c:pt idx="208">
                  <c:v>57.661700000000003</c:v>
                </c:pt>
                <c:pt idx="209">
                  <c:v>57.849299999999999</c:v>
                </c:pt>
                <c:pt idx="210">
                  <c:v>57.866100000000003</c:v>
                </c:pt>
                <c:pt idx="211">
                  <c:v>57.361600000000003</c:v>
                </c:pt>
                <c:pt idx="212">
                  <c:v>57.889800000000001</c:v>
                </c:pt>
                <c:pt idx="213">
                  <c:v>57.627899999999997</c:v>
                </c:pt>
                <c:pt idx="214">
                  <c:v>57.475099999999998</c:v>
                </c:pt>
                <c:pt idx="215">
                  <c:v>57.366199999999999</c:v>
                </c:pt>
                <c:pt idx="216">
                  <c:v>57.380899999999997</c:v>
                </c:pt>
                <c:pt idx="217">
                  <c:v>57.518000000000001</c:v>
                </c:pt>
                <c:pt idx="218">
                  <c:v>57.335099999999997</c:v>
                </c:pt>
                <c:pt idx="219">
                  <c:v>57.778300000000002</c:v>
                </c:pt>
                <c:pt idx="220">
                  <c:v>57.755600000000001</c:v>
                </c:pt>
                <c:pt idx="221">
                  <c:v>57.5916</c:v>
                </c:pt>
                <c:pt idx="222">
                  <c:v>57.982799999999997</c:v>
                </c:pt>
                <c:pt idx="223">
                  <c:v>58.2971</c:v>
                </c:pt>
                <c:pt idx="224">
                  <c:v>58.331000000000003</c:v>
                </c:pt>
                <c:pt idx="225">
                  <c:v>58.040999999999997</c:v>
                </c:pt>
                <c:pt idx="226">
                  <c:v>57.454799999999999</c:v>
                </c:pt>
                <c:pt idx="227">
                  <c:v>57.5411</c:v>
                </c:pt>
                <c:pt idx="228">
                  <c:v>57.635800000000003</c:v>
                </c:pt>
                <c:pt idx="229">
                  <c:v>57.844799999999999</c:v>
                </c:pt>
                <c:pt idx="230">
                  <c:v>57.862699999999997</c:v>
                </c:pt>
                <c:pt idx="231">
                  <c:v>57.587800000000001</c:v>
                </c:pt>
                <c:pt idx="232">
                  <c:v>57.799300000000002</c:v>
                </c:pt>
                <c:pt idx="233">
                  <c:v>57.183799999999998</c:v>
                </c:pt>
                <c:pt idx="234">
                  <c:v>57.244700000000002</c:v>
                </c:pt>
                <c:pt idx="235">
                  <c:v>57.238900000000001</c:v>
                </c:pt>
                <c:pt idx="236">
                  <c:v>57.369300000000003</c:v>
                </c:pt>
                <c:pt idx="237">
                  <c:v>57.975200000000001</c:v>
                </c:pt>
                <c:pt idx="238">
                  <c:v>57.563200000000002</c:v>
                </c:pt>
                <c:pt idx="239">
                  <c:v>57.431699999999999</c:v>
                </c:pt>
                <c:pt idx="240">
                  <c:v>57.059800000000003</c:v>
                </c:pt>
                <c:pt idx="241">
                  <c:v>57.019500000000001</c:v>
                </c:pt>
                <c:pt idx="242">
                  <c:v>57.063699999999997</c:v>
                </c:pt>
                <c:pt idx="243">
                  <c:v>57.352400000000003</c:v>
                </c:pt>
                <c:pt idx="244">
                  <c:v>57.4925</c:v>
                </c:pt>
                <c:pt idx="245">
                  <c:v>56.979799999999997</c:v>
                </c:pt>
                <c:pt idx="246">
                  <c:v>57.054400000000001</c:v>
                </c:pt>
                <c:pt idx="247">
                  <c:v>56.621000000000002</c:v>
                </c:pt>
                <c:pt idx="248">
                  <c:v>56.545400000000001</c:v>
                </c:pt>
                <c:pt idx="249">
                  <c:v>56.317799999999998</c:v>
                </c:pt>
                <c:pt idx="250">
                  <c:v>56.343299999999999</c:v>
                </c:pt>
                <c:pt idx="251">
                  <c:v>56.133899999999997</c:v>
                </c:pt>
                <c:pt idx="252">
                  <c:v>56.307299999999998</c:v>
                </c:pt>
                <c:pt idx="253">
                  <c:v>56.3294</c:v>
                </c:pt>
                <c:pt idx="254">
                  <c:v>56.040100000000002</c:v>
                </c:pt>
                <c:pt idx="255">
                  <c:v>55.600900000000003</c:v>
                </c:pt>
                <c:pt idx="256">
                  <c:v>55.866799999999998</c:v>
                </c:pt>
                <c:pt idx="257">
                  <c:v>56.117699999999999</c:v>
                </c:pt>
                <c:pt idx="258">
                  <c:v>56.387900000000002</c:v>
                </c:pt>
                <c:pt idx="259">
                  <c:v>56.37</c:v>
                </c:pt>
                <c:pt idx="260">
                  <c:v>56.283799999999999</c:v>
                </c:pt>
                <c:pt idx="261">
                  <c:v>56.153399999999998</c:v>
                </c:pt>
                <c:pt idx="262">
                  <c:v>55.9422</c:v>
                </c:pt>
                <c:pt idx="263">
                  <c:v>56.049100000000003</c:v>
                </c:pt>
                <c:pt idx="264">
                  <c:v>56.027000000000001</c:v>
                </c:pt>
                <c:pt idx="265">
                  <c:v>56.292099999999998</c:v>
                </c:pt>
                <c:pt idx="266">
                  <c:v>56.020099999999999</c:v>
                </c:pt>
                <c:pt idx="267">
                  <c:v>55.575099999999999</c:v>
                </c:pt>
                <c:pt idx="268">
                  <c:v>55.430799999999998</c:v>
                </c:pt>
                <c:pt idx="269">
                  <c:v>55.918999999999997</c:v>
                </c:pt>
                <c:pt idx="270">
                  <c:v>55.1798</c:v>
                </c:pt>
                <c:pt idx="271">
                  <c:v>55.441099999999999</c:v>
                </c:pt>
                <c:pt idx="272">
                  <c:v>55.448999999999998</c:v>
                </c:pt>
                <c:pt idx="273">
                  <c:v>54.765999999999998</c:v>
                </c:pt>
                <c:pt idx="274">
                  <c:v>54.488</c:v>
                </c:pt>
                <c:pt idx="275">
                  <c:v>54.8748</c:v>
                </c:pt>
                <c:pt idx="276">
                  <c:v>54.854999999999997</c:v>
                </c:pt>
                <c:pt idx="277">
                  <c:v>54.994700000000002</c:v>
                </c:pt>
                <c:pt idx="278">
                  <c:v>55.0124</c:v>
                </c:pt>
                <c:pt idx="279">
                  <c:v>55.299900000000001</c:v>
                </c:pt>
                <c:pt idx="280">
                  <c:v>55.047499999999999</c:v>
                </c:pt>
                <c:pt idx="281">
                  <c:v>54.958300000000001</c:v>
                </c:pt>
                <c:pt idx="282">
                  <c:v>55.636099999999999</c:v>
                </c:pt>
                <c:pt idx="283">
                  <c:v>55.528500000000001</c:v>
                </c:pt>
                <c:pt idx="284">
                  <c:v>55.348599999999998</c:v>
                </c:pt>
                <c:pt idx="285">
                  <c:v>54.8767</c:v>
                </c:pt>
                <c:pt idx="286">
                  <c:v>54.9223</c:v>
                </c:pt>
                <c:pt idx="287">
                  <c:v>55.137</c:v>
                </c:pt>
                <c:pt idx="288">
                  <c:v>55.7804</c:v>
                </c:pt>
                <c:pt idx="289">
                  <c:v>55.0518</c:v>
                </c:pt>
                <c:pt idx="290">
                  <c:v>55.185499999999998</c:v>
                </c:pt>
                <c:pt idx="291">
                  <c:v>55.273200000000003</c:v>
                </c:pt>
                <c:pt idx="292">
                  <c:v>54.8977</c:v>
                </c:pt>
                <c:pt idx="293">
                  <c:v>55.2318</c:v>
                </c:pt>
                <c:pt idx="294">
                  <c:v>55.400799999999997</c:v>
                </c:pt>
                <c:pt idx="295">
                  <c:v>55.449399999999997</c:v>
                </c:pt>
                <c:pt idx="296">
                  <c:v>55.0685</c:v>
                </c:pt>
                <c:pt idx="297">
                  <c:v>55.167099999999998</c:v>
                </c:pt>
                <c:pt idx="298">
                  <c:v>55.203600000000002</c:v>
                </c:pt>
                <c:pt idx="299">
                  <c:v>54.787700000000001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B8F-CB43-812A-49854AEF1DB3}"/>
            </c:ext>
          </c:extLst>
        </c:ser>
        <c:ser>
          <c:idx val="2"/>
          <c:order val="2"/>
          <c:tx>
            <c:strRef>
              <c:f>Simulation!$F$1</c:f>
              <c:strCache>
                <c:ptCount val="1"/>
                <c:pt idx="0">
                  <c:v>P90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Simulation!$F$2:$F$301</c:f>
              <c:numCache>
                <c:formatCode>General</c:formatCode>
                <c:ptCount val="300"/>
                <c:pt idx="0">
                  <c:v>68.294700000000006</c:v>
                </c:pt>
                <c:pt idx="1">
                  <c:v>88.792000000000002</c:v>
                </c:pt>
                <c:pt idx="2">
                  <c:v>95.421899999999994</c:v>
                </c:pt>
                <c:pt idx="3">
                  <c:v>99.405100000000004</c:v>
                </c:pt>
                <c:pt idx="4">
                  <c:v>101.8293</c:v>
                </c:pt>
                <c:pt idx="5">
                  <c:v>103.20610000000001</c:v>
                </c:pt>
                <c:pt idx="6">
                  <c:v>104.5352</c:v>
                </c:pt>
                <c:pt idx="7">
                  <c:v>105.3618</c:v>
                </c:pt>
                <c:pt idx="8">
                  <c:v>106.68219999999999</c:v>
                </c:pt>
                <c:pt idx="9">
                  <c:v>106.2259</c:v>
                </c:pt>
                <c:pt idx="10">
                  <c:v>106.8023</c:v>
                </c:pt>
                <c:pt idx="11">
                  <c:v>107.48390000000001</c:v>
                </c:pt>
                <c:pt idx="12">
                  <c:v>107.7007</c:v>
                </c:pt>
                <c:pt idx="13">
                  <c:v>107.16670000000001</c:v>
                </c:pt>
                <c:pt idx="14">
                  <c:v>106.9542</c:v>
                </c:pt>
                <c:pt idx="15">
                  <c:v>107.1016</c:v>
                </c:pt>
                <c:pt idx="16">
                  <c:v>106.71169999999999</c:v>
                </c:pt>
                <c:pt idx="17">
                  <c:v>106.69750000000001</c:v>
                </c:pt>
                <c:pt idx="18">
                  <c:v>107.0715</c:v>
                </c:pt>
                <c:pt idx="19">
                  <c:v>106.3661</c:v>
                </c:pt>
                <c:pt idx="20">
                  <c:v>106.0552</c:v>
                </c:pt>
                <c:pt idx="21">
                  <c:v>106.54049999999999</c:v>
                </c:pt>
                <c:pt idx="22">
                  <c:v>106.2385</c:v>
                </c:pt>
                <c:pt idx="23">
                  <c:v>107.02119999999999</c:v>
                </c:pt>
                <c:pt idx="24">
                  <c:v>106.5809</c:v>
                </c:pt>
                <c:pt idx="25">
                  <c:v>106.9217</c:v>
                </c:pt>
                <c:pt idx="26">
                  <c:v>106.31789999999999</c:v>
                </c:pt>
                <c:pt idx="27">
                  <c:v>106.5489</c:v>
                </c:pt>
                <c:pt idx="28">
                  <c:v>107.00709999999999</c:v>
                </c:pt>
                <c:pt idx="29">
                  <c:v>106.4804</c:v>
                </c:pt>
                <c:pt idx="30">
                  <c:v>106.7461</c:v>
                </c:pt>
                <c:pt idx="31">
                  <c:v>106.28489999999999</c:v>
                </c:pt>
                <c:pt idx="32">
                  <c:v>105.93040000000001</c:v>
                </c:pt>
                <c:pt idx="33">
                  <c:v>106.3858</c:v>
                </c:pt>
                <c:pt idx="34">
                  <c:v>106.3125</c:v>
                </c:pt>
                <c:pt idx="35">
                  <c:v>106.08240000000001</c:v>
                </c:pt>
                <c:pt idx="36">
                  <c:v>106.5273</c:v>
                </c:pt>
                <c:pt idx="37">
                  <c:v>106.0641</c:v>
                </c:pt>
                <c:pt idx="38">
                  <c:v>106.3878</c:v>
                </c:pt>
                <c:pt idx="39">
                  <c:v>107.0149</c:v>
                </c:pt>
                <c:pt idx="40">
                  <c:v>106.5256</c:v>
                </c:pt>
                <c:pt idx="41">
                  <c:v>105.9055</c:v>
                </c:pt>
                <c:pt idx="42">
                  <c:v>105.6174</c:v>
                </c:pt>
                <c:pt idx="43">
                  <c:v>106.7486</c:v>
                </c:pt>
                <c:pt idx="44">
                  <c:v>106.6917</c:v>
                </c:pt>
                <c:pt idx="45">
                  <c:v>105.99630000000001</c:v>
                </c:pt>
                <c:pt idx="46">
                  <c:v>106.3837</c:v>
                </c:pt>
                <c:pt idx="47">
                  <c:v>105.53789999999999</c:v>
                </c:pt>
                <c:pt idx="48">
                  <c:v>105.8738</c:v>
                </c:pt>
                <c:pt idx="49">
                  <c:v>105.42019999999999</c:v>
                </c:pt>
                <c:pt idx="50">
                  <c:v>105.9263</c:v>
                </c:pt>
                <c:pt idx="51">
                  <c:v>105.9239</c:v>
                </c:pt>
                <c:pt idx="52">
                  <c:v>107.0939</c:v>
                </c:pt>
                <c:pt idx="53">
                  <c:v>106.59399999999999</c:v>
                </c:pt>
                <c:pt idx="54">
                  <c:v>106.0158</c:v>
                </c:pt>
                <c:pt idx="55">
                  <c:v>105.8965</c:v>
                </c:pt>
                <c:pt idx="56">
                  <c:v>105.88639999999999</c:v>
                </c:pt>
                <c:pt idx="57">
                  <c:v>105.34910000000001</c:v>
                </c:pt>
                <c:pt idx="58">
                  <c:v>105.0819</c:v>
                </c:pt>
                <c:pt idx="59">
                  <c:v>104.7962</c:v>
                </c:pt>
                <c:pt idx="60">
                  <c:v>104.6194</c:v>
                </c:pt>
                <c:pt idx="61">
                  <c:v>104.5851</c:v>
                </c:pt>
                <c:pt idx="62">
                  <c:v>104.42870000000001</c:v>
                </c:pt>
                <c:pt idx="63">
                  <c:v>105.0498</c:v>
                </c:pt>
                <c:pt idx="64">
                  <c:v>105.01730000000001</c:v>
                </c:pt>
                <c:pt idx="65">
                  <c:v>104.7948</c:v>
                </c:pt>
                <c:pt idx="66">
                  <c:v>105.1039</c:v>
                </c:pt>
                <c:pt idx="67">
                  <c:v>104.6435</c:v>
                </c:pt>
                <c:pt idx="68">
                  <c:v>105.58459999999999</c:v>
                </c:pt>
                <c:pt idx="69">
                  <c:v>105.0303</c:v>
                </c:pt>
                <c:pt idx="70">
                  <c:v>104.81950000000001</c:v>
                </c:pt>
                <c:pt idx="71">
                  <c:v>104.794</c:v>
                </c:pt>
                <c:pt idx="72">
                  <c:v>104.23560000000001</c:v>
                </c:pt>
                <c:pt idx="73">
                  <c:v>105.1266</c:v>
                </c:pt>
                <c:pt idx="74">
                  <c:v>104.3575</c:v>
                </c:pt>
                <c:pt idx="75">
                  <c:v>104.0579</c:v>
                </c:pt>
                <c:pt idx="76">
                  <c:v>104.74509999999999</c:v>
                </c:pt>
                <c:pt idx="77">
                  <c:v>105.3045</c:v>
                </c:pt>
                <c:pt idx="78">
                  <c:v>104.739</c:v>
                </c:pt>
                <c:pt idx="79">
                  <c:v>104.8005</c:v>
                </c:pt>
                <c:pt idx="80">
                  <c:v>105.56</c:v>
                </c:pt>
                <c:pt idx="81">
                  <c:v>105.27549999999999</c:v>
                </c:pt>
                <c:pt idx="82">
                  <c:v>105.35850000000001</c:v>
                </c:pt>
                <c:pt idx="83">
                  <c:v>104.9301</c:v>
                </c:pt>
                <c:pt idx="84">
                  <c:v>104.19370000000001</c:v>
                </c:pt>
                <c:pt idx="85">
                  <c:v>104.4503</c:v>
                </c:pt>
                <c:pt idx="86">
                  <c:v>104.4059</c:v>
                </c:pt>
                <c:pt idx="87">
                  <c:v>104.6636</c:v>
                </c:pt>
                <c:pt idx="88">
                  <c:v>103.9323</c:v>
                </c:pt>
                <c:pt idx="89">
                  <c:v>104.3646</c:v>
                </c:pt>
                <c:pt idx="90">
                  <c:v>104.11669999999999</c:v>
                </c:pt>
                <c:pt idx="91">
                  <c:v>103.1152</c:v>
                </c:pt>
                <c:pt idx="92">
                  <c:v>103.5711</c:v>
                </c:pt>
                <c:pt idx="93">
                  <c:v>103.7415</c:v>
                </c:pt>
                <c:pt idx="94">
                  <c:v>103.0638</c:v>
                </c:pt>
                <c:pt idx="95">
                  <c:v>103.24379999999999</c:v>
                </c:pt>
                <c:pt idx="96">
                  <c:v>103.4725</c:v>
                </c:pt>
                <c:pt idx="97">
                  <c:v>104.0874</c:v>
                </c:pt>
                <c:pt idx="98">
                  <c:v>103.7557</c:v>
                </c:pt>
                <c:pt idx="99">
                  <c:v>103.3719</c:v>
                </c:pt>
                <c:pt idx="100">
                  <c:v>102.8931</c:v>
                </c:pt>
                <c:pt idx="101">
                  <c:v>103.48</c:v>
                </c:pt>
                <c:pt idx="102">
                  <c:v>103.4362</c:v>
                </c:pt>
                <c:pt idx="103">
                  <c:v>103.6602</c:v>
                </c:pt>
                <c:pt idx="104">
                  <c:v>103.876</c:v>
                </c:pt>
                <c:pt idx="105">
                  <c:v>103.3539</c:v>
                </c:pt>
                <c:pt idx="106">
                  <c:v>104.0643</c:v>
                </c:pt>
                <c:pt idx="107">
                  <c:v>103.729</c:v>
                </c:pt>
                <c:pt idx="108">
                  <c:v>103.124</c:v>
                </c:pt>
                <c:pt idx="109">
                  <c:v>104.1474</c:v>
                </c:pt>
                <c:pt idx="110">
                  <c:v>103.8365</c:v>
                </c:pt>
                <c:pt idx="111">
                  <c:v>103.62779999999999</c:v>
                </c:pt>
                <c:pt idx="112">
                  <c:v>103.6986</c:v>
                </c:pt>
                <c:pt idx="113">
                  <c:v>104.1523</c:v>
                </c:pt>
                <c:pt idx="114">
                  <c:v>103.7169</c:v>
                </c:pt>
                <c:pt idx="115">
                  <c:v>102.9686</c:v>
                </c:pt>
                <c:pt idx="116">
                  <c:v>104.0425</c:v>
                </c:pt>
                <c:pt idx="117">
                  <c:v>103.405</c:v>
                </c:pt>
                <c:pt idx="118">
                  <c:v>104.0852</c:v>
                </c:pt>
                <c:pt idx="119">
                  <c:v>102.6712</c:v>
                </c:pt>
                <c:pt idx="120">
                  <c:v>102.8569</c:v>
                </c:pt>
                <c:pt idx="121">
                  <c:v>103.6764</c:v>
                </c:pt>
                <c:pt idx="122">
                  <c:v>102.9127</c:v>
                </c:pt>
                <c:pt idx="123">
                  <c:v>103.0419</c:v>
                </c:pt>
                <c:pt idx="124">
                  <c:v>102.3314</c:v>
                </c:pt>
                <c:pt idx="125">
                  <c:v>102.20659999999999</c:v>
                </c:pt>
                <c:pt idx="126">
                  <c:v>102.40049999999999</c:v>
                </c:pt>
                <c:pt idx="127">
                  <c:v>103.4308</c:v>
                </c:pt>
                <c:pt idx="128">
                  <c:v>102.1999</c:v>
                </c:pt>
                <c:pt idx="129">
                  <c:v>102.2739</c:v>
                </c:pt>
                <c:pt idx="130">
                  <c:v>102.51300000000001</c:v>
                </c:pt>
                <c:pt idx="131">
                  <c:v>102.4083</c:v>
                </c:pt>
                <c:pt idx="132">
                  <c:v>103.0194</c:v>
                </c:pt>
                <c:pt idx="133">
                  <c:v>102.6127</c:v>
                </c:pt>
                <c:pt idx="134">
                  <c:v>103.1204</c:v>
                </c:pt>
                <c:pt idx="135">
                  <c:v>102.2724</c:v>
                </c:pt>
                <c:pt idx="136">
                  <c:v>102.1324</c:v>
                </c:pt>
                <c:pt idx="137">
                  <c:v>102.39409999999999</c:v>
                </c:pt>
                <c:pt idx="138">
                  <c:v>101.65049999999999</c:v>
                </c:pt>
                <c:pt idx="139">
                  <c:v>101.8997</c:v>
                </c:pt>
                <c:pt idx="140">
                  <c:v>102.251</c:v>
                </c:pt>
                <c:pt idx="141">
                  <c:v>102.3168</c:v>
                </c:pt>
                <c:pt idx="142">
                  <c:v>103.2574</c:v>
                </c:pt>
                <c:pt idx="143">
                  <c:v>102.6332</c:v>
                </c:pt>
                <c:pt idx="144">
                  <c:v>102.9134</c:v>
                </c:pt>
                <c:pt idx="145">
                  <c:v>102.5651</c:v>
                </c:pt>
                <c:pt idx="146">
                  <c:v>102.9928</c:v>
                </c:pt>
                <c:pt idx="147">
                  <c:v>102.6515</c:v>
                </c:pt>
                <c:pt idx="148">
                  <c:v>101.60129999999999</c:v>
                </c:pt>
                <c:pt idx="149">
                  <c:v>102.0462</c:v>
                </c:pt>
                <c:pt idx="150">
                  <c:v>102.43300000000001</c:v>
                </c:pt>
                <c:pt idx="151">
                  <c:v>101.99169999999999</c:v>
                </c:pt>
                <c:pt idx="152">
                  <c:v>101.5997</c:v>
                </c:pt>
                <c:pt idx="153">
                  <c:v>101.5175</c:v>
                </c:pt>
                <c:pt idx="154">
                  <c:v>101.81180000000001</c:v>
                </c:pt>
                <c:pt idx="155">
                  <c:v>101.7285</c:v>
                </c:pt>
                <c:pt idx="156">
                  <c:v>101.84310000000001</c:v>
                </c:pt>
                <c:pt idx="157">
                  <c:v>102.3386</c:v>
                </c:pt>
                <c:pt idx="158">
                  <c:v>102.0985</c:v>
                </c:pt>
                <c:pt idx="159">
                  <c:v>102.76649999999999</c:v>
                </c:pt>
                <c:pt idx="160">
                  <c:v>102.9953</c:v>
                </c:pt>
                <c:pt idx="161">
                  <c:v>102.5698</c:v>
                </c:pt>
                <c:pt idx="162">
                  <c:v>101.4092</c:v>
                </c:pt>
                <c:pt idx="163">
                  <c:v>102.29349999999999</c:v>
                </c:pt>
                <c:pt idx="164">
                  <c:v>102.44159999999999</c:v>
                </c:pt>
                <c:pt idx="165">
                  <c:v>102.24160000000001</c:v>
                </c:pt>
                <c:pt idx="166">
                  <c:v>102.7966</c:v>
                </c:pt>
                <c:pt idx="167">
                  <c:v>102.2007</c:v>
                </c:pt>
                <c:pt idx="168">
                  <c:v>101.8429</c:v>
                </c:pt>
                <c:pt idx="169">
                  <c:v>101.6437</c:v>
                </c:pt>
                <c:pt idx="170">
                  <c:v>101.09010000000001</c:v>
                </c:pt>
                <c:pt idx="171">
                  <c:v>101.45059999999999</c:v>
                </c:pt>
                <c:pt idx="172">
                  <c:v>101.36409999999999</c:v>
                </c:pt>
                <c:pt idx="173">
                  <c:v>101.1601</c:v>
                </c:pt>
                <c:pt idx="174">
                  <c:v>101.69970000000001</c:v>
                </c:pt>
                <c:pt idx="175">
                  <c:v>101.75579999999999</c:v>
                </c:pt>
                <c:pt idx="176">
                  <c:v>101.642</c:v>
                </c:pt>
                <c:pt idx="177">
                  <c:v>101.24079999999999</c:v>
                </c:pt>
                <c:pt idx="178">
                  <c:v>101.84010000000001</c:v>
                </c:pt>
                <c:pt idx="179">
                  <c:v>102.12479999999999</c:v>
                </c:pt>
                <c:pt idx="180">
                  <c:v>102.17870000000001</c:v>
                </c:pt>
                <c:pt idx="181">
                  <c:v>101.43729999999999</c:v>
                </c:pt>
                <c:pt idx="182">
                  <c:v>101.8087</c:v>
                </c:pt>
                <c:pt idx="183">
                  <c:v>101.7594</c:v>
                </c:pt>
                <c:pt idx="184">
                  <c:v>100.8886</c:v>
                </c:pt>
                <c:pt idx="185">
                  <c:v>101.7694</c:v>
                </c:pt>
                <c:pt idx="186">
                  <c:v>101.6969</c:v>
                </c:pt>
                <c:pt idx="187">
                  <c:v>100.7578</c:v>
                </c:pt>
                <c:pt idx="188">
                  <c:v>100.8995</c:v>
                </c:pt>
                <c:pt idx="189">
                  <c:v>101.2963</c:v>
                </c:pt>
                <c:pt idx="190">
                  <c:v>101.434</c:v>
                </c:pt>
                <c:pt idx="191">
                  <c:v>101.25190000000001</c:v>
                </c:pt>
                <c:pt idx="192">
                  <c:v>101.35380000000001</c:v>
                </c:pt>
                <c:pt idx="193">
                  <c:v>101.0924</c:v>
                </c:pt>
                <c:pt idx="194">
                  <c:v>100.7328</c:v>
                </c:pt>
                <c:pt idx="195">
                  <c:v>101.4028</c:v>
                </c:pt>
                <c:pt idx="196">
                  <c:v>100.315</c:v>
                </c:pt>
                <c:pt idx="197">
                  <c:v>100.7097</c:v>
                </c:pt>
                <c:pt idx="198">
                  <c:v>99.936599999999999</c:v>
                </c:pt>
                <c:pt idx="199">
                  <c:v>100.5244</c:v>
                </c:pt>
                <c:pt idx="200">
                  <c:v>100.52979999999999</c:v>
                </c:pt>
                <c:pt idx="201">
                  <c:v>100.56270000000001</c:v>
                </c:pt>
                <c:pt idx="202">
                  <c:v>101.26730000000001</c:v>
                </c:pt>
                <c:pt idx="203">
                  <c:v>100.318</c:v>
                </c:pt>
                <c:pt idx="204">
                  <c:v>101.14660000000001</c:v>
                </c:pt>
                <c:pt idx="205">
                  <c:v>100.39790000000001</c:v>
                </c:pt>
                <c:pt idx="206">
                  <c:v>100.2668</c:v>
                </c:pt>
                <c:pt idx="207">
                  <c:v>100.4824</c:v>
                </c:pt>
                <c:pt idx="208">
                  <c:v>100.1611</c:v>
                </c:pt>
                <c:pt idx="209">
                  <c:v>100.7315</c:v>
                </c:pt>
                <c:pt idx="210">
                  <c:v>100.955</c:v>
                </c:pt>
                <c:pt idx="211">
                  <c:v>100.3673</c:v>
                </c:pt>
                <c:pt idx="212">
                  <c:v>100.2337</c:v>
                </c:pt>
                <c:pt idx="213">
                  <c:v>100.1961</c:v>
                </c:pt>
                <c:pt idx="214">
                  <c:v>99.870500000000007</c:v>
                </c:pt>
                <c:pt idx="215">
                  <c:v>99.554400000000001</c:v>
                </c:pt>
                <c:pt idx="216">
                  <c:v>99.727900000000005</c:v>
                </c:pt>
                <c:pt idx="217">
                  <c:v>100.1896</c:v>
                </c:pt>
                <c:pt idx="218">
                  <c:v>99.789100000000005</c:v>
                </c:pt>
                <c:pt idx="219">
                  <c:v>100.845</c:v>
                </c:pt>
                <c:pt idx="220">
                  <c:v>100.55240000000001</c:v>
                </c:pt>
                <c:pt idx="221">
                  <c:v>100.7236</c:v>
                </c:pt>
                <c:pt idx="222">
                  <c:v>100.83150000000001</c:v>
                </c:pt>
                <c:pt idx="223">
                  <c:v>99.891400000000004</c:v>
                </c:pt>
                <c:pt idx="224">
                  <c:v>100.8745</c:v>
                </c:pt>
                <c:pt idx="225">
                  <c:v>100.49169999999999</c:v>
                </c:pt>
                <c:pt idx="226">
                  <c:v>100.3511</c:v>
                </c:pt>
                <c:pt idx="227">
                  <c:v>100.3754</c:v>
                </c:pt>
                <c:pt idx="228">
                  <c:v>100.0886</c:v>
                </c:pt>
                <c:pt idx="229">
                  <c:v>100.55289999999999</c:v>
                </c:pt>
                <c:pt idx="230">
                  <c:v>99.490899999999996</c:v>
                </c:pt>
                <c:pt idx="231">
                  <c:v>100.2533</c:v>
                </c:pt>
                <c:pt idx="232">
                  <c:v>99.635000000000005</c:v>
                </c:pt>
                <c:pt idx="233">
                  <c:v>99.327799999999996</c:v>
                </c:pt>
                <c:pt idx="234">
                  <c:v>100.0309</c:v>
                </c:pt>
                <c:pt idx="235">
                  <c:v>99.275700000000001</c:v>
                </c:pt>
                <c:pt idx="236">
                  <c:v>99.905799999999999</c:v>
                </c:pt>
                <c:pt idx="237">
                  <c:v>99.717399999999998</c:v>
                </c:pt>
                <c:pt idx="238">
                  <c:v>99.501800000000003</c:v>
                </c:pt>
                <c:pt idx="239">
                  <c:v>100.2013</c:v>
                </c:pt>
                <c:pt idx="240">
                  <c:v>99.924599999999998</c:v>
                </c:pt>
                <c:pt idx="241">
                  <c:v>99.6434</c:v>
                </c:pt>
                <c:pt idx="242">
                  <c:v>100.2641</c:v>
                </c:pt>
                <c:pt idx="243">
                  <c:v>99.823700000000002</c:v>
                </c:pt>
                <c:pt idx="244">
                  <c:v>99.422300000000007</c:v>
                </c:pt>
                <c:pt idx="245">
                  <c:v>100.1323</c:v>
                </c:pt>
                <c:pt idx="246">
                  <c:v>99.182299999999998</c:v>
                </c:pt>
                <c:pt idx="247">
                  <c:v>98.911799999999999</c:v>
                </c:pt>
                <c:pt idx="248">
                  <c:v>98.702699999999993</c:v>
                </c:pt>
                <c:pt idx="249">
                  <c:v>98.417500000000004</c:v>
                </c:pt>
                <c:pt idx="250">
                  <c:v>99.028000000000006</c:v>
                </c:pt>
                <c:pt idx="251">
                  <c:v>99.036799999999999</c:v>
                </c:pt>
                <c:pt idx="252">
                  <c:v>99.232799999999997</c:v>
                </c:pt>
                <c:pt idx="253">
                  <c:v>98.9131</c:v>
                </c:pt>
                <c:pt idx="254">
                  <c:v>99.431899999999999</c:v>
                </c:pt>
                <c:pt idx="255">
                  <c:v>99.149299999999997</c:v>
                </c:pt>
                <c:pt idx="256">
                  <c:v>99.001199999999997</c:v>
                </c:pt>
                <c:pt idx="257">
                  <c:v>98.410899999999998</c:v>
                </c:pt>
                <c:pt idx="258">
                  <c:v>98.407200000000003</c:v>
                </c:pt>
                <c:pt idx="259">
                  <c:v>98.131100000000004</c:v>
                </c:pt>
                <c:pt idx="260">
                  <c:v>98.128500000000003</c:v>
                </c:pt>
                <c:pt idx="261">
                  <c:v>98.080600000000004</c:v>
                </c:pt>
                <c:pt idx="262">
                  <c:v>97.723500000000001</c:v>
                </c:pt>
                <c:pt idx="263">
                  <c:v>98.469200000000001</c:v>
                </c:pt>
                <c:pt idx="264">
                  <c:v>97.911600000000007</c:v>
                </c:pt>
                <c:pt idx="265">
                  <c:v>98.0792</c:v>
                </c:pt>
                <c:pt idx="266">
                  <c:v>98.495800000000003</c:v>
                </c:pt>
                <c:pt idx="267">
                  <c:v>98.351200000000006</c:v>
                </c:pt>
                <c:pt idx="268">
                  <c:v>97.255099999999999</c:v>
                </c:pt>
                <c:pt idx="269">
                  <c:v>97.260800000000003</c:v>
                </c:pt>
                <c:pt idx="270">
                  <c:v>97.0364</c:v>
                </c:pt>
                <c:pt idx="271">
                  <c:v>97.063800000000001</c:v>
                </c:pt>
                <c:pt idx="272">
                  <c:v>96.849900000000005</c:v>
                </c:pt>
                <c:pt idx="273">
                  <c:v>96.576599999999999</c:v>
                </c:pt>
                <c:pt idx="274">
                  <c:v>97.297300000000007</c:v>
                </c:pt>
                <c:pt idx="275">
                  <c:v>97.022900000000007</c:v>
                </c:pt>
                <c:pt idx="276">
                  <c:v>96.806799999999996</c:v>
                </c:pt>
                <c:pt idx="277">
                  <c:v>97.090900000000005</c:v>
                </c:pt>
                <c:pt idx="278">
                  <c:v>97.3078</c:v>
                </c:pt>
                <c:pt idx="279">
                  <c:v>98.006799999999998</c:v>
                </c:pt>
                <c:pt idx="280">
                  <c:v>97.8</c:v>
                </c:pt>
                <c:pt idx="281">
                  <c:v>97.215900000000005</c:v>
                </c:pt>
                <c:pt idx="282">
                  <c:v>97.407399999999996</c:v>
                </c:pt>
                <c:pt idx="283">
                  <c:v>97</c:v>
                </c:pt>
                <c:pt idx="284">
                  <c:v>97.294799999999995</c:v>
                </c:pt>
                <c:pt idx="285">
                  <c:v>98.680199999999999</c:v>
                </c:pt>
                <c:pt idx="286">
                  <c:v>97.782399999999996</c:v>
                </c:pt>
                <c:pt idx="287">
                  <c:v>97.395799999999994</c:v>
                </c:pt>
                <c:pt idx="288">
                  <c:v>97.242599999999996</c:v>
                </c:pt>
                <c:pt idx="289">
                  <c:v>97.208399999999997</c:v>
                </c:pt>
                <c:pt idx="290">
                  <c:v>97.206599999999995</c:v>
                </c:pt>
                <c:pt idx="291">
                  <c:v>97.394599999999997</c:v>
                </c:pt>
                <c:pt idx="292">
                  <c:v>98.322400000000002</c:v>
                </c:pt>
                <c:pt idx="293">
                  <c:v>97.313299999999998</c:v>
                </c:pt>
                <c:pt idx="294">
                  <c:v>97.4803</c:v>
                </c:pt>
                <c:pt idx="295">
                  <c:v>98.040599999999998</c:v>
                </c:pt>
                <c:pt idx="296">
                  <c:v>97.702799999999996</c:v>
                </c:pt>
                <c:pt idx="297">
                  <c:v>97.2149</c:v>
                </c:pt>
                <c:pt idx="298">
                  <c:v>97.247100000000003</c:v>
                </c:pt>
                <c:pt idx="299">
                  <c:v>97.016499999999994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4B8F-CB43-812A-49854AEF1DB3}"/>
            </c:ext>
          </c:extLst>
        </c:ser>
        <c:ser>
          <c:idx val="3"/>
          <c:order val="3"/>
          <c:tx>
            <c:strRef>
              <c:f>Simulation!$I$1</c:f>
              <c:strCache>
                <c:ptCount val="1"/>
                <c:pt idx="0">
                  <c:v>P1</c:v>
                </c:pt>
              </c:strCache>
            </c:strRef>
          </c:tx>
          <c:spPr>
            <a:ln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Simulation!$I$2:$I$301</c:f>
              <c:numCache>
                <c:formatCode>General</c:formatCode>
                <c:ptCount val="300"/>
                <c:pt idx="0">
                  <c:v>68.294700000000006</c:v>
                </c:pt>
                <c:pt idx="1">
                  <c:v>29.904399999999999</c:v>
                </c:pt>
                <c:pt idx="2">
                  <c:v>16.7822</c:v>
                </c:pt>
                <c:pt idx="3">
                  <c:v>8.3993000000000002</c:v>
                </c:pt>
                <c:pt idx="4">
                  <c:v>1.8517999999999999</c:v>
                </c:pt>
                <c:pt idx="5">
                  <c:v>-0.58720000000000006</c:v>
                </c:pt>
                <c:pt idx="6">
                  <c:v>-3.1092</c:v>
                </c:pt>
                <c:pt idx="7">
                  <c:v>-3.7242999999999999</c:v>
                </c:pt>
                <c:pt idx="8">
                  <c:v>-6.282</c:v>
                </c:pt>
                <c:pt idx="9">
                  <c:v>-7.1670999999999996</c:v>
                </c:pt>
                <c:pt idx="10">
                  <c:v>-9.9291</c:v>
                </c:pt>
                <c:pt idx="11">
                  <c:v>-10.276999999999999</c:v>
                </c:pt>
                <c:pt idx="12">
                  <c:v>-10.3538</c:v>
                </c:pt>
                <c:pt idx="13">
                  <c:v>-10.622400000000001</c:v>
                </c:pt>
                <c:pt idx="14">
                  <c:v>-11.728199999999999</c:v>
                </c:pt>
                <c:pt idx="15">
                  <c:v>-10.784700000000001</c:v>
                </c:pt>
                <c:pt idx="16">
                  <c:v>-10.3581</c:v>
                </c:pt>
                <c:pt idx="17">
                  <c:v>-10.783799999999999</c:v>
                </c:pt>
                <c:pt idx="18">
                  <c:v>-10.436</c:v>
                </c:pt>
                <c:pt idx="19">
                  <c:v>-12.1113</c:v>
                </c:pt>
                <c:pt idx="20">
                  <c:v>-13.504</c:v>
                </c:pt>
                <c:pt idx="21">
                  <c:v>-13.9411</c:v>
                </c:pt>
                <c:pt idx="22">
                  <c:v>-13.647500000000001</c:v>
                </c:pt>
                <c:pt idx="23">
                  <c:v>-12.8962</c:v>
                </c:pt>
                <c:pt idx="24">
                  <c:v>-12.7455</c:v>
                </c:pt>
                <c:pt idx="25">
                  <c:v>-14.4254</c:v>
                </c:pt>
                <c:pt idx="26">
                  <c:v>-13.498100000000001</c:v>
                </c:pt>
                <c:pt idx="27">
                  <c:v>-13.906000000000001</c:v>
                </c:pt>
                <c:pt idx="28">
                  <c:v>-13.088100000000001</c:v>
                </c:pt>
                <c:pt idx="29">
                  <c:v>-13.6127</c:v>
                </c:pt>
                <c:pt idx="30">
                  <c:v>-14.2719</c:v>
                </c:pt>
                <c:pt idx="31">
                  <c:v>-14.798500000000001</c:v>
                </c:pt>
                <c:pt idx="32">
                  <c:v>-13.538500000000001</c:v>
                </c:pt>
                <c:pt idx="33">
                  <c:v>-11.889900000000001</c:v>
                </c:pt>
                <c:pt idx="34">
                  <c:v>-12.8583</c:v>
                </c:pt>
                <c:pt idx="35">
                  <c:v>-13.456300000000001</c:v>
                </c:pt>
                <c:pt idx="36">
                  <c:v>-12.6991</c:v>
                </c:pt>
                <c:pt idx="37">
                  <c:v>-13.132999999999999</c:v>
                </c:pt>
                <c:pt idx="38">
                  <c:v>-13.748699999999999</c:v>
                </c:pt>
                <c:pt idx="39">
                  <c:v>-10.923299999999999</c:v>
                </c:pt>
                <c:pt idx="40">
                  <c:v>-11.792199999999999</c:v>
                </c:pt>
                <c:pt idx="41">
                  <c:v>-12.793900000000001</c:v>
                </c:pt>
                <c:pt idx="42">
                  <c:v>-12.7378</c:v>
                </c:pt>
                <c:pt idx="43">
                  <c:v>-13.1998</c:v>
                </c:pt>
                <c:pt idx="44">
                  <c:v>-13.6732</c:v>
                </c:pt>
                <c:pt idx="45">
                  <c:v>-11.345700000000001</c:v>
                </c:pt>
                <c:pt idx="46">
                  <c:v>-13.978</c:v>
                </c:pt>
                <c:pt idx="47">
                  <c:v>-11.7179</c:v>
                </c:pt>
                <c:pt idx="48">
                  <c:v>-15.3363</c:v>
                </c:pt>
                <c:pt idx="49">
                  <c:v>-13.8474</c:v>
                </c:pt>
                <c:pt idx="50">
                  <c:v>-14.554600000000001</c:v>
                </c:pt>
                <c:pt idx="51">
                  <c:v>-13.6883</c:v>
                </c:pt>
                <c:pt idx="52">
                  <c:v>-14.742100000000001</c:v>
                </c:pt>
                <c:pt idx="53">
                  <c:v>-15.0685</c:v>
                </c:pt>
                <c:pt idx="54">
                  <c:v>-15.131</c:v>
                </c:pt>
                <c:pt idx="55">
                  <c:v>-15.072900000000001</c:v>
                </c:pt>
                <c:pt idx="56">
                  <c:v>-15.904400000000001</c:v>
                </c:pt>
                <c:pt idx="57">
                  <c:v>-12.8935</c:v>
                </c:pt>
                <c:pt idx="58">
                  <c:v>-13.5031</c:v>
                </c:pt>
                <c:pt idx="59">
                  <c:v>-14.852</c:v>
                </c:pt>
                <c:pt idx="60">
                  <c:v>-14.4422</c:v>
                </c:pt>
                <c:pt idx="61">
                  <c:v>-14.311299999999999</c:v>
                </c:pt>
                <c:pt idx="62">
                  <c:v>-14.1129</c:v>
                </c:pt>
                <c:pt idx="63">
                  <c:v>-15.600199999999999</c:v>
                </c:pt>
                <c:pt idx="64">
                  <c:v>-14.6386</c:v>
                </c:pt>
                <c:pt idx="65">
                  <c:v>-14.2339</c:v>
                </c:pt>
                <c:pt idx="66">
                  <c:v>-13.939</c:v>
                </c:pt>
                <c:pt idx="67">
                  <c:v>-13.5924</c:v>
                </c:pt>
                <c:pt idx="68">
                  <c:v>-14.416399999999999</c:v>
                </c:pt>
                <c:pt idx="69">
                  <c:v>-12.809699999999999</c:v>
                </c:pt>
                <c:pt idx="70">
                  <c:v>-12.5524</c:v>
                </c:pt>
                <c:pt idx="71">
                  <c:v>-14.5814</c:v>
                </c:pt>
                <c:pt idx="72">
                  <c:v>-14.459099999999999</c:v>
                </c:pt>
                <c:pt idx="73">
                  <c:v>-14.246700000000001</c:v>
                </c:pt>
                <c:pt idx="74">
                  <c:v>-13.198700000000001</c:v>
                </c:pt>
                <c:pt idx="75">
                  <c:v>-13.7272</c:v>
                </c:pt>
                <c:pt idx="76">
                  <c:v>-14.894299999999999</c:v>
                </c:pt>
                <c:pt idx="77">
                  <c:v>-14.1244</c:v>
                </c:pt>
                <c:pt idx="78">
                  <c:v>-14.9331</c:v>
                </c:pt>
                <c:pt idx="79">
                  <c:v>-14.484299999999999</c:v>
                </c:pt>
                <c:pt idx="80">
                  <c:v>-13.9704</c:v>
                </c:pt>
                <c:pt idx="81">
                  <c:v>-13.4672</c:v>
                </c:pt>
                <c:pt idx="82">
                  <c:v>-11.973000000000001</c:v>
                </c:pt>
                <c:pt idx="83">
                  <c:v>-14.044600000000001</c:v>
                </c:pt>
                <c:pt idx="84">
                  <c:v>-14.858700000000001</c:v>
                </c:pt>
                <c:pt idx="85">
                  <c:v>-17.5259</c:v>
                </c:pt>
                <c:pt idx="86">
                  <c:v>-16.604500000000002</c:v>
                </c:pt>
                <c:pt idx="87">
                  <c:v>-15.8719</c:v>
                </c:pt>
                <c:pt idx="88">
                  <c:v>-14.683</c:v>
                </c:pt>
                <c:pt idx="89">
                  <c:v>-15.2051</c:v>
                </c:pt>
                <c:pt idx="90">
                  <c:v>-14.3461</c:v>
                </c:pt>
                <c:pt idx="91">
                  <c:v>-13.7967</c:v>
                </c:pt>
                <c:pt idx="92">
                  <c:v>-14.792999999999999</c:v>
                </c:pt>
                <c:pt idx="93">
                  <c:v>-12.9876</c:v>
                </c:pt>
                <c:pt idx="94">
                  <c:v>-16.6783</c:v>
                </c:pt>
                <c:pt idx="95">
                  <c:v>-17.8401</c:v>
                </c:pt>
                <c:pt idx="96">
                  <c:v>-16.38</c:v>
                </c:pt>
                <c:pt idx="97">
                  <c:v>-14.069699999999999</c:v>
                </c:pt>
                <c:pt idx="98">
                  <c:v>-14.218400000000001</c:v>
                </c:pt>
                <c:pt idx="99">
                  <c:v>-14.901899999999999</c:v>
                </c:pt>
                <c:pt idx="100">
                  <c:v>-16.207899999999999</c:v>
                </c:pt>
                <c:pt idx="101">
                  <c:v>-15.758599999999999</c:v>
                </c:pt>
                <c:pt idx="102">
                  <c:v>-15.114800000000001</c:v>
                </c:pt>
                <c:pt idx="103">
                  <c:v>-16.111499999999999</c:v>
                </c:pt>
                <c:pt idx="104">
                  <c:v>-17.392700000000001</c:v>
                </c:pt>
                <c:pt idx="105">
                  <c:v>-14.813000000000001</c:v>
                </c:pt>
                <c:pt idx="106">
                  <c:v>-16.495899999999999</c:v>
                </c:pt>
                <c:pt idx="107">
                  <c:v>-15.9916</c:v>
                </c:pt>
                <c:pt idx="108">
                  <c:v>-15.6677</c:v>
                </c:pt>
                <c:pt idx="109">
                  <c:v>-15.3741</c:v>
                </c:pt>
                <c:pt idx="110">
                  <c:v>-16.553699999999999</c:v>
                </c:pt>
                <c:pt idx="111">
                  <c:v>-16.214200000000002</c:v>
                </c:pt>
                <c:pt idx="112">
                  <c:v>-15.9712</c:v>
                </c:pt>
                <c:pt idx="113">
                  <c:v>-16.410299999999999</c:v>
                </c:pt>
                <c:pt idx="114">
                  <c:v>-15.899100000000001</c:v>
                </c:pt>
                <c:pt idx="115">
                  <c:v>-19.121200000000002</c:v>
                </c:pt>
                <c:pt idx="116">
                  <c:v>-16.9329</c:v>
                </c:pt>
                <c:pt idx="117">
                  <c:v>-16.0822</c:v>
                </c:pt>
                <c:pt idx="118">
                  <c:v>-16.359400000000001</c:v>
                </c:pt>
                <c:pt idx="119">
                  <c:v>-17.661999999999999</c:v>
                </c:pt>
                <c:pt idx="120">
                  <c:v>-14.7202</c:v>
                </c:pt>
                <c:pt idx="121">
                  <c:v>-14.688499999999999</c:v>
                </c:pt>
                <c:pt idx="122">
                  <c:v>-17.2074</c:v>
                </c:pt>
                <c:pt idx="123">
                  <c:v>-16.354800000000001</c:v>
                </c:pt>
                <c:pt idx="124">
                  <c:v>-15.916399999999999</c:v>
                </c:pt>
                <c:pt idx="125">
                  <c:v>-17.090699999999998</c:v>
                </c:pt>
                <c:pt idx="126">
                  <c:v>-17.619299999999999</c:v>
                </c:pt>
                <c:pt idx="127">
                  <c:v>-17.385300000000001</c:v>
                </c:pt>
                <c:pt idx="128">
                  <c:v>-16.589500000000001</c:v>
                </c:pt>
                <c:pt idx="129">
                  <c:v>-17.134499999999999</c:v>
                </c:pt>
                <c:pt idx="130">
                  <c:v>-16.1617</c:v>
                </c:pt>
                <c:pt idx="131">
                  <c:v>-18.368500000000001</c:v>
                </c:pt>
                <c:pt idx="132">
                  <c:v>-16.144200000000001</c:v>
                </c:pt>
                <c:pt idx="133">
                  <c:v>-16.664000000000001</c:v>
                </c:pt>
                <c:pt idx="134">
                  <c:v>-17.2591</c:v>
                </c:pt>
                <c:pt idx="135">
                  <c:v>-17.153700000000001</c:v>
                </c:pt>
                <c:pt idx="136">
                  <c:v>-17.505700000000001</c:v>
                </c:pt>
                <c:pt idx="137">
                  <c:v>-17.065999999999999</c:v>
                </c:pt>
                <c:pt idx="138">
                  <c:v>-17.163499999999999</c:v>
                </c:pt>
                <c:pt idx="139">
                  <c:v>-18.004300000000001</c:v>
                </c:pt>
                <c:pt idx="140">
                  <c:v>-16.977399999999999</c:v>
                </c:pt>
                <c:pt idx="141">
                  <c:v>-17.2578</c:v>
                </c:pt>
                <c:pt idx="142">
                  <c:v>-14.4405</c:v>
                </c:pt>
                <c:pt idx="143">
                  <c:v>-16.2683</c:v>
                </c:pt>
                <c:pt idx="144">
                  <c:v>-15.579700000000001</c:v>
                </c:pt>
                <c:pt idx="145">
                  <c:v>-18.049800000000001</c:v>
                </c:pt>
                <c:pt idx="146">
                  <c:v>-16.027100000000001</c:v>
                </c:pt>
                <c:pt idx="147">
                  <c:v>-16.786799999999999</c:v>
                </c:pt>
                <c:pt idx="148">
                  <c:v>-16.519300000000001</c:v>
                </c:pt>
                <c:pt idx="149">
                  <c:v>-16.265899999999998</c:v>
                </c:pt>
                <c:pt idx="150">
                  <c:v>-17.402699999999999</c:v>
                </c:pt>
                <c:pt idx="151">
                  <c:v>-19.355499999999999</c:v>
                </c:pt>
                <c:pt idx="152">
                  <c:v>-16.6891</c:v>
                </c:pt>
                <c:pt idx="153">
                  <c:v>-16.014500000000002</c:v>
                </c:pt>
                <c:pt idx="154">
                  <c:v>-16.781400000000001</c:v>
                </c:pt>
                <c:pt idx="155">
                  <c:v>-14.247999999999999</c:v>
                </c:pt>
                <c:pt idx="156">
                  <c:v>-16.882000000000001</c:v>
                </c:pt>
                <c:pt idx="157">
                  <c:v>-16.5929</c:v>
                </c:pt>
                <c:pt idx="158">
                  <c:v>-18.084499999999998</c:v>
                </c:pt>
                <c:pt idx="159">
                  <c:v>-17.139099999999999</c:v>
                </c:pt>
                <c:pt idx="160">
                  <c:v>-17.9604</c:v>
                </c:pt>
                <c:pt idx="161">
                  <c:v>-14.891999999999999</c:v>
                </c:pt>
                <c:pt idx="162">
                  <c:v>-16.716000000000001</c:v>
                </c:pt>
                <c:pt idx="163">
                  <c:v>-16.325600000000001</c:v>
                </c:pt>
                <c:pt idx="164">
                  <c:v>-16.284600000000001</c:v>
                </c:pt>
                <c:pt idx="165">
                  <c:v>-18.9238</c:v>
                </c:pt>
                <c:pt idx="166">
                  <c:v>-18.526</c:v>
                </c:pt>
                <c:pt idx="167">
                  <c:v>-17.8521</c:v>
                </c:pt>
                <c:pt idx="168">
                  <c:v>-17.174700000000001</c:v>
                </c:pt>
                <c:pt idx="169">
                  <c:v>-16.756399999999999</c:v>
                </c:pt>
                <c:pt idx="170">
                  <c:v>-18.9239</c:v>
                </c:pt>
                <c:pt idx="171">
                  <c:v>-18.308399999999999</c:v>
                </c:pt>
                <c:pt idx="172">
                  <c:v>-17.3916</c:v>
                </c:pt>
                <c:pt idx="173">
                  <c:v>-16.803999999999998</c:v>
                </c:pt>
                <c:pt idx="174">
                  <c:v>-16.976299999999998</c:v>
                </c:pt>
                <c:pt idx="175">
                  <c:v>-18.064499999999999</c:v>
                </c:pt>
                <c:pt idx="176">
                  <c:v>-18.1587</c:v>
                </c:pt>
                <c:pt idx="177">
                  <c:v>-17.826499999999999</c:v>
                </c:pt>
                <c:pt idx="178">
                  <c:v>-18.7103</c:v>
                </c:pt>
                <c:pt idx="179">
                  <c:v>-15.448600000000001</c:v>
                </c:pt>
                <c:pt idx="180">
                  <c:v>-18.7454</c:v>
                </c:pt>
                <c:pt idx="181">
                  <c:v>-20.336500000000001</c:v>
                </c:pt>
                <c:pt idx="182">
                  <c:v>-18.9252</c:v>
                </c:pt>
                <c:pt idx="183">
                  <c:v>-19.575399999999998</c:v>
                </c:pt>
                <c:pt idx="184">
                  <c:v>-19.1358</c:v>
                </c:pt>
                <c:pt idx="185">
                  <c:v>-18.389600000000002</c:v>
                </c:pt>
                <c:pt idx="186">
                  <c:v>-16.8718</c:v>
                </c:pt>
                <c:pt idx="187">
                  <c:v>-15.5593</c:v>
                </c:pt>
                <c:pt idx="188">
                  <c:v>-15.9483</c:v>
                </c:pt>
                <c:pt idx="189">
                  <c:v>-16.099599999999999</c:v>
                </c:pt>
                <c:pt idx="190">
                  <c:v>-16.348600000000001</c:v>
                </c:pt>
                <c:pt idx="191">
                  <c:v>-17.384599999999999</c:v>
                </c:pt>
                <c:pt idx="192">
                  <c:v>-16.6051</c:v>
                </c:pt>
                <c:pt idx="193">
                  <c:v>-17.899100000000001</c:v>
                </c:pt>
                <c:pt idx="194">
                  <c:v>-16.925699999999999</c:v>
                </c:pt>
                <c:pt idx="195">
                  <c:v>-18.071100000000001</c:v>
                </c:pt>
                <c:pt idx="196">
                  <c:v>-17.4038</c:v>
                </c:pt>
                <c:pt idx="197">
                  <c:v>-18.041599999999999</c:v>
                </c:pt>
                <c:pt idx="198">
                  <c:v>-17.633400000000002</c:v>
                </c:pt>
                <c:pt idx="199">
                  <c:v>-17.7789</c:v>
                </c:pt>
                <c:pt idx="200">
                  <c:v>-17.724799999999998</c:v>
                </c:pt>
                <c:pt idx="201">
                  <c:v>-17.967500000000001</c:v>
                </c:pt>
                <c:pt idx="202">
                  <c:v>-17.124300000000002</c:v>
                </c:pt>
                <c:pt idx="203">
                  <c:v>-18.203700000000001</c:v>
                </c:pt>
                <c:pt idx="204">
                  <c:v>-17.694800000000001</c:v>
                </c:pt>
                <c:pt idx="205">
                  <c:v>-17.1401</c:v>
                </c:pt>
                <c:pt idx="206">
                  <c:v>-18.300799999999999</c:v>
                </c:pt>
                <c:pt idx="207">
                  <c:v>-18.218399999999999</c:v>
                </c:pt>
                <c:pt idx="208">
                  <c:v>-16.9313</c:v>
                </c:pt>
                <c:pt idx="209">
                  <c:v>-18.604600000000001</c:v>
                </c:pt>
                <c:pt idx="210">
                  <c:v>-17.496400000000001</c:v>
                </c:pt>
                <c:pt idx="211">
                  <c:v>-17.353200000000001</c:v>
                </c:pt>
                <c:pt idx="212">
                  <c:v>-17.677399999999999</c:v>
                </c:pt>
                <c:pt idx="213">
                  <c:v>-16.098600000000001</c:v>
                </c:pt>
                <c:pt idx="214">
                  <c:v>-17.7699</c:v>
                </c:pt>
                <c:pt idx="215">
                  <c:v>-18.800899999999999</c:v>
                </c:pt>
                <c:pt idx="216">
                  <c:v>-19.770199999999999</c:v>
                </c:pt>
                <c:pt idx="217">
                  <c:v>-19.703099999999999</c:v>
                </c:pt>
                <c:pt idx="218">
                  <c:v>-19.960599999999999</c:v>
                </c:pt>
                <c:pt idx="219">
                  <c:v>-19.046800000000001</c:v>
                </c:pt>
                <c:pt idx="220">
                  <c:v>-17.771100000000001</c:v>
                </c:pt>
                <c:pt idx="221">
                  <c:v>-18.825700000000001</c:v>
                </c:pt>
                <c:pt idx="222">
                  <c:v>-18.234100000000002</c:v>
                </c:pt>
                <c:pt idx="223">
                  <c:v>-19.758400000000002</c:v>
                </c:pt>
                <c:pt idx="224">
                  <c:v>-20.015699999999999</c:v>
                </c:pt>
                <c:pt idx="225">
                  <c:v>-19.678100000000001</c:v>
                </c:pt>
                <c:pt idx="226">
                  <c:v>-18.414400000000001</c:v>
                </c:pt>
                <c:pt idx="227">
                  <c:v>-17.879200000000001</c:v>
                </c:pt>
                <c:pt idx="228">
                  <c:v>-17.197199999999999</c:v>
                </c:pt>
                <c:pt idx="229">
                  <c:v>-19.5228</c:v>
                </c:pt>
                <c:pt idx="230">
                  <c:v>-17.334800000000001</c:v>
                </c:pt>
                <c:pt idx="231">
                  <c:v>-18.9572</c:v>
                </c:pt>
                <c:pt idx="232">
                  <c:v>-18.865300000000001</c:v>
                </c:pt>
                <c:pt idx="233">
                  <c:v>-17.145900000000001</c:v>
                </c:pt>
                <c:pt idx="234">
                  <c:v>-17.9178</c:v>
                </c:pt>
                <c:pt idx="235">
                  <c:v>-18.2806</c:v>
                </c:pt>
                <c:pt idx="236">
                  <c:v>-19.577000000000002</c:v>
                </c:pt>
                <c:pt idx="237">
                  <c:v>-19.3185</c:v>
                </c:pt>
                <c:pt idx="238">
                  <c:v>-20.639800000000001</c:v>
                </c:pt>
                <c:pt idx="239">
                  <c:v>-19.553100000000001</c:v>
                </c:pt>
                <c:pt idx="240">
                  <c:v>-18.9878</c:v>
                </c:pt>
                <c:pt idx="241">
                  <c:v>-18.323599999999999</c:v>
                </c:pt>
                <c:pt idx="242">
                  <c:v>-19.716000000000001</c:v>
                </c:pt>
                <c:pt idx="243">
                  <c:v>-19.682099999999998</c:v>
                </c:pt>
                <c:pt idx="244">
                  <c:v>-21.8307</c:v>
                </c:pt>
                <c:pt idx="245">
                  <c:v>-19.042899999999999</c:v>
                </c:pt>
                <c:pt idx="246">
                  <c:v>-19.404</c:v>
                </c:pt>
                <c:pt idx="247">
                  <c:v>-21.252700000000001</c:v>
                </c:pt>
                <c:pt idx="248">
                  <c:v>-20.4452</c:v>
                </c:pt>
                <c:pt idx="249">
                  <c:v>-19.484000000000002</c:v>
                </c:pt>
                <c:pt idx="250">
                  <c:v>-20.141200000000001</c:v>
                </c:pt>
                <c:pt idx="251">
                  <c:v>-18.296500000000002</c:v>
                </c:pt>
                <c:pt idx="252">
                  <c:v>-19.8691</c:v>
                </c:pt>
                <c:pt idx="253">
                  <c:v>-21.284300000000002</c:v>
                </c:pt>
                <c:pt idx="254">
                  <c:v>-19.895199999999999</c:v>
                </c:pt>
                <c:pt idx="255">
                  <c:v>-22.093</c:v>
                </c:pt>
                <c:pt idx="256">
                  <c:v>-20.2545</c:v>
                </c:pt>
                <c:pt idx="257">
                  <c:v>-18.61</c:v>
                </c:pt>
                <c:pt idx="258">
                  <c:v>-19.4603</c:v>
                </c:pt>
                <c:pt idx="259">
                  <c:v>-21.2194</c:v>
                </c:pt>
                <c:pt idx="260">
                  <c:v>-20.899000000000001</c:v>
                </c:pt>
                <c:pt idx="261">
                  <c:v>-21.126799999999999</c:v>
                </c:pt>
                <c:pt idx="262">
                  <c:v>-21.332599999999999</c:v>
                </c:pt>
                <c:pt idx="263">
                  <c:v>-19.827300000000001</c:v>
                </c:pt>
                <c:pt idx="264">
                  <c:v>-20.049399999999999</c:v>
                </c:pt>
                <c:pt idx="265">
                  <c:v>-18.419</c:v>
                </c:pt>
                <c:pt idx="266">
                  <c:v>-18.87</c:v>
                </c:pt>
                <c:pt idx="267">
                  <c:v>-19.613399999999999</c:v>
                </c:pt>
                <c:pt idx="268">
                  <c:v>-22.0198</c:v>
                </c:pt>
                <c:pt idx="269">
                  <c:v>-23.071300000000001</c:v>
                </c:pt>
                <c:pt idx="270">
                  <c:v>-21.671600000000002</c:v>
                </c:pt>
                <c:pt idx="271">
                  <c:v>-22.294</c:v>
                </c:pt>
                <c:pt idx="272">
                  <c:v>-22.080500000000001</c:v>
                </c:pt>
                <c:pt idx="273">
                  <c:v>-20.567499999999999</c:v>
                </c:pt>
                <c:pt idx="274">
                  <c:v>-22.7302</c:v>
                </c:pt>
                <c:pt idx="275">
                  <c:v>-22.1435</c:v>
                </c:pt>
                <c:pt idx="276">
                  <c:v>-22.362300000000001</c:v>
                </c:pt>
                <c:pt idx="277">
                  <c:v>-25.4892</c:v>
                </c:pt>
                <c:pt idx="278">
                  <c:v>-23.565000000000001</c:v>
                </c:pt>
                <c:pt idx="279">
                  <c:v>-23.048500000000001</c:v>
                </c:pt>
                <c:pt idx="280">
                  <c:v>-22.260100000000001</c:v>
                </c:pt>
                <c:pt idx="281">
                  <c:v>-21.223500000000001</c:v>
                </c:pt>
                <c:pt idx="282">
                  <c:v>-21.1982</c:v>
                </c:pt>
                <c:pt idx="283">
                  <c:v>-21.7029</c:v>
                </c:pt>
                <c:pt idx="284">
                  <c:v>-21.6966</c:v>
                </c:pt>
                <c:pt idx="285">
                  <c:v>-23.187899999999999</c:v>
                </c:pt>
                <c:pt idx="286">
                  <c:v>-23.2956</c:v>
                </c:pt>
                <c:pt idx="287">
                  <c:v>-23.188600000000001</c:v>
                </c:pt>
                <c:pt idx="288">
                  <c:v>-21.275200000000002</c:v>
                </c:pt>
                <c:pt idx="289">
                  <c:v>-22.515699999999999</c:v>
                </c:pt>
                <c:pt idx="290">
                  <c:v>-22.422000000000001</c:v>
                </c:pt>
                <c:pt idx="291">
                  <c:v>-20.835699999999999</c:v>
                </c:pt>
                <c:pt idx="292">
                  <c:v>-22.172599999999999</c:v>
                </c:pt>
                <c:pt idx="293">
                  <c:v>-21.653700000000001</c:v>
                </c:pt>
                <c:pt idx="294">
                  <c:v>-22.9984</c:v>
                </c:pt>
                <c:pt idx="295">
                  <c:v>-22.098800000000001</c:v>
                </c:pt>
                <c:pt idx="296">
                  <c:v>-21.165700000000001</c:v>
                </c:pt>
                <c:pt idx="297">
                  <c:v>-21.847300000000001</c:v>
                </c:pt>
                <c:pt idx="298">
                  <c:v>-21.403300000000002</c:v>
                </c:pt>
                <c:pt idx="299">
                  <c:v>-22.495999999999999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4B8F-CB43-812A-49854AEF1D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Capture Price (EUR/MWh)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P50/P90/P99 at Key Project Horizons — DK1 Primary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Simulation!$L$2</c:f>
              <c:strCache>
                <c:ptCount val="1"/>
                <c:pt idx="0">
                  <c:v>P50</c:v>
                </c:pt>
              </c:strCache>
            </c:strRef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Simulation!$L$3:$L$7</c:f>
              <c:numCache>
                <c:formatCode>General</c:formatCode>
                <c:ptCount val="5"/>
                <c:pt idx="0">
                  <c:v>62.42</c:v>
                </c:pt>
                <c:pt idx="1">
                  <c:v>60.67</c:v>
                </c:pt>
                <c:pt idx="2">
                  <c:v>58.52</c:v>
                </c:pt>
                <c:pt idx="3">
                  <c:v>57.43</c:v>
                </c:pt>
                <c:pt idx="4">
                  <c:v>54.79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74A-7440-B8C6-06072326BC96}"/>
            </c:ext>
          </c:extLst>
        </c:ser>
        <c:ser>
          <c:idx val="1"/>
          <c:order val="1"/>
          <c:tx>
            <c:strRef>
              <c:f>Simulation!$M$2</c:f>
              <c:strCache>
                <c:ptCount val="1"/>
                <c:pt idx="0">
                  <c:v>P90</c:v>
                </c:pt>
              </c:strCache>
            </c:strRef>
          </c:tx>
          <c:spPr>
            <a:solidFill>
              <a:srgbClr val="FF8C00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Simulation!$M$3:$M$7</c:f>
              <c:numCache>
                <c:formatCode>General</c:formatCode>
                <c:ptCount val="5"/>
                <c:pt idx="0">
                  <c:v>19.97</c:v>
                </c:pt>
                <c:pt idx="1">
                  <c:v>18.27</c:v>
                </c:pt>
                <c:pt idx="2">
                  <c:v>16.52</c:v>
                </c:pt>
                <c:pt idx="3">
                  <c:v>14.71</c:v>
                </c:pt>
                <c:pt idx="4">
                  <c:v>12.55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D74A-7440-B8C6-06072326BC96}"/>
            </c:ext>
          </c:extLst>
        </c:ser>
        <c:ser>
          <c:idx val="2"/>
          <c:order val="2"/>
          <c:tx>
            <c:strRef>
              <c:f>Simulation!$N$2</c:f>
              <c:strCache>
                <c:ptCount val="1"/>
                <c:pt idx="0">
                  <c:v>P99</c:v>
                </c:pt>
              </c:strCache>
            </c:strRef>
          </c:tx>
          <c:spPr>
            <a:solidFill>
              <a:srgbClr val="C00000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Simulation!$N$3:$N$7</c:f>
              <c:numCache>
                <c:formatCode>General</c:formatCode>
                <c:ptCount val="5"/>
                <c:pt idx="0">
                  <c:v>-14.85</c:v>
                </c:pt>
                <c:pt idx="1">
                  <c:v>-17.66</c:v>
                </c:pt>
                <c:pt idx="2">
                  <c:v>-15.45</c:v>
                </c:pt>
                <c:pt idx="3">
                  <c:v>-19.55</c:v>
                </c:pt>
                <c:pt idx="4">
                  <c:v>-22.5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D74A-7440-B8C6-06072326BC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Project Year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Capture Price (EUR/MWh)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MC Simulation - DK1 P50/P90/P99 Capture Price Paths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Simulation!$C$1</c:f>
              <c:strCache>
                <c:ptCount val="1"/>
                <c:pt idx="0">
                  <c:v>mu_capture</c:v>
                </c:pt>
              </c:strCache>
            </c:strRef>
          </c:tx>
          <c:spPr>
            <a:ln>
              <a:solidFill>
                <a:srgbClr val="70AD47"/>
              </a:solidFill>
              <a:prstDash val="solid"/>
            </a:ln>
          </c:spPr>
          <c:marker>
            <c:symbol val="none"/>
          </c:marker>
          <c:val>
            <c:numRef>
              <c:f>Simulation!$C$2:$C$301</c:f>
              <c:numCache>
                <c:formatCode>General</c:formatCode>
                <c:ptCount val="300"/>
                <c:pt idx="0">
                  <c:v>64.879900000000006</c:v>
                </c:pt>
                <c:pt idx="1">
                  <c:v>64.845699999999994</c:v>
                </c:pt>
                <c:pt idx="2">
                  <c:v>64.811400000000006</c:v>
                </c:pt>
                <c:pt idx="3">
                  <c:v>64.777100000000004</c:v>
                </c:pt>
                <c:pt idx="4">
                  <c:v>64.742900000000006</c:v>
                </c:pt>
                <c:pt idx="5">
                  <c:v>64.708600000000004</c:v>
                </c:pt>
                <c:pt idx="6">
                  <c:v>64.674400000000006</c:v>
                </c:pt>
                <c:pt idx="7">
                  <c:v>64.640100000000004</c:v>
                </c:pt>
                <c:pt idx="8">
                  <c:v>64.605800000000002</c:v>
                </c:pt>
                <c:pt idx="9">
                  <c:v>64.571600000000004</c:v>
                </c:pt>
                <c:pt idx="10">
                  <c:v>64.537300000000002</c:v>
                </c:pt>
                <c:pt idx="11">
                  <c:v>64.503</c:v>
                </c:pt>
                <c:pt idx="12">
                  <c:v>64.468800000000002</c:v>
                </c:pt>
                <c:pt idx="13">
                  <c:v>64.4345</c:v>
                </c:pt>
                <c:pt idx="14">
                  <c:v>64.400300000000001</c:v>
                </c:pt>
                <c:pt idx="15">
                  <c:v>64.366</c:v>
                </c:pt>
                <c:pt idx="16">
                  <c:v>64.331699999999998</c:v>
                </c:pt>
                <c:pt idx="17">
                  <c:v>64.297499999999999</c:v>
                </c:pt>
                <c:pt idx="18">
                  <c:v>64.263199999999998</c:v>
                </c:pt>
                <c:pt idx="19">
                  <c:v>64.228999999999999</c:v>
                </c:pt>
                <c:pt idx="20">
                  <c:v>64.194699999999997</c:v>
                </c:pt>
                <c:pt idx="21">
                  <c:v>64.160399999999996</c:v>
                </c:pt>
                <c:pt idx="22">
                  <c:v>64.126199999999997</c:v>
                </c:pt>
                <c:pt idx="23">
                  <c:v>64.091899999999995</c:v>
                </c:pt>
                <c:pt idx="24">
                  <c:v>64.057599999999994</c:v>
                </c:pt>
                <c:pt idx="25">
                  <c:v>64.023399999999995</c:v>
                </c:pt>
                <c:pt idx="26">
                  <c:v>63.989100000000001</c:v>
                </c:pt>
                <c:pt idx="27">
                  <c:v>63.954900000000002</c:v>
                </c:pt>
                <c:pt idx="28">
                  <c:v>63.9206</c:v>
                </c:pt>
                <c:pt idx="29">
                  <c:v>63.886299999999999</c:v>
                </c:pt>
                <c:pt idx="30">
                  <c:v>63.8521</c:v>
                </c:pt>
                <c:pt idx="31">
                  <c:v>63.817799999999998</c:v>
                </c:pt>
                <c:pt idx="32">
                  <c:v>63.7836</c:v>
                </c:pt>
                <c:pt idx="33">
                  <c:v>63.749299999999998</c:v>
                </c:pt>
                <c:pt idx="34">
                  <c:v>63.715000000000003</c:v>
                </c:pt>
                <c:pt idx="35">
                  <c:v>63.680799999999998</c:v>
                </c:pt>
                <c:pt idx="36">
                  <c:v>63.646500000000003</c:v>
                </c:pt>
                <c:pt idx="37">
                  <c:v>63.612200000000001</c:v>
                </c:pt>
                <c:pt idx="38">
                  <c:v>63.578000000000003</c:v>
                </c:pt>
                <c:pt idx="39">
                  <c:v>63.543700000000001</c:v>
                </c:pt>
                <c:pt idx="40">
                  <c:v>63.509500000000003</c:v>
                </c:pt>
                <c:pt idx="41">
                  <c:v>63.475200000000001</c:v>
                </c:pt>
                <c:pt idx="42">
                  <c:v>63.440899999999999</c:v>
                </c:pt>
                <c:pt idx="43">
                  <c:v>63.406700000000001</c:v>
                </c:pt>
                <c:pt idx="44">
                  <c:v>63.372399999999999</c:v>
                </c:pt>
                <c:pt idx="45">
                  <c:v>63.338200000000001</c:v>
                </c:pt>
                <c:pt idx="46">
                  <c:v>63.303899999999999</c:v>
                </c:pt>
                <c:pt idx="47">
                  <c:v>63.269599999999997</c:v>
                </c:pt>
                <c:pt idx="48">
                  <c:v>63.235399999999998</c:v>
                </c:pt>
                <c:pt idx="49">
                  <c:v>63.201099999999997</c:v>
                </c:pt>
                <c:pt idx="50">
                  <c:v>63.166899999999998</c:v>
                </c:pt>
                <c:pt idx="51">
                  <c:v>63.132599999999996</c:v>
                </c:pt>
                <c:pt idx="52">
                  <c:v>63.098300000000002</c:v>
                </c:pt>
                <c:pt idx="53">
                  <c:v>63.064100000000003</c:v>
                </c:pt>
                <c:pt idx="54">
                  <c:v>63.029800000000002</c:v>
                </c:pt>
                <c:pt idx="55">
                  <c:v>62.9955</c:v>
                </c:pt>
                <c:pt idx="56">
                  <c:v>62.961300000000001</c:v>
                </c:pt>
                <c:pt idx="57">
                  <c:v>62.927</c:v>
                </c:pt>
                <c:pt idx="58">
                  <c:v>62.892800000000001</c:v>
                </c:pt>
                <c:pt idx="59">
                  <c:v>62.858499999999999</c:v>
                </c:pt>
                <c:pt idx="60">
                  <c:v>62.824199999999998</c:v>
                </c:pt>
                <c:pt idx="61">
                  <c:v>62.79</c:v>
                </c:pt>
                <c:pt idx="62">
                  <c:v>62.755699999999997</c:v>
                </c:pt>
                <c:pt idx="63">
                  <c:v>62.721499999999999</c:v>
                </c:pt>
                <c:pt idx="64">
                  <c:v>62.687199999999997</c:v>
                </c:pt>
                <c:pt idx="65">
                  <c:v>62.652900000000002</c:v>
                </c:pt>
                <c:pt idx="66">
                  <c:v>62.618699999999997</c:v>
                </c:pt>
                <c:pt idx="67">
                  <c:v>62.584400000000002</c:v>
                </c:pt>
                <c:pt idx="68">
                  <c:v>62.5501</c:v>
                </c:pt>
                <c:pt idx="69">
                  <c:v>62.515900000000002</c:v>
                </c:pt>
                <c:pt idx="70">
                  <c:v>62.4816</c:v>
                </c:pt>
                <c:pt idx="71">
                  <c:v>62.447400000000002</c:v>
                </c:pt>
                <c:pt idx="72">
                  <c:v>62.4131</c:v>
                </c:pt>
                <c:pt idx="73">
                  <c:v>62.378799999999998</c:v>
                </c:pt>
                <c:pt idx="74">
                  <c:v>62.3446</c:v>
                </c:pt>
                <c:pt idx="75">
                  <c:v>62.310299999999998</c:v>
                </c:pt>
                <c:pt idx="76">
                  <c:v>62.2761</c:v>
                </c:pt>
                <c:pt idx="77">
                  <c:v>62.241799999999998</c:v>
                </c:pt>
                <c:pt idx="78">
                  <c:v>62.207500000000003</c:v>
                </c:pt>
                <c:pt idx="79">
                  <c:v>62.173299999999998</c:v>
                </c:pt>
                <c:pt idx="80">
                  <c:v>62.139000000000003</c:v>
                </c:pt>
                <c:pt idx="81">
                  <c:v>62.104700000000001</c:v>
                </c:pt>
                <c:pt idx="82">
                  <c:v>62.070500000000003</c:v>
                </c:pt>
                <c:pt idx="83">
                  <c:v>62.036200000000001</c:v>
                </c:pt>
                <c:pt idx="84">
                  <c:v>62.002000000000002</c:v>
                </c:pt>
                <c:pt idx="85">
                  <c:v>61.967700000000001</c:v>
                </c:pt>
                <c:pt idx="86">
                  <c:v>61.933399999999999</c:v>
                </c:pt>
                <c:pt idx="87">
                  <c:v>61.8992</c:v>
                </c:pt>
                <c:pt idx="88">
                  <c:v>61.864899999999999</c:v>
                </c:pt>
                <c:pt idx="89">
                  <c:v>61.8307</c:v>
                </c:pt>
                <c:pt idx="90">
                  <c:v>61.796399999999998</c:v>
                </c:pt>
                <c:pt idx="91">
                  <c:v>61.762099999999997</c:v>
                </c:pt>
                <c:pt idx="92">
                  <c:v>61.727899999999998</c:v>
                </c:pt>
                <c:pt idx="93">
                  <c:v>61.693600000000004</c:v>
                </c:pt>
                <c:pt idx="94">
                  <c:v>61.659300000000002</c:v>
                </c:pt>
                <c:pt idx="95">
                  <c:v>61.625100000000003</c:v>
                </c:pt>
                <c:pt idx="96">
                  <c:v>61.590800000000002</c:v>
                </c:pt>
                <c:pt idx="97">
                  <c:v>61.556600000000003</c:v>
                </c:pt>
                <c:pt idx="98">
                  <c:v>61.522300000000001</c:v>
                </c:pt>
                <c:pt idx="99">
                  <c:v>61.488</c:v>
                </c:pt>
                <c:pt idx="100">
                  <c:v>61.453800000000001</c:v>
                </c:pt>
                <c:pt idx="101">
                  <c:v>61.419499999999999</c:v>
                </c:pt>
                <c:pt idx="102">
                  <c:v>61.385300000000001</c:v>
                </c:pt>
                <c:pt idx="103">
                  <c:v>61.350999999999999</c:v>
                </c:pt>
                <c:pt idx="104">
                  <c:v>61.316699999999997</c:v>
                </c:pt>
                <c:pt idx="105">
                  <c:v>61.282499999999999</c:v>
                </c:pt>
                <c:pt idx="106">
                  <c:v>61.248199999999997</c:v>
                </c:pt>
                <c:pt idx="107">
                  <c:v>61.213900000000002</c:v>
                </c:pt>
                <c:pt idx="108">
                  <c:v>61.179699999999997</c:v>
                </c:pt>
                <c:pt idx="109">
                  <c:v>61.145400000000002</c:v>
                </c:pt>
                <c:pt idx="110">
                  <c:v>61.111199999999997</c:v>
                </c:pt>
                <c:pt idx="111">
                  <c:v>61.076900000000002</c:v>
                </c:pt>
                <c:pt idx="112">
                  <c:v>61.0426</c:v>
                </c:pt>
                <c:pt idx="113">
                  <c:v>61.008400000000002</c:v>
                </c:pt>
                <c:pt idx="114">
                  <c:v>60.9741</c:v>
                </c:pt>
                <c:pt idx="115">
                  <c:v>60.939900000000002</c:v>
                </c:pt>
                <c:pt idx="116">
                  <c:v>60.9056</c:v>
                </c:pt>
                <c:pt idx="117">
                  <c:v>60.871299999999998</c:v>
                </c:pt>
                <c:pt idx="118">
                  <c:v>60.8371</c:v>
                </c:pt>
                <c:pt idx="119">
                  <c:v>60.802799999999998</c:v>
                </c:pt>
                <c:pt idx="120">
                  <c:v>60.768500000000003</c:v>
                </c:pt>
                <c:pt idx="121">
                  <c:v>60.734299999999998</c:v>
                </c:pt>
                <c:pt idx="122">
                  <c:v>60.7</c:v>
                </c:pt>
                <c:pt idx="123">
                  <c:v>60.665799999999997</c:v>
                </c:pt>
                <c:pt idx="124">
                  <c:v>60.631500000000003</c:v>
                </c:pt>
                <c:pt idx="125">
                  <c:v>60.597200000000001</c:v>
                </c:pt>
                <c:pt idx="126">
                  <c:v>60.563000000000002</c:v>
                </c:pt>
                <c:pt idx="127">
                  <c:v>60.528700000000001</c:v>
                </c:pt>
                <c:pt idx="128">
                  <c:v>60.494500000000002</c:v>
                </c:pt>
                <c:pt idx="129">
                  <c:v>60.4602</c:v>
                </c:pt>
                <c:pt idx="130">
                  <c:v>60.425899999999999</c:v>
                </c:pt>
                <c:pt idx="131">
                  <c:v>60.3917</c:v>
                </c:pt>
                <c:pt idx="132">
                  <c:v>60.357399999999998</c:v>
                </c:pt>
                <c:pt idx="133">
                  <c:v>60.323099999999997</c:v>
                </c:pt>
                <c:pt idx="134">
                  <c:v>60.288899999999998</c:v>
                </c:pt>
                <c:pt idx="135">
                  <c:v>60.254600000000003</c:v>
                </c:pt>
                <c:pt idx="136">
                  <c:v>60.220399999999998</c:v>
                </c:pt>
                <c:pt idx="137">
                  <c:v>60.186100000000003</c:v>
                </c:pt>
                <c:pt idx="138">
                  <c:v>60.151800000000001</c:v>
                </c:pt>
                <c:pt idx="139">
                  <c:v>60.117600000000003</c:v>
                </c:pt>
                <c:pt idx="140">
                  <c:v>60.083300000000001</c:v>
                </c:pt>
                <c:pt idx="141">
                  <c:v>60.049100000000003</c:v>
                </c:pt>
                <c:pt idx="142">
                  <c:v>60.014800000000001</c:v>
                </c:pt>
                <c:pt idx="143">
                  <c:v>59.980499999999999</c:v>
                </c:pt>
                <c:pt idx="144">
                  <c:v>59.946300000000001</c:v>
                </c:pt>
                <c:pt idx="145">
                  <c:v>59.911999999999999</c:v>
                </c:pt>
                <c:pt idx="146">
                  <c:v>59.877699999999997</c:v>
                </c:pt>
                <c:pt idx="147">
                  <c:v>59.843499999999999</c:v>
                </c:pt>
                <c:pt idx="148">
                  <c:v>59.809199999999997</c:v>
                </c:pt>
                <c:pt idx="149">
                  <c:v>59.774999999999999</c:v>
                </c:pt>
                <c:pt idx="150">
                  <c:v>59.740699999999997</c:v>
                </c:pt>
                <c:pt idx="151">
                  <c:v>59.706400000000002</c:v>
                </c:pt>
                <c:pt idx="152">
                  <c:v>59.672199999999997</c:v>
                </c:pt>
                <c:pt idx="153">
                  <c:v>59.637900000000002</c:v>
                </c:pt>
                <c:pt idx="154">
                  <c:v>59.603700000000003</c:v>
                </c:pt>
                <c:pt idx="155">
                  <c:v>59.569400000000002</c:v>
                </c:pt>
                <c:pt idx="156">
                  <c:v>59.5351</c:v>
                </c:pt>
                <c:pt idx="157">
                  <c:v>59.500900000000001</c:v>
                </c:pt>
                <c:pt idx="158">
                  <c:v>59.4666</c:v>
                </c:pt>
                <c:pt idx="159">
                  <c:v>59.432299999999998</c:v>
                </c:pt>
                <c:pt idx="160">
                  <c:v>59.398099999999999</c:v>
                </c:pt>
                <c:pt idx="161">
                  <c:v>59.363799999999998</c:v>
                </c:pt>
                <c:pt idx="162">
                  <c:v>59.329599999999999</c:v>
                </c:pt>
                <c:pt idx="163">
                  <c:v>59.295299999999997</c:v>
                </c:pt>
                <c:pt idx="164">
                  <c:v>59.261000000000003</c:v>
                </c:pt>
                <c:pt idx="165">
                  <c:v>59.226799999999997</c:v>
                </c:pt>
                <c:pt idx="166">
                  <c:v>59.192500000000003</c:v>
                </c:pt>
                <c:pt idx="167">
                  <c:v>59.158299999999997</c:v>
                </c:pt>
                <c:pt idx="168">
                  <c:v>59.124000000000002</c:v>
                </c:pt>
                <c:pt idx="169">
                  <c:v>59.089700000000001</c:v>
                </c:pt>
                <c:pt idx="170">
                  <c:v>59.055500000000002</c:v>
                </c:pt>
                <c:pt idx="171">
                  <c:v>59.0212</c:v>
                </c:pt>
                <c:pt idx="172">
                  <c:v>58.986899999999999</c:v>
                </c:pt>
                <c:pt idx="173">
                  <c:v>58.9527</c:v>
                </c:pt>
                <c:pt idx="174">
                  <c:v>58.918399999999998</c:v>
                </c:pt>
                <c:pt idx="175">
                  <c:v>58.8842</c:v>
                </c:pt>
                <c:pt idx="176">
                  <c:v>58.849899999999998</c:v>
                </c:pt>
                <c:pt idx="177">
                  <c:v>58.815600000000003</c:v>
                </c:pt>
                <c:pt idx="178">
                  <c:v>58.781399999999998</c:v>
                </c:pt>
                <c:pt idx="179">
                  <c:v>58.747100000000003</c:v>
                </c:pt>
                <c:pt idx="180">
                  <c:v>58.712899999999998</c:v>
                </c:pt>
                <c:pt idx="181">
                  <c:v>58.678600000000003</c:v>
                </c:pt>
                <c:pt idx="182">
                  <c:v>58.644300000000001</c:v>
                </c:pt>
                <c:pt idx="183">
                  <c:v>58.610100000000003</c:v>
                </c:pt>
                <c:pt idx="184">
                  <c:v>58.575800000000001</c:v>
                </c:pt>
                <c:pt idx="185">
                  <c:v>58.541499999999999</c:v>
                </c:pt>
                <c:pt idx="186">
                  <c:v>58.507300000000001</c:v>
                </c:pt>
                <c:pt idx="187">
                  <c:v>58.472999999999999</c:v>
                </c:pt>
                <c:pt idx="188">
                  <c:v>58.438800000000001</c:v>
                </c:pt>
                <c:pt idx="189">
                  <c:v>58.404499999999999</c:v>
                </c:pt>
                <c:pt idx="190">
                  <c:v>58.370199999999997</c:v>
                </c:pt>
                <c:pt idx="191">
                  <c:v>58.335999999999999</c:v>
                </c:pt>
                <c:pt idx="192">
                  <c:v>58.301699999999997</c:v>
                </c:pt>
                <c:pt idx="193">
                  <c:v>58.267499999999998</c:v>
                </c:pt>
                <c:pt idx="194">
                  <c:v>58.233199999999997</c:v>
                </c:pt>
                <c:pt idx="195">
                  <c:v>58.198900000000002</c:v>
                </c:pt>
                <c:pt idx="196">
                  <c:v>58.164700000000003</c:v>
                </c:pt>
                <c:pt idx="197">
                  <c:v>58.130400000000002</c:v>
                </c:pt>
                <c:pt idx="198">
                  <c:v>58.0961</c:v>
                </c:pt>
                <c:pt idx="199">
                  <c:v>58.061900000000001</c:v>
                </c:pt>
                <c:pt idx="200">
                  <c:v>58.0276</c:v>
                </c:pt>
                <c:pt idx="201">
                  <c:v>57.993400000000001</c:v>
                </c:pt>
                <c:pt idx="202">
                  <c:v>57.959099999999999</c:v>
                </c:pt>
                <c:pt idx="203">
                  <c:v>57.924799999999998</c:v>
                </c:pt>
                <c:pt idx="204">
                  <c:v>57.890599999999999</c:v>
                </c:pt>
                <c:pt idx="205">
                  <c:v>57.856299999999997</c:v>
                </c:pt>
                <c:pt idx="206">
                  <c:v>57.822099999999999</c:v>
                </c:pt>
                <c:pt idx="207">
                  <c:v>57.787799999999997</c:v>
                </c:pt>
                <c:pt idx="208">
                  <c:v>57.753500000000003</c:v>
                </c:pt>
                <c:pt idx="209">
                  <c:v>57.719299999999997</c:v>
                </c:pt>
                <c:pt idx="210">
                  <c:v>57.685000000000002</c:v>
                </c:pt>
                <c:pt idx="211">
                  <c:v>57.650700000000001</c:v>
                </c:pt>
                <c:pt idx="212">
                  <c:v>57.616500000000002</c:v>
                </c:pt>
                <c:pt idx="213">
                  <c:v>57.5822</c:v>
                </c:pt>
                <c:pt idx="214">
                  <c:v>57.548000000000002</c:v>
                </c:pt>
                <c:pt idx="215">
                  <c:v>57.5137</c:v>
                </c:pt>
                <c:pt idx="216">
                  <c:v>57.479399999999998</c:v>
                </c:pt>
                <c:pt idx="217">
                  <c:v>57.4452</c:v>
                </c:pt>
                <c:pt idx="218">
                  <c:v>57.410899999999998</c:v>
                </c:pt>
                <c:pt idx="219">
                  <c:v>57.3767</c:v>
                </c:pt>
                <c:pt idx="220">
                  <c:v>57.342399999999998</c:v>
                </c:pt>
                <c:pt idx="221">
                  <c:v>57.308100000000003</c:v>
                </c:pt>
                <c:pt idx="222">
                  <c:v>57.273899999999998</c:v>
                </c:pt>
                <c:pt idx="223">
                  <c:v>57.239600000000003</c:v>
                </c:pt>
                <c:pt idx="224">
                  <c:v>57.205300000000001</c:v>
                </c:pt>
                <c:pt idx="225">
                  <c:v>57.171100000000003</c:v>
                </c:pt>
                <c:pt idx="226">
                  <c:v>57.136800000000001</c:v>
                </c:pt>
                <c:pt idx="227">
                  <c:v>57.102600000000002</c:v>
                </c:pt>
                <c:pt idx="228">
                  <c:v>57.068300000000001</c:v>
                </c:pt>
                <c:pt idx="229">
                  <c:v>57.033999999999999</c:v>
                </c:pt>
                <c:pt idx="230">
                  <c:v>56.9998</c:v>
                </c:pt>
                <c:pt idx="231">
                  <c:v>56.965499999999999</c:v>
                </c:pt>
                <c:pt idx="232">
                  <c:v>56.9313</c:v>
                </c:pt>
                <c:pt idx="233">
                  <c:v>56.896999999999998</c:v>
                </c:pt>
                <c:pt idx="234">
                  <c:v>56.862699999999997</c:v>
                </c:pt>
                <c:pt idx="235">
                  <c:v>56.828499999999998</c:v>
                </c:pt>
                <c:pt idx="236">
                  <c:v>56.794199999999996</c:v>
                </c:pt>
                <c:pt idx="237">
                  <c:v>56.759900000000002</c:v>
                </c:pt>
                <c:pt idx="238">
                  <c:v>56.725700000000003</c:v>
                </c:pt>
                <c:pt idx="239">
                  <c:v>56.691400000000002</c:v>
                </c:pt>
                <c:pt idx="240">
                  <c:v>56.657200000000003</c:v>
                </c:pt>
                <c:pt idx="241">
                  <c:v>56.622900000000001</c:v>
                </c:pt>
                <c:pt idx="242">
                  <c:v>56.5886</c:v>
                </c:pt>
                <c:pt idx="243">
                  <c:v>56.554400000000001</c:v>
                </c:pt>
                <c:pt idx="244">
                  <c:v>56.520099999999999</c:v>
                </c:pt>
                <c:pt idx="245">
                  <c:v>56.485900000000001</c:v>
                </c:pt>
                <c:pt idx="246">
                  <c:v>56.451599999999999</c:v>
                </c:pt>
                <c:pt idx="247">
                  <c:v>56.417299999999997</c:v>
                </c:pt>
                <c:pt idx="248">
                  <c:v>56.383099999999999</c:v>
                </c:pt>
                <c:pt idx="249">
                  <c:v>56.348799999999997</c:v>
                </c:pt>
                <c:pt idx="250">
                  <c:v>56.314500000000002</c:v>
                </c:pt>
                <c:pt idx="251">
                  <c:v>56.280299999999997</c:v>
                </c:pt>
                <c:pt idx="252">
                  <c:v>56.246000000000002</c:v>
                </c:pt>
                <c:pt idx="253">
                  <c:v>56.211799999999997</c:v>
                </c:pt>
                <c:pt idx="254">
                  <c:v>56.177500000000002</c:v>
                </c:pt>
                <c:pt idx="255">
                  <c:v>56.1432</c:v>
                </c:pt>
                <c:pt idx="256">
                  <c:v>56.109000000000002</c:v>
                </c:pt>
                <c:pt idx="257">
                  <c:v>56.0747</c:v>
                </c:pt>
                <c:pt idx="258">
                  <c:v>56.040500000000002</c:v>
                </c:pt>
                <c:pt idx="259">
                  <c:v>56.0062</c:v>
                </c:pt>
                <c:pt idx="260">
                  <c:v>55.971899999999998</c:v>
                </c:pt>
                <c:pt idx="261">
                  <c:v>55.9377</c:v>
                </c:pt>
                <c:pt idx="262">
                  <c:v>55.903399999999998</c:v>
                </c:pt>
                <c:pt idx="263">
                  <c:v>55.869100000000003</c:v>
                </c:pt>
                <c:pt idx="264">
                  <c:v>55.834899999999998</c:v>
                </c:pt>
                <c:pt idx="265">
                  <c:v>55.800600000000003</c:v>
                </c:pt>
                <c:pt idx="266">
                  <c:v>55.766399999999997</c:v>
                </c:pt>
                <c:pt idx="267">
                  <c:v>55.732100000000003</c:v>
                </c:pt>
                <c:pt idx="268">
                  <c:v>55.697800000000001</c:v>
                </c:pt>
                <c:pt idx="269">
                  <c:v>55.663600000000002</c:v>
                </c:pt>
                <c:pt idx="270">
                  <c:v>55.629300000000001</c:v>
                </c:pt>
                <c:pt idx="271">
                  <c:v>55.595100000000002</c:v>
                </c:pt>
                <c:pt idx="272">
                  <c:v>55.5608</c:v>
                </c:pt>
                <c:pt idx="273">
                  <c:v>55.526499999999999</c:v>
                </c:pt>
                <c:pt idx="274">
                  <c:v>55.4923</c:v>
                </c:pt>
                <c:pt idx="275">
                  <c:v>55.457999999999998</c:v>
                </c:pt>
                <c:pt idx="276">
                  <c:v>55.423699999999997</c:v>
                </c:pt>
                <c:pt idx="277">
                  <c:v>55.389499999999998</c:v>
                </c:pt>
                <c:pt idx="278">
                  <c:v>55.355200000000004</c:v>
                </c:pt>
                <c:pt idx="279">
                  <c:v>55.320999999999998</c:v>
                </c:pt>
                <c:pt idx="280">
                  <c:v>55.286700000000003</c:v>
                </c:pt>
                <c:pt idx="281">
                  <c:v>55.252400000000002</c:v>
                </c:pt>
                <c:pt idx="282">
                  <c:v>55.218200000000003</c:v>
                </c:pt>
                <c:pt idx="283">
                  <c:v>55.183900000000001</c:v>
                </c:pt>
                <c:pt idx="284">
                  <c:v>55.149700000000003</c:v>
                </c:pt>
                <c:pt idx="285">
                  <c:v>55.115400000000001</c:v>
                </c:pt>
                <c:pt idx="286">
                  <c:v>55.081099999999999</c:v>
                </c:pt>
                <c:pt idx="287">
                  <c:v>55.046900000000001</c:v>
                </c:pt>
                <c:pt idx="288">
                  <c:v>55.012599999999999</c:v>
                </c:pt>
                <c:pt idx="289">
                  <c:v>54.978299999999997</c:v>
                </c:pt>
                <c:pt idx="290">
                  <c:v>54.944099999999999</c:v>
                </c:pt>
                <c:pt idx="291">
                  <c:v>54.909799999999997</c:v>
                </c:pt>
                <c:pt idx="292">
                  <c:v>54.875599999999999</c:v>
                </c:pt>
                <c:pt idx="293">
                  <c:v>54.841299999999997</c:v>
                </c:pt>
                <c:pt idx="294">
                  <c:v>54.807000000000002</c:v>
                </c:pt>
                <c:pt idx="295">
                  <c:v>54.772799999999997</c:v>
                </c:pt>
                <c:pt idx="296">
                  <c:v>54.738500000000002</c:v>
                </c:pt>
                <c:pt idx="297">
                  <c:v>54.704300000000003</c:v>
                </c:pt>
                <c:pt idx="298">
                  <c:v>54.67</c:v>
                </c:pt>
                <c:pt idx="299">
                  <c:v>54.6357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B07-FF48-9AB3-A9E58D6EA684}"/>
            </c:ext>
          </c:extLst>
        </c:ser>
        <c:ser>
          <c:idx val="1"/>
          <c:order val="1"/>
          <c:tx>
            <c:strRef>
              <c:f>Simulation!$D$1</c:f>
              <c:strCache>
                <c:ptCount val="1"/>
                <c:pt idx="0">
                  <c:v>P50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Simulation!$D$2:$D$301</c:f>
              <c:numCache>
                <c:formatCode>General</c:formatCode>
                <c:ptCount val="300"/>
                <c:pt idx="0">
                  <c:v>68.294700000000006</c:v>
                </c:pt>
                <c:pt idx="1">
                  <c:v>67.801400000000001</c:v>
                </c:pt>
                <c:pt idx="2">
                  <c:v>67.715999999999994</c:v>
                </c:pt>
                <c:pt idx="3">
                  <c:v>67.0428</c:v>
                </c:pt>
                <c:pt idx="4">
                  <c:v>66.609099999999998</c:v>
                </c:pt>
                <c:pt idx="5">
                  <c:v>66.600399999999993</c:v>
                </c:pt>
                <c:pt idx="6">
                  <c:v>66.359899999999996</c:v>
                </c:pt>
                <c:pt idx="7">
                  <c:v>66.120599999999996</c:v>
                </c:pt>
                <c:pt idx="8">
                  <c:v>65.930499999999995</c:v>
                </c:pt>
                <c:pt idx="9">
                  <c:v>65.783900000000003</c:v>
                </c:pt>
                <c:pt idx="10">
                  <c:v>65.383499999999998</c:v>
                </c:pt>
                <c:pt idx="11">
                  <c:v>65.496399999999994</c:v>
                </c:pt>
                <c:pt idx="12">
                  <c:v>65.425899999999999</c:v>
                </c:pt>
                <c:pt idx="13">
                  <c:v>65.316800000000001</c:v>
                </c:pt>
                <c:pt idx="14">
                  <c:v>65.312399999999997</c:v>
                </c:pt>
                <c:pt idx="15">
                  <c:v>65.4709</c:v>
                </c:pt>
                <c:pt idx="16">
                  <c:v>65.074100000000001</c:v>
                </c:pt>
                <c:pt idx="17">
                  <c:v>65.384500000000003</c:v>
                </c:pt>
                <c:pt idx="18">
                  <c:v>65.383700000000005</c:v>
                </c:pt>
                <c:pt idx="19">
                  <c:v>64.921000000000006</c:v>
                </c:pt>
                <c:pt idx="20">
                  <c:v>64.671899999999994</c:v>
                </c:pt>
                <c:pt idx="21">
                  <c:v>64.665899999999993</c:v>
                </c:pt>
                <c:pt idx="22">
                  <c:v>64.580600000000004</c:v>
                </c:pt>
                <c:pt idx="23">
                  <c:v>64.753</c:v>
                </c:pt>
                <c:pt idx="24">
                  <c:v>64.5184</c:v>
                </c:pt>
                <c:pt idx="25">
                  <c:v>63.940199999999997</c:v>
                </c:pt>
                <c:pt idx="26">
                  <c:v>64.051199999999994</c:v>
                </c:pt>
                <c:pt idx="27">
                  <c:v>63.356000000000002</c:v>
                </c:pt>
                <c:pt idx="28">
                  <c:v>63.492600000000003</c:v>
                </c:pt>
                <c:pt idx="29">
                  <c:v>63.8812</c:v>
                </c:pt>
                <c:pt idx="30">
                  <c:v>63.822800000000001</c:v>
                </c:pt>
                <c:pt idx="31">
                  <c:v>63.611600000000003</c:v>
                </c:pt>
                <c:pt idx="32">
                  <c:v>63.688200000000002</c:v>
                </c:pt>
                <c:pt idx="33">
                  <c:v>63.705100000000002</c:v>
                </c:pt>
                <c:pt idx="34">
                  <c:v>63.259900000000002</c:v>
                </c:pt>
                <c:pt idx="35">
                  <c:v>63.463799999999999</c:v>
                </c:pt>
                <c:pt idx="36">
                  <c:v>63.579099999999997</c:v>
                </c:pt>
                <c:pt idx="37">
                  <c:v>63.822000000000003</c:v>
                </c:pt>
                <c:pt idx="38">
                  <c:v>63.89</c:v>
                </c:pt>
                <c:pt idx="39">
                  <c:v>64.002600000000001</c:v>
                </c:pt>
                <c:pt idx="40">
                  <c:v>63.587200000000003</c:v>
                </c:pt>
                <c:pt idx="41">
                  <c:v>63.627299999999998</c:v>
                </c:pt>
                <c:pt idx="42">
                  <c:v>63.357300000000002</c:v>
                </c:pt>
                <c:pt idx="43">
                  <c:v>62.892000000000003</c:v>
                </c:pt>
                <c:pt idx="44">
                  <c:v>63.613100000000003</c:v>
                </c:pt>
                <c:pt idx="45">
                  <c:v>63.198</c:v>
                </c:pt>
                <c:pt idx="46">
                  <c:v>63.062399999999997</c:v>
                </c:pt>
                <c:pt idx="47">
                  <c:v>62.844999999999999</c:v>
                </c:pt>
                <c:pt idx="48">
                  <c:v>62.6145</c:v>
                </c:pt>
                <c:pt idx="49">
                  <c:v>63.1053</c:v>
                </c:pt>
                <c:pt idx="50">
                  <c:v>62.860199999999999</c:v>
                </c:pt>
                <c:pt idx="51">
                  <c:v>62.910299999999999</c:v>
                </c:pt>
                <c:pt idx="52">
                  <c:v>62.301600000000001</c:v>
                </c:pt>
                <c:pt idx="53">
                  <c:v>62.481200000000001</c:v>
                </c:pt>
                <c:pt idx="54">
                  <c:v>62.362000000000002</c:v>
                </c:pt>
                <c:pt idx="55">
                  <c:v>62.566400000000002</c:v>
                </c:pt>
                <c:pt idx="56">
                  <c:v>62.761299999999999</c:v>
                </c:pt>
                <c:pt idx="57">
                  <c:v>63.337400000000002</c:v>
                </c:pt>
                <c:pt idx="58">
                  <c:v>62.783299999999997</c:v>
                </c:pt>
                <c:pt idx="59">
                  <c:v>62.422600000000003</c:v>
                </c:pt>
                <c:pt idx="60">
                  <c:v>62.588099999999997</c:v>
                </c:pt>
                <c:pt idx="61">
                  <c:v>62.356499999999997</c:v>
                </c:pt>
                <c:pt idx="62">
                  <c:v>62.613300000000002</c:v>
                </c:pt>
                <c:pt idx="63">
                  <c:v>62.583500000000001</c:v>
                </c:pt>
                <c:pt idx="64">
                  <c:v>63.014600000000002</c:v>
                </c:pt>
                <c:pt idx="65">
                  <c:v>62.804200000000002</c:v>
                </c:pt>
                <c:pt idx="66">
                  <c:v>62.8996</c:v>
                </c:pt>
                <c:pt idx="67">
                  <c:v>62.928100000000001</c:v>
                </c:pt>
                <c:pt idx="68">
                  <c:v>62.620800000000003</c:v>
                </c:pt>
                <c:pt idx="69">
                  <c:v>62.820099999999996</c:v>
                </c:pt>
                <c:pt idx="70">
                  <c:v>63.287399999999998</c:v>
                </c:pt>
                <c:pt idx="71">
                  <c:v>63.168700000000001</c:v>
                </c:pt>
                <c:pt idx="72">
                  <c:v>62.891599999999997</c:v>
                </c:pt>
                <c:pt idx="73">
                  <c:v>62.721299999999999</c:v>
                </c:pt>
                <c:pt idx="74">
                  <c:v>62.930500000000002</c:v>
                </c:pt>
                <c:pt idx="75">
                  <c:v>62.6355</c:v>
                </c:pt>
                <c:pt idx="76">
                  <c:v>62.648899999999998</c:v>
                </c:pt>
                <c:pt idx="77">
                  <c:v>62.814100000000003</c:v>
                </c:pt>
                <c:pt idx="78">
                  <c:v>63.0745</c:v>
                </c:pt>
                <c:pt idx="79">
                  <c:v>62.987400000000001</c:v>
                </c:pt>
                <c:pt idx="80">
                  <c:v>62.477699999999999</c:v>
                </c:pt>
                <c:pt idx="81">
                  <c:v>62.520099999999999</c:v>
                </c:pt>
                <c:pt idx="82">
                  <c:v>62.274299999999997</c:v>
                </c:pt>
                <c:pt idx="83">
                  <c:v>62.398000000000003</c:v>
                </c:pt>
                <c:pt idx="84">
                  <c:v>62.176699999999997</c:v>
                </c:pt>
                <c:pt idx="85">
                  <c:v>62.078299999999999</c:v>
                </c:pt>
                <c:pt idx="86">
                  <c:v>61.882800000000003</c:v>
                </c:pt>
                <c:pt idx="87">
                  <c:v>61.758800000000001</c:v>
                </c:pt>
                <c:pt idx="88">
                  <c:v>62.489800000000002</c:v>
                </c:pt>
                <c:pt idx="89">
                  <c:v>62.011600000000001</c:v>
                </c:pt>
                <c:pt idx="90">
                  <c:v>61.820099999999996</c:v>
                </c:pt>
                <c:pt idx="91">
                  <c:v>61.529000000000003</c:v>
                </c:pt>
                <c:pt idx="92">
                  <c:v>61.644199999999998</c:v>
                </c:pt>
                <c:pt idx="93">
                  <c:v>61.483800000000002</c:v>
                </c:pt>
                <c:pt idx="94">
                  <c:v>61.343000000000004</c:v>
                </c:pt>
                <c:pt idx="95">
                  <c:v>60.9542</c:v>
                </c:pt>
                <c:pt idx="96">
                  <c:v>60.433999999999997</c:v>
                </c:pt>
                <c:pt idx="97">
                  <c:v>60.3001</c:v>
                </c:pt>
                <c:pt idx="98">
                  <c:v>60.472999999999999</c:v>
                </c:pt>
                <c:pt idx="99">
                  <c:v>60.869599999999998</c:v>
                </c:pt>
                <c:pt idx="100">
                  <c:v>60.967199999999998</c:v>
                </c:pt>
                <c:pt idx="101">
                  <c:v>60.7791</c:v>
                </c:pt>
                <c:pt idx="102">
                  <c:v>61.364400000000003</c:v>
                </c:pt>
                <c:pt idx="103">
                  <c:v>61.255400000000002</c:v>
                </c:pt>
                <c:pt idx="104">
                  <c:v>61.037399999999998</c:v>
                </c:pt>
                <c:pt idx="105">
                  <c:v>61.084000000000003</c:v>
                </c:pt>
                <c:pt idx="106">
                  <c:v>61.1586</c:v>
                </c:pt>
                <c:pt idx="107">
                  <c:v>61.577399999999997</c:v>
                </c:pt>
                <c:pt idx="108">
                  <c:v>61.240200000000002</c:v>
                </c:pt>
                <c:pt idx="109">
                  <c:v>61.502299999999998</c:v>
                </c:pt>
                <c:pt idx="110">
                  <c:v>60.835599999999999</c:v>
                </c:pt>
                <c:pt idx="111">
                  <c:v>61.0535</c:v>
                </c:pt>
                <c:pt idx="112">
                  <c:v>60.529499999999999</c:v>
                </c:pt>
                <c:pt idx="113">
                  <c:v>60.994</c:v>
                </c:pt>
                <c:pt idx="114">
                  <c:v>60.7776</c:v>
                </c:pt>
                <c:pt idx="115">
                  <c:v>60.989199999999997</c:v>
                </c:pt>
                <c:pt idx="116">
                  <c:v>60.859000000000002</c:v>
                </c:pt>
                <c:pt idx="117">
                  <c:v>60.968400000000003</c:v>
                </c:pt>
                <c:pt idx="118">
                  <c:v>60.726399999999998</c:v>
                </c:pt>
                <c:pt idx="119">
                  <c:v>60.670499999999997</c:v>
                </c:pt>
                <c:pt idx="120">
                  <c:v>61.146299999999997</c:v>
                </c:pt>
                <c:pt idx="121">
                  <c:v>61.206400000000002</c:v>
                </c:pt>
                <c:pt idx="122">
                  <c:v>61.753700000000002</c:v>
                </c:pt>
                <c:pt idx="123">
                  <c:v>61.686599999999999</c:v>
                </c:pt>
                <c:pt idx="124">
                  <c:v>60.947600000000001</c:v>
                </c:pt>
                <c:pt idx="125">
                  <c:v>60.886899999999997</c:v>
                </c:pt>
                <c:pt idx="126">
                  <c:v>60.445799999999998</c:v>
                </c:pt>
                <c:pt idx="127">
                  <c:v>60.150300000000001</c:v>
                </c:pt>
                <c:pt idx="128">
                  <c:v>60.156999999999996</c:v>
                </c:pt>
                <c:pt idx="129">
                  <c:v>60.278799999999997</c:v>
                </c:pt>
                <c:pt idx="130">
                  <c:v>59.587400000000002</c:v>
                </c:pt>
                <c:pt idx="131">
                  <c:v>59.313600000000001</c:v>
                </c:pt>
                <c:pt idx="132">
                  <c:v>59.377499999999998</c:v>
                </c:pt>
                <c:pt idx="133">
                  <c:v>59.407899999999998</c:v>
                </c:pt>
                <c:pt idx="134">
                  <c:v>59.741799999999998</c:v>
                </c:pt>
                <c:pt idx="135">
                  <c:v>59.462400000000002</c:v>
                </c:pt>
                <c:pt idx="136">
                  <c:v>59.789299999999997</c:v>
                </c:pt>
                <c:pt idx="137">
                  <c:v>59.872399999999999</c:v>
                </c:pt>
                <c:pt idx="138">
                  <c:v>59.916400000000003</c:v>
                </c:pt>
                <c:pt idx="139">
                  <c:v>60.414400000000001</c:v>
                </c:pt>
                <c:pt idx="140">
                  <c:v>60.186</c:v>
                </c:pt>
                <c:pt idx="141">
                  <c:v>60.031100000000002</c:v>
                </c:pt>
                <c:pt idx="142">
                  <c:v>60.125399999999999</c:v>
                </c:pt>
                <c:pt idx="143">
                  <c:v>59.919600000000003</c:v>
                </c:pt>
                <c:pt idx="144">
                  <c:v>59.594900000000003</c:v>
                </c:pt>
                <c:pt idx="145">
                  <c:v>59.667400000000001</c:v>
                </c:pt>
                <c:pt idx="146">
                  <c:v>59.491300000000003</c:v>
                </c:pt>
                <c:pt idx="147">
                  <c:v>59.798499999999997</c:v>
                </c:pt>
                <c:pt idx="148">
                  <c:v>60.2316</c:v>
                </c:pt>
                <c:pt idx="149">
                  <c:v>60.200200000000002</c:v>
                </c:pt>
                <c:pt idx="150">
                  <c:v>59.999000000000002</c:v>
                </c:pt>
                <c:pt idx="151">
                  <c:v>59.941400000000002</c:v>
                </c:pt>
                <c:pt idx="152">
                  <c:v>60.151600000000002</c:v>
                </c:pt>
                <c:pt idx="153">
                  <c:v>60.090600000000002</c:v>
                </c:pt>
                <c:pt idx="154">
                  <c:v>59.853000000000002</c:v>
                </c:pt>
                <c:pt idx="155">
                  <c:v>59.837600000000002</c:v>
                </c:pt>
                <c:pt idx="156">
                  <c:v>59.904000000000003</c:v>
                </c:pt>
                <c:pt idx="157">
                  <c:v>60.064399999999999</c:v>
                </c:pt>
                <c:pt idx="158">
                  <c:v>60.2468</c:v>
                </c:pt>
                <c:pt idx="159">
                  <c:v>59.739600000000003</c:v>
                </c:pt>
                <c:pt idx="160">
                  <c:v>59.525199999999998</c:v>
                </c:pt>
                <c:pt idx="161">
                  <c:v>59.8279</c:v>
                </c:pt>
                <c:pt idx="162">
                  <c:v>59.814599999999999</c:v>
                </c:pt>
                <c:pt idx="163">
                  <c:v>59.204599999999999</c:v>
                </c:pt>
                <c:pt idx="164">
                  <c:v>59.776600000000002</c:v>
                </c:pt>
                <c:pt idx="165">
                  <c:v>59.235399999999998</c:v>
                </c:pt>
                <c:pt idx="166">
                  <c:v>59.460599999999999</c:v>
                </c:pt>
                <c:pt idx="167">
                  <c:v>59.320799999999998</c:v>
                </c:pt>
                <c:pt idx="168">
                  <c:v>59.476599999999998</c:v>
                </c:pt>
                <c:pt idx="169">
                  <c:v>59.312100000000001</c:v>
                </c:pt>
                <c:pt idx="170">
                  <c:v>59.968200000000003</c:v>
                </c:pt>
                <c:pt idx="171">
                  <c:v>59.154899999999998</c:v>
                </c:pt>
                <c:pt idx="172">
                  <c:v>59.2273</c:v>
                </c:pt>
                <c:pt idx="173">
                  <c:v>58.9161</c:v>
                </c:pt>
                <c:pt idx="174">
                  <c:v>58.901699999999998</c:v>
                </c:pt>
                <c:pt idx="175">
                  <c:v>58.7956</c:v>
                </c:pt>
                <c:pt idx="176">
                  <c:v>58.636499999999998</c:v>
                </c:pt>
                <c:pt idx="177">
                  <c:v>58.411799999999999</c:v>
                </c:pt>
                <c:pt idx="178">
                  <c:v>59.124600000000001</c:v>
                </c:pt>
                <c:pt idx="179">
                  <c:v>58.524299999999997</c:v>
                </c:pt>
                <c:pt idx="180">
                  <c:v>58.806399999999996</c:v>
                </c:pt>
                <c:pt idx="181">
                  <c:v>58.637</c:v>
                </c:pt>
                <c:pt idx="182">
                  <c:v>58.421100000000003</c:v>
                </c:pt>
                <c:pt idx="183">
                  <c:v>58.748800000000003</c:v>
                </c:pt>
                <c:pt idx="184">
                  <c:v>58.416600000000003</c:v>
                </c:pt>
                <c:pt idx="185">
                  <c:v>58.813800000000001</c:v>
                </c:pt>
                <c:pt idx="186">
                  <c:v>59.0899</c:v>
                </c:pt>
                <c:pt idx="187">
                  <c:v>59.006</c:v>
                </c:pt>
                <c:pt idx="188">
                  <c:v>59.099899999999998</c:v>
                </c:pt>
                <c:pt idx="189">
                  <c:v>58.677100000000003</c:v>
                </c:pt>
                <c:pt idx="190">
                  <c:v>58.001899999999999</c:v>
                </c:pt>
                <c:pt idx="191">
                  <c:v>58.121000000000002</c:v>
                </c:pt>
                <c:pt idx="192">
                  <c:v>58.175899999999999</c:v>
                </c:pt>
                <c:pt idx="193">
                  <c:v>58.313699999999997</c:v>
                </c:pt>
                <c:pt idx="194">
                  <c:v>58.316499999999998</c:v>
                </c:pt>
                <c:pt idx="195">
                  <c:v>59.061999999999998</c:v>
                </c:pt>
                <c:pt idx="196">
                  <c:v>58.623699999999999</c:v>
                </c:pt>
                <c:pt idx="197">
                  <c:v>58.728400000000001</c:v>
                </c:pt>
                <c:pt idx="198">
                  <c:v>58.811399999999999</c:v>
                </c:pt>
                <c:pt idx="199">
                  <c:v>58.820300000000003</c:v>
                </c:pt>
                <c:pt idx="200">
                  <c:v>59.194299999999998</c:v>
                </c:pt>
                <c:pt idx="201">
                  <c:v>58.099200000000003</c:v>
                </c:pt>
                <c:pt idx="202">
                  <c:v>57.761600000000001</c:v>
                </c:pt>
                <c:pt idx="203">
                  <c:v>58.112400000000001</c:v>
                </c:pt>
                <c:pt idx="204">
                  <c:v>58.2211</c:v>
                </c:pt>
                <c:pt idx="205">
                  <c:v>57.723199999999999</c:v>
                </c:pt>
                <c:pt idx="206">
                  <c:v>57.688400000000001</c:v>
                </c:pt>
                <c:pt idx="207">
                  <c:v>57.740200000000002</c:v>
                </c:pt>
                <c:pt idx="208">
                  <c:v>57.661700000000003</c:v>
                </c:pt>
                <c:pt idx="209">
                  <c:v>57.849299999999999</c:v>
                </c:pt>
                <c:pt idx="210">
                  <c:v>57.866100000000003</c:v>
                </c:pt>
                <c:pt idx="211">
                  <c:v>57.361600000000003</c:v>
                </c:pt>
                <c:pt idx="212">
                  <c:v>57.889800000000001</c:v>
                </c:pt>
                <c:pt idx="213">
                  <c:v>57.627899999999997</c:v>
                </c:pt>
                <c:pt idx="214">
                  <c:v>57.475099999999998</c:v>
                </c:pt>
                <c:pt idx="215">
                  <c:v>57.366199999999999</c:v>
                </c:pt>
                <c:pt idx="216">
                  <c:v>57.380899999999997</c:v>
                </c:pt>
                <c:pt idx="217">
                  <c:v>57.518000000000001</c:v>
                </c:pt>
                <c:pt idx="218">
                  <c:v>57.335099999999997</c:v>
                </c:pt>
                <c:pt idx="219">
                  <c:v>57.778300000000002</c:v>
                </c:pt>
                <c:pt idx="220">
                  <c:v>57.755600000000001</c:v>
                </c:pt>
                <c:pt idx="221">
                  <c:v>57.5916</c:v>
                </c:pt>
                <c:pt idx="222">
                  <c:v>57.982799999999997</c:v>
                </c:pt>
                <c:pt idx="223">
                  <c:v>58.2971</c:v>
                </c:pt>
                <c:pt idx="224">
                  <c:v>58.331000000000003</c:v>
                </c:pt>
                <c:pt idx="225">
                  <c:v>58.040999999999997</c:v>
                </c:pt>
                <c:pt idx="226">
                  <c:v>57.454799999999999</c:v>
                </c:pt>
                <c:pt idx="227">
                  <c:v>57.5411</c:v>
                </c:pt>
                <c:pt idx="228">
                  <c:v>57.635800000000003</c:v>
                </c:pt>
                <c:pt idx="229">
                  <c:v>57.844799999999999</c:v>
                </c:pt>
                <c:pt idx="230">
                  <c:v>57.862699999999997</c:v>
                </c:pt>
                <c:pt idx="231">
                  <c:v>57.587800000000001</c:v>
                </c:pt>
                <c:pt idx="232">
                  <c:v>57.799300000000002</c:v>
                </c:pt>
                <c:pt idx="233">
                  <c:v>57.183799999999998</c:v>
                </c:pt>
                <c:pt idx="234">
                  <c:v>57.244700000000002</c:v>
                </c:pt>
                <c:pt idx="235">
                  <c:v>57.238900000000001</c:v>
                </c:pt>
                <c:pt idx="236">
                  <c:v>57.369300000000003</c:v>
                </c:pt>
                <c:pt idx="237">
                  <c:v>57.975200000000001</c:v>
                </c:pt>
                <c:pt idx="238">
                  <c:v>57.563200000000002</c:v>
                </c:pt>
                <c:pt idx="239">
                  <c:v>57.431699999999999</c:v>
                </c:pt>
                <c:pt idx="240">
                  <c:v>57.059800000000003</c:v>
                </c:pt>
                <c:pt idx="241">
                  <c:v>57.019500000000001</c:v>
                </c:pt>
                <c:pt idx="242">
                  <c:v>57.063699999999997</c:v>
                </c:pt>
                <c:pt idx="243">
                  <c:v>57.352400000000003</c:v>
                </c:pt>
                <c:pt idx="244">
                  <c:v>57.4925</c:v>
                </c:pt>
                <c:pt idx="245">
                  <c:v>56.979799999999997</c:v>
                </c:pt>
                <c:pt idx="246">
                  <c:v>57.054400000000001</c:v>
                </c:pt>
                <c:pt idx="247">
                  <c:v>56.621000000000002</c:v>
                </c:pt>
                <c:pt idx="248">
                  <c:v>56.545400000000001</c:v>
                </c:pt>
                <c:pt idx="249">
                  <c:v>56.317799999999998</c:v>
                </c:pt>
                <c:pt idx="250">
                  <c:v>56.343299999999999</c:v>
                </c:pt>
                <c:pt idx="251">
                  <c:v>56.133899999999997</c:v>
                </c:pt>
                <c:pt idx="252">
                  <c:v>56.307299999999998</c:v>
                </c:pt>
                <c:pt idx="253">
                  <c:v>56.3294</c:v>
                </c:pt>
                <c:pt idx="254">
                  <c:v>56.040100000000002</c:v>
                </c:pt>
                <c:pt idx="255">
                  <c:v>55.600900000000003</c:v>
                </c:pt>
                <c:pt idx="256">
                  <c:v>55.866799999999998</c:v>
                </c:pt>
                <c:pt idx="257">
                  <c:v>56.117699999999999</c:v>
                </c:pt>
                <c:pt idx="258">
                  <c:v>56.387900000000002</c:v>
                </c:pt>
                <c:pt idx="259">
                  <c:v>56.37</c:v>
                </c:pt>
                <c:pt idx="260">
                  <c:v>56.283799999999999</c:v>
                </c:pt>
                <c:pt idx="261">
                  <c:v>56.153399999999998</c:v>
                </c:pt>
                <c:pt idx="262">
                  <c:v>55.9422</c:v>
                </c:pt>
                <c:pt idx="263">
                  <c:v>56.049100000000003</c:v>
                </c:pt>
                <c:pt idx="264">
                  <c:v>56.027000000000001</c:v>
                </c:pt>
                <c:pt idx="265">
                  <c:v>56.292099999999998</c:v>
                </c:pt>
                <c:pt idx="266">
                  <c:v>56.020099999999999</c:v>
                </c:pt>
                <c:pt idx="267">
                  <c:v>55.575099999999999</c:v>
                </c:pt>
                <c:pt idx="268">
                  <c:v>55.430799999999998</c:v>
                </c:pt>
                <c:pt idx="269">
                  <c:v>55.918999999999997</c:v>
                </c:pt>
                <c:pt idx="270">
                  <c:v>55.1798</c:v>
                </c:pt>
                <c:pt idx="271">
                  <c:v>55.441099999999999</c:v>
                </c:pt>
                <c:pt idx="272">
                  <c:v>55.448999999999998</c:v>
                </c:pt>
                <c:pt idx="273">
                  <c:v>54.765999999999998</c:v>
                </c:pt>
                <c:pt idx="274">
                  <c:v>54.488</c:v>
                </c:pt>
                <c:pt idx="275">
                  <c:v>54.8748</c:v>
                </c:pt>
                <c:pt idx="276">
                  <c:v>54.854999999999997</c:v>
                </c:pt>
                <c:pt idx="277">
                  <c:v>54.994700000000002</c:v>
                </c:pt>
                <c:pt idx="278">
                  <c:v>55.0124</c:v>
                </c:pt>
                <c:pt idx="279">
                  <c:v>55.299900000000001</c:v>
                </c:pt>
                <c:pt idx="280">
                  <c:v>55.047499999999999</c:v>
                </c:pt>
                <c:pt idx="281">
                  <c:v>54.958300000000001</c:v>
                </c:pt>
                <c:pt idx="282">
                  <c:v>55.636099999999999</c:v>
                </c:pt>
                <c:pt idx="283">
                  <c:v>55.528500000000001</c:v>
                </c:pt>
                <c:pt idx="284">
                  <c:v>55.348599999999998</c:v>
                </c:pt>
                <c:pt idx="285">
                  <c:v>54.8767</c:v>
                </c:pt>
                <c:pt idx="286">
                  <c:v>54.9223</c:v>
                </c:pt>
                <c:pt idx="287">
                  <c:v>55.137</c:v>
                </c:pt>
                <c:pt idx="288">
                  <c:v>55.7804</c:v>
                </c:pt>
                <c:pt idx="289">
                  <c:v>55.0518</c:v>
                </c:pt>
                <c:pt idx="290">
                  <c:v>55.185499999999998</c:v>
                </c:pt>
                <c:pt idx="291">
                  <c:v>55.273200000000003</c:v>
                </c:pt>
                <c:pt idx="292">
                  <c:v>54.8977</c:v>
                </c:pt>
                <c:pt idx="293">
                  <c:v>55.2318</c:v>
                </c:pt>
                <c:pt idx="294">
                  <c:v>55.400799999999997</c:v>
                </c:pt>
                <c:pt idx="295">
                  <c:v>55.449399999999997</c:v>
                </c:pt>
                <c:pt idx="296">
                  <c:v>55.0685</c:v>
                </c:pt>
                <c:pt idx="297">
                  <c:v>55.167099999999998</c:v>
                </c:pt>
                <c:pt idx="298">
                  <c:v>55.203600000000002</c:v>
                </c:pt>
                <c:pt idx="299">
                  <c:v>54.787700000000001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B07-FF48-9AB3-A9E58D6EA684}"/>
            </c:ext>
          </c:extLst>
        </c:ser>
        <c:ser>
          <c:idx val="2"/>
          <c:order val="2"/>
          <c:tx>
            <c:strRef>
              <c:f>Simulation!$F$1</c:f>
              <c:strCache>
                <c:ptCount val="1"/>
                <c:pt idx="0">
                  <c:v>P90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Simulation!$F$2:$F$301</c:f>
              <c:numCache>
                <c:formatCode>General</c:formatCode>
                <c:ptCount val="300"/>
                <c:pt idx="0">
                  <c:v>68.294700000000006</c:v>
                </c:pt>
                <c:pt idx="1">
                  <c:v>88.792000000000002</c:v>
                </c:pt>
                <c:pt idx="2">
                  <c:v>95.421899999999994</c:v>
                </c:pt>
                <c:pt idx="3">
                  <c:v>99.405100000000004</c:v>
                </c:pt>
                <c:pt idx="4">
                  <c:v>101.8293</c:v>
                </c:pt>
                <c:pt idx="5">
                  <c:v>103.20610000000001</c:v>
                </c:pt>
                <c:pt idx="6">
                  <c:v>104.5352</c:v>
                </c:pt>
                <c:pt idx="7">
                  <c:v>105.3618</c:v>
                </c:pt>
                <c:pt idx="8">
                  <c:v>106.68219999999999</c:v>
                </c:pt>
                <c:pt idx="9">
                  <c:v>106.2259</c:v>
                </c:pt>
                <c:pt idx="10">
                  <c:v>106.8023</c:v>
                </c:pt>
                <c:pt idx="11">
                  <c:v>107.48390000000001</c:v>
                </c:pt>
                <c:pt idx="12">
                  <c:v>107.7007</c:v>
                </c:pt>
                <c:pt idx="13">
                  <c:v>107.16670000000001</c:v>
                </c:pt>
                <c:pt idx="14">
                  <c:v>106.9542</c:v>
                </c:pt>
                <c:pt idx="15">
                  <c:v>107.1016</c:v>
                </c:pt>
                <c:pt idx="16">
                  <c:v>106.71169999999999</c:v>
                </c:pt>
                <c:pt idx="17">
                  <c:v>106.69750000000001</c:v>
                </c:pt>
                <c:pt idx="18">
                  <c:v>107.0715</c:v>
                </c:pt>
                <c:pt idx="19">
                  <c:v>106.3661</c:v>
                </c:pt>
                <c:pt idx="20">
                  <c:v>106.0552</c:v>
                </c:pt>
                <c:pt idx="21">
                  <c:v>106.54049999999999</c:v>
                </c:pt>
                <c:pt idx="22">
                  <c:v>106.2385</c:v>
                </c:pt>
                <c:pt idx="23">
                  <c:v>107.02119999999999</c:v>
                </c:pt>
                <c:pt idx="24">
                  <c:v>106.5809</c:v>
                </c:pt>
                <c:pt idx="25">
                  <c:v>106.9217</c:v>
                </c:pt>
                <c:pt idx="26">
                  <c:v>106.31789999999999</c:v>
                </c:pt>
                <c:pt idx="27">
                  <c:v>106.5489</c:v>
                </c:pt>
                <c:pt idx="28">
                  <c:v>107.00709999999999</c:v>
                </c:pt>
                <c:pt idx="29">
                  <c:v>106.4804</c:v>
                </c:pt>
                <c:pt idx="30">
                  <c:v>106.7461</c:v>
                </c:pt>
                <c:pt idx="31">
                  <c:v>106.28489999999999</c:v>
                </c:pt>
                <c:pt idx="32">
                  <c:v>105.93040000000001</c:v>
                </c:pt>
                <c:pt idx="33">
                  <c:v>106.3858</c:v>
                </c:pt>
                <c:pt idx="34">
                  <c:v>106.3125</c:v>
                </c:pt>
                <c:pt idx="35">
                  <c:v>106.08240000000001</c:v>
                </c:pt>
                <c:pt idx="36">
                  <c:v>106.5273</c:v>
                </c:pt>
                <c:pt idx="37">
                  <c:v>106.0641</c:v>
                </c:pt>
                <c:pt idx="38">
                  <c:v>106.3878</c:v>
                </c:pt>
                <c:pt idx="39">
                  <c:v>107.0149</c:v>
                </c:pt>
                <c:pt idx="40">
                  <c:v>106.5256</c:v>
                </c:pt>
                <c:pt idx="41">
                  <c:v>105.9055</c:v>
                </c:pt>
                <c:pt idx="42">
                  <c:v>105.6174</c:v>
                </c:pt>
                <c:pt idx="43">
                  <c:v>106.7486</c:v>
                </c:pt>
                <c:pt idx="44">
                  <c:v>106.6917</c:v>
                </c:pt>
                <c:pt idx="45">
                  <c:v>105.99630000000001</c:v>
                </c:pt>
                <c:pt idx="46">
                  <c:v>106.3837</c:v>
                </c:pt>
                <c:pt idx="47">
                  <c:v>105.53789999999999</c:v>
                </c:pt>
                <c:pt idx="48">
                  <c:v>105.8738</c:v>
                </c:pt>
                <c:pt idx="49">
                  <c:v>105.42019999999999</c:v>
                </c:pt>
                <c:pt idx="50">
                  <c:v>105.9263</c:v>
                </c:pt>
                <c:pt idx="51">
                  <c:v>105.9239</c:v>
                </c:pt>
                <c:pt idx="52">
                  <c:v>107.0939</c:v>
                </c:pt>
                <c:pt idx="53">
                  <c:v>106.59399999999999</c:v>
                </c:pt>
                <c:pt idx="54">
                  <c:v>106.0158</c:v>
                </c:pt>
                <c:pt idx="55">
                  <c:v>105.8965</c:v>
                </c:pt>
                <c:pt idx="56">
                  <c:v>105.88639999999999</c:v>
                </c:pt>
                <c:pt idx="57">
                  <c:v>105.34910000000001</c:v>
                </c:pt>
                <c:pt idx="58">
                  <c:v>105.0819</c:v>
                </c:pt>
                <c:pt idx="59">
                  <c:v>104.7962</c:v>
                </c:pt>
                <c:pt idx="60">
                  <c:v>104.6194</c:v>
                </c:pt>
                <c:pt idx="61">
                  <c:v>104.5851</c:v>
                </c:pt>
                <c:pt idx="62">
                  <c:v>104.42870000000001</c:v>
                </c:pt>
                <c:pt idx="63">
                  <c:v>105.0498</c:v>
                </c:pt>
                <c:pt idx="64">
                  <c:v>105.01730000000001</c:v>
                </c:pt>
                <c:pt idx="65">
                  <c:v>104.7948</c:v>
                </c:pt>
                <c:pt idx="66">
                  <c:v>105.1039</c:v>
                </c:pt>
                <c:pt idx="67">
                  <c:v>104.6435</c:v>
                </c:pt>
                <c:pt idx="68">
                  <c:v>105.58459999999999</c:v>
                </c:pt>
                <c:pt idx="69">
                  <c:v>105.0303</c:v>
                </c:pt>
                <c:pt idx="70">
                  <c:v>104.81950000000001</c:v>
                </c:pt>
                <c:pt idx="71">
                  <c:v>104.794</c:v>
                </c:pt>
                <c:pt idx="72">
                  <c:v>104.23560000000001</c:v>
                </c:pt>
                <c:pt idx="73">
                  <c:v>105.1266</c:v>
                </c:pt>
                <c:pt idx="74">
                  <c:v>104.3575</c:v>
                </c:pt>
                <c:pt idx="75">
                  <c:v>104.0579</c:v>
                </c:pt>
                <c:pt idx="76">
                  <c:v>104.74509999999999</c:v>
                </c:pt>
                <c:pt idx="77">
                  <c:v>105.3045</c:v>
                </c:pt>
                <c:pt idx="78">
                  <c:v>104.739</c:v>
                </c:pt>
                <c:pt idx="79">
                  <c:v>104.8005</c:v>
                </c:pt>
                <c:pt idx="80">
                  <c:v>105.56</c:v>
                </c:pt>
                <c:pt idx="81">
                  <c:v>105.27549999999999</c:v>
                </c:pt>
                <c:pt idx="82">
                  <c:v>105.35850000000001</c:v>
                </c:pt>
                <c:pt idx="83">
                  <c:v>104.9301</c:v>
                </c:pt>
                <c:pt idx="84">
                  <c:v>104.19370000000001</c:v>
                </c:pt>
                <c:pt idx="85">
                  <c:v>104.4503</c:v>
                </c:pt>
                <c:pt idx="86">
                  <c:v>104.4059</c:v>
                </c:pt>
                <c:pt idx="87">
                  <c:v>104.6636</c:v>
                </c:pt>
                <c:pt idx="88">
                  <c:v>103.9323</c:v>
                </c:pt>
                <c:pt idx="89">
                  <c:v>104.3646</c:v>
                </c:pt>
                <c:pt idx="90">
                  <c:v>104.11669999999999</c:v>
                </c:pt>
                <c:pt idx="91">
                  <c:v>103.1152</c:v>
                </c:pt>
                <c:pt idx="92">
                  <c:v>103.5711</c:v>
                </c:pt>
                <c:pt idx="93">
                  <c:v>103.7415</c:v>
                </c:pt>
                <c:pt idx="94">
                  <c:v>103.0638</c:v>
                </c:pt>
                <c:pt idx="95">
                  <c:v>103.24379999999999</c:v>
                </c:pt>
                <c:pt idx="96">
                  <c:v>103.4725</c:v>
                </c:pt>
                <c:pt idx="97">
                  <c:v>104.0874</c:v>
                </c:pt>
                <c:pt idx="98">
                  <c:v>103.7557</c:v>
                </c:pt>
                <c:pt idx="99">
                  <c:v>103.3719</c:v>
                </c:pt>
                <c:pt idx="100">
                  <c:v>102.8931</c:v>
                </c:pt>
                <c:pt idx="101">
                  <c:v>103.48</c:v>
                </c:pt>
                <c:pt idx="102">
                  <c:v>103.4362</c:v>
                </c:pt>
                <c:pt idx="103">
                  <c:v>103.6602</c:v>
                </c:pt>
                <c:pt idx="104">
                  <c:v>103.876</c:v>
                </c:pt>
                <c:pt idx="105">
                  <c:v>103.3539</c:v>
                </c:pt>
                <c:pt idx="106">
                  <c:v>104.0643</c:v>
                </c:pt>
                <c:pt idx="107">
                  <c:v>103.729</c:v>
                </c:pt>
                <c:pt idx="108">
                  <c:v>103.124</c:v>
                </c:pt>
                <c:pt idx="109">
                  <c:v>104.1474</c:v>
                </c:pt>
                <c:pt idx="110">
                  <c:v>103.8365</c:v>
                </c:pt>
                <c:pt idx="111">
                  <c:v>103.62779999999999</c:v>
                </c:pt>
                <c:pt idx="112">
                  <c:v>103.6986</c:v>
                </c:pt>
                <c:pt idx="113">
                  <c:v>104.1523</c:v>
                </c:pt>
                <c:pt idx="114">
                  <c:v>103.7169</c:v>
                </c:pt>
                <c:pt idx="115">
                  <c:v>102.9686</c:v>
                </c:pt>
                <c:pt idx="116">
                  <c:v>104.0425</c:v>
                </c:pt>
                <c:pt idx="117">
                  <c:v>103.405</c:v>
                </c:pt>
                <c:pt idx="118">
                  <c:v>104.0852</c:v>
                </c:pt>
                <c:pt idx="119">
                  <c:v>102.6712</c:v>
                </c:pt>
                <c:pt idx="120">
                  <c:v>102.8569</c:v>
                </c:pt>
                <c:pt idx="121">
                  <c:v>103.6764</c:v>
                </c:pt>
                <c:pt idx="122">
                  <c:v>102.9127</c:v>
                </c:pt>
                <c:pt idx="123">
                  <c:v>103.0419</c:v>
                </c:pt>
                <c:pt idx="124">
                  <c:v>102.3314</c:v>
                </c:pt>
                <c:pt idx="125">
                  <c:v>102.20659999999999</c:v>
                </c:pt>
                <c:pt idx="126">
                  <c:v>102.40049999999999</c:v>
                </c:pt>
                <c:pt idx="127">
                  <c:v>103.4308</c:v>
                </c:pt>
                <c:pt idx="128">
                  <c:v>102.1999</c:v>
                </c:pt>
                <c:pt idx="129">
                  <c:v>102.2739</c:v>
                </c:pt>
                <c:pt idx="130">
                  <c:v>102.51300000000001</c:v>
                </c:pt>
                <c:pt idx="131">
                  <c:v>102.4083</c:v>
                </c:pt>
                <c:pt idx="132">
                  <c:v>103.0194</c:v>
                </c:pt>
                <c:pt idx="133">
                  <c:v>102.6127</c:v>
                </c:pt>
                <c:pt idx="134">
                  <c:v>103.1204</c:v>
                </c:pt>
                <c:pt idx="135">
                  <c:v>102.2724</c:v>
                </c:pt>
                <c:pt idx="136">
                  <c:v>102.1324</c:v>
                </c:pt>
                <c:pt idx="137">
                  <c:v>102.39409999999999</c:v>
                </c:pt>
                <c:pt idx="138">
                  <c:v>101.65049999999999</c:v>
                </c:pt>
                <c:pt idx="139">
                  <c:v>101.8997</c:v>
                </c:pt>
                <c:pt idx="140">
                  <c:v>102.251</c:v>
                </c:pt>
                <c:pt idx="141">
                  <c:v>102.3168</c:v>
                </c:pt>
                <c:pt idx="142">
                  <c:v>103.2574</c:v>
                </c:pt>
                <c:pt idx="143">
                  <c:v>102.6332</c:v>
                </c:pt>
                <c:pt idx="144">
                  <c:v>102.9134</c:v>
                </c:pt>
                <c:pt idx="145">
                  <c:v>102.5651</c:v>
                </c:pt>
                <c:pt idx="146">
                  <c:v>102.9928</c:v>
                </c:pt>
                <c:pt idx="147">
                  <c:v>102.6515</c:v>
                </c:pt>
                <c:pt idx="148">
                  <c:v>101.60129999999999</c:v>
                </c:pt>
                <c:pt idx="149">
                  <c:v>102.0462</c:v>
                </c:pt>
                <c:pt idx="150">
                  <c:v>102.43300000000001</c:v>
                </c:pt>
                <c:pt idx="151">
                  <c:v>101.99169999999999</c:v>
                </c:pt>
                <c:pt idx="152">
                  <c:v>101.5997</c:v>
                </c:pt>
                <c:pt idx="153">
                  <c:v>101.5175</c:v>
                </c:pt>
                <c:pt idx="154">
                  <c:v>101.81180000000001</c:v>
                </c:pt>
                <c:pt idx="155">
                  <c:v>101.7285</c:v>
                </c:pt>
                <c:pt idx="156">
                  <c:v>101.84310000000001</c:v>
                </c:pt>
                <c:pt idx="157">
                  <c:v>102.3386</c:v>
                </c:pt>
                <c:pt idx="158">
                  <c:v>102.0985</c:v>
                </c:pt>
                <c:pt idx="159">
                  <c:v>102.76649999999999</c:v>
                </c:pt>
                <c:pt idx="160">
                  <c:v>102.9953</c:v>
                </c:pt>
                <c:pt idx="161">
                  <c:v>102.5698</c:v>
                </c:pt>
                <c:pt idx="162">
                  <c:v>101.4092</c:v>
                </c:pt>
                <c:pt idx="163">
                  <c:v>102.29349999999999</c:v>
                </c:pt>
                <c:pt idx="164">
                  <c:v>102.44159999999999</c:v>
                </c:pt>
                <c:pt idx="165">
                  <c:v>102.24160000000001</c:v>
                </c:pt>
                <c:pt idx="166">
                  <c:v>102.7966</c:v>
                </c:pt>
                <c:pt idx="167">
                  <c:v>102.2007</c:v>
                </c:pt>
                <c:pt idx="168">
                  <c:v>101.8429</c:v>
                </c:pt>
                <c:pt idx="169">
                  <c:v>101.6437</c:v>
                </c:pt>
                <c:pt idx="170">
                  <c:v>101.09010000000001</c:v>
                </c:pt>
                <c:pt idx="171">
                  <c:v>101.45059999999999</c:v>
                </c:pt>
                <c:pt idx="172">
                  <c:v>101.36409999999999</c:v>
                </c:pt>
                <c:pt idx="173">
                  <c:v>101.1601</c:v>
                </c:pt>
                <c:pt idx="174">
                  <c:v>101.69970000000001</c:v>
                </c:pt>
                <c:pt idx="175">
                  <c:v>101.75579999999999</c:v>
                </c:pt>
                <c:pt idx="176">
                  <c:v>101.642</c:v>
                </c:pt>
                <c:pt idx="177">
                  <c:v>101.24079999999999</c:v>
                </c:pt>
                <c:pt idx="178">
                  <c:v>101.84010000000001</c:v>
                </c:pt>
                <c:pt idx="179">
                  <c:v>102.12479999999999</c:v>
                </c:pt>
                <c:pt idx="180">
                  <c:v>102.17870000000001</c:v>
                </c:pt>
                <c:pt idx="181">
                  <c:v>101.43729999999999</c:v>
                </c:pt>
                <c:pt idx="182">
                  <c:v>101.8087</c:v>
                </c:pt>
                <c:pt idx="183">
                  <c:v>101.7594</c:v>
                </c:pt>
                <c:pt idx="184">
                  <c:v>100.8886</c:v>
                </c:pt>
                <c:pt idx="185">
                  <c:v>101.7694</c:v>
                </c:pt>
                <c:pt idx="186">
                  <c:v>101.6969</c:v>
                </c:pt>
                <c:pt idx="187">
                  <c:v>100.7578</c:v>
                </c:pt>
                <c:pt idx="188">
                  <c:v>100.8995</c:v>
                </c:pt>
                <c:pt idx="189">
                  <c:v>101.2963</c:v>
                </c:pt>
                <c:pt idx="190">
                  <c:v>101.434</c:v>
                </c:pt>
                <c:pt idx="191">
                  <c:v>101.25190000000001</c:v>
                </c:pt>
                <c:pt idx="192">
                  <c:v>101.35380000000001</c:v>
                </c:pt>
                <c:pt idx="193">
                  <c:v>101.0924</c:v>
                </c:pt>
                <c:pt idx="194">
                  <c:v>100.7328</c:v>
                </c:pt>
                <c:pt idx="195">
                  <c:v>101.4028</c:v>
                </c:pt>
                <c:pt idx="196">
                  <c:v>100.315</c:v>
                </c:pt>
                <c:pt idx="197">
                  <c:v>100.7097</c:v>
                </c:pt>
                <c:pt idx="198">
                  <c:v>99.936599999999999</c:v>
                </c:pt>
                <c:pt idx="199">
                  <c:v>100.5244</c:v>
                </c:pt>
                <c:pt idx="200">
                  <c:v>100.52979999999999</c:v>
                </c:pt>
                <c:pt idx="201">
                  <c:v>100.56270000000001</c:v>
                </c:pt>
                <c:pt idx="202">
                  <c:v>101.26730000000001</c:v>
                </c:pt>
                <c:pt idx="203">
                  <c:v>100.318</c:v>
                </c:pt>
                <c:pt idx="204">
                  <c:v>101.14660000000001</c:v>
                </c:pt>
                <c:pt idx="205">
                  <c:v>100.39790000000001</c:v>
                </c:pt>
                <c:pt idx="206">
                  <c:v>100.2668</c:v>
                </c:pt>
                <c:pt idx="207">
                  <c:v>100.4824</c:v>
                </c:pt>
                <c:pt idx="208">
                  <c:v>100.1611</c:v>
                </c:pt>
                <c:pt idx="209">
                  <c:v>100.7315</c:v>
                </c:pt>
                <c:pt idx="210">
                  <c:v>100.955</c:v>
                </c:pt>
                <c:pt idx="211">
                  <c:v>100.3673</c:v>
                </c:pt>
                <c:pt idx="212">
                  <c:v>100.2337</c:v>
                </c:pt>
                <c:pt idx="213">
                  <c:v>100.1961</c:v>
                </c:pt>
                <c:pt idx="214">
                  <c:v>99.870500000000007</c:v>
                </c:pt>
                <c:pt idx="215">
                  <c:v>99.554400000000001</c:v>
                </c:pt>
                <c:pt idx="216">
                  <c:v>99.727900000000005</c:v>
                </c:pt>
                <c:pt idx="217">
                  <c:v>100.1896</c:v>
                </c:pt>
                <c:pt idx="218">
                  <c:v>99.789100000000005</c:v>
                </c:pt>
                <c:pt idx="219">
                  <c:v>100.845</c:v>
                </c:pt>
                <c:pt idx="220">
                  <c:v>100.55240000000001</c:v>
                </c:pt>
                <c:pt idx="221">
                  <c:v>100.7236</c:v>
                </c:pt>
                <c:pt idx="222">
                  <c:v>100.83150000000001</c:v>
                </c:pt>
                <c:pt idx="223">
                  <c:v>99.891400000000004</c:v>
                </c:pt>
                <c:pt idx="224">
                  <c:v>100.8745</c:v>
                </c:pt>
                <c:pt idx="225">
                  <c:v>100.49169999999999</c:v>
                </c:pt>
                <c:pt idx="226">
                  <c:v>100.3511</c:v>
                </c:pt>
                <c:pt idx="227">
                  <c:v>100.3754</c:v>
                </c:pt>
                <c:pt idx="228">
                  <c:v>100.0886</c:v>
                </c:pt>
                <c:pt idx="229">
                  <c:v>100.55289999999999</c:v>
                </c:pt>
                <c:pt idx="230">
                  <c:v>99.490899999999996</c:v>
                </c:pt>
                <c:pt idx="231">
                  <c:v>100.2533</c:v>
                </c:pt>
                <c:pt idx="232">
                  <c:v>99.635000000000005</c:v>
                </c:pt>
                <c:pt idx="233">
                  <c:v>99.327799999999996</c:v>
                </c:pt>
                <c:pt idx="234">
                  <c:v>100.0309</c:v>
                </c:pt>
                <c:pt idx="235">
                  <c:v>99.275700000000001</c:v>
                </c:pt>
                <c:pt idx="236">
                  <c:v>99.905799999999999</c:v>
                </c:pt>
                <c:pt idx="237">
                  <c:v>99.717399999999998</c:v>
                </c:pt>
                <c:pt idx="238">
                  <c:v>99.501800000000003</c:v>
                </c:pt>
                <c:pt idx="239">
                  <c:v>100.2013</c:v>
                </c:pt>
                <c:pt idx="240">
                  <c:v>99.924599999999998</c:v>
                </c:pt>
                <c:pt idx="241">
                  <c:v>99.6434</c:v>
                </c:pt>
                <c:pt idx="242">
                  <c:v>100.2641</c:v>
                </c:pt>
                <c:pt idx="243">
                  <c:v>99.823700000000002</c:v>
                </c:pt>
                <c:pt idx="244">
                  <c:v>99.422300000000007</c:v>
                </c:pt>
                <c:pt idx="245">
                  <c:v>100.1323</c:v>
                </c:pt>
                <c:pt idx="246">
                  <c:v>99.182299999999998</c:v>
                </c:pt>
                <c:pt idx="247">
                  <c:v>98.911799999999999</c:v>
                </c:pt>
                <c:pt idx="248">
                  <c:v>98.702699999999993</c:v>
                </c:pt>
                <c:pt idx="249">
                  <c:v>98.417500000000004</c:v>
                </c:pt>
                <c:pt idx="250">
                  <c:v>99.028000000000006</c:v>
                </c:pt>
                <c:pt idx="251">
                  <c:v>99.036799999999999</c:v>
                </c:pt>
                <c:pt idx="252">
                  <c:v>99.232799999999997</c:v>
                </c:pt>
                <c:pt idx="253">
                  <c:v>98.9131</c:v>
                </c:pt>
                <c:pt idx="254">
                  <c:v>99.431899999999999</c:v>
                </c:pt>
                <c:pt idx="255">
                  <c:v>99.149299999999997</c:v>
                </c:pt>
                <c:pt idx="256">
                  <c:v>99.001199999999997</c:v>
                </c:pt>
                <c:pt idx="257">
                  <c:v>98.410899999999998</c:v>
                </c:pt>
                <c:pt idx="258">
                  <c:v>98.407200000000003</c:v>
                </c:pt>
                <c:pt idx="259">
                  <c:v>98.131100000000004</c:v>
                </c:pt>
                <c:pt idx="260">
                  <c:v>98.128500000000003</c:v>
                </c:pt>
                <c:pt idx="261">
                  <c:v>98.080600000000004</c:v>
                </c:pt>
                <c:pt idx="262">
                  <c:v>97.723500000000001</c:v>
                </c:pt>
                <c:pt idx="263">
                  <c:v>98.469200000000001</c:v>
                </c:pt>
                <c:pt idx="264">
                  <c:v>97.911600000000007</c:v>
                </c:pt>
                <c:pt idx="265">
                  <c:v>98.0792</c:v>
                </c:pt>
                <c:pt idx="266">
                  <c:v>98.495800000000003</c:v>
                </c:pt>
                <c:pt idx="267">
                  <c:v>98.351200000000006</c:v>
                </c:pt>
                <c:pt idx="268">
                  <c:v>97.255099999999999</c:v>
                </c:pt>
                <c:pt idx="269">
                  <c:v>97.260800000000003</c:v>
                </c:pt>
                <c:pt idx="270">
                  <c:v>97.0364</c:v>
                </c:pt>
                <c:pt idx="271">
                  <c:v>97.063800000000001</c:v>
                </c:pt>
                <c:pt idx="272">
                  <c:v>96.849900000000005</c:v>
                </c:pt>
                <c:pt idx="273">
                  <c:v>96.576599999999999</c:v>
                </c:pt>
                <c:pt idx="274">
                  <c:v>97.297300000000007</c:v>
                </c:pt>
                <c:pt idx="275">
                  <c:v>97.022900000000007</c:v>
                </c:pt>
                <c:pt idx="276">
                  <c:v>96.806799999999996</c:v>
                </c:pt>
                <c:pt idx="277">
                  <c:v>97.090900000000005</c:v>
                </c:pt>
                <c:pt idx="278">
                  <c:v>97.3078</c:v>
                </c:pt>
                <c:pt idx="279">
                  <c:v>98.006799999999998</c:v>
                </c:pt>
                <c:pt idx="280">
                  <c:v>97.8</c:v>
                </c:pt>
                <c:pt idx="281">
                  <c:v>97.215900000000005</c:v>
                </c:pt>
                <c:pt idx="282">
                  <c:v>97.407399999999996</c:v>
                </c:pt>
                <c:pt idx="283">
                  <c:v>97</c:v>
                </c:pt>
                <c:pt idx="284">
                  <c:v>97.294799999999995</c:v>
                </c:pt>
                <c:pt idx="285">
                  <c:v>98.680199999999999</c:v>
                </c:pt>
                <c:pt idx="286">
                  <c:v>97.782399999999996</c:v>
                </c:pt>
                <c:pt idx="287">
                  <c:v>97.395799999999994</c:v>
                </c:pt>
                <c:pt idx="288">
                  <c:v>97.242599999999996</c:v>
                </c:pt>
                <c:pt idx="289">
                  <c:v>97.208399999999997</c:v>
                </c:pt>
                <c:pt idx="290">
                  <c:v>97.206599999999995</c:v>
                </c:pt>
                <c:pt idx="291">
                  <c:v>97.394599999999997</c:v>
                </c:pt>
                <c:pt idx="292">
                  <c:v>98.322400000000002</c:v>
                </c:pt>
                <c:pt idx="293">
                  <c:v>97.313299999999998</c:v>
                </c:pt>
                <c:pt idx="294">
                  <c:v>97.4803</c:v>
                </c:pt>
                <c:pt idx="295">
                  <c:v>98.040599999999998</c:v>
                </c:pt>
                <c:pt idx="296">
                  <c:v>97.702799999999996</c:v>
                </c:pt>
                <c:pt idx="297">
                  <c:v>97.2149</c:v>
                </c:pt>
                <c:pt idx="298">
                  <c:v>97.247100000000003</c:v>
                </c:pt>
                <c:pt idx="299">
                  <c:v>97.016499999999994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4B07-FF48-9AB3-A9E58D6EA684}"/>
            </c:ext>
          </c:extLst>
        </c:ser>
        <c:ser>
          <c:idx val="3"/>
          <c:order val="3"/>
          <c:tx>
            <c:strRef>
              <c:f>Simulation!$I$1</c:f>
              <c:strCache>
                <c:ptCount val="1"/>
                <c:pt idx="0">
                  <c:v>P1</c:v>
                </c:pt>
              </c:strCache>
            </c:strRef>
          </c:tx>
          <c:spPr>
            <a:ln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Simulation!$I$2:$I$301</c:f>
              <c:numCache>
                <c:formatCode>General</c:formatCode>
                <c:ptCount val="300"/>
                <c:pt idx="0">
                  <c:v>68.294700000000006</c:v>
                </c:pt>
                <c:pt idx="1">
                  <c:v>29.904399999999999</c:v>
                </c:pt>
                <c:pt idx="2">
                  <c:v>16.7822</c:v>
                </c:pt>
                <c:pt idx="3">
                  <c:v>8.3993000000000002</c:v>
                </c:pt>
                <c:pt idx="4">
                  <c:v>1.8517999999999999</c:v>
                </c:pt>
                <c:pt idx="5">
                  <c:v>-0.58720000000000006</c:v>
                </c:pt>
                <c:pt idx="6">
                  <c:v>-3.1092</c:v>
                </c:pt>
                <c:pt idx="7">
                  <c:v>-3.7242999999999999</c:v>
                </c:pt>
                <c:pt idx="8">
                  <c:v>-6.282</c:v>
                </c:pt>
                <c:pt idx="9">
                  <c:v>-7.1670999999999996</c:v>
                </c:pt>
                <c:pt idx="10">
                  <c:v>-9.9291</c:v>
                </c:pt>
                <c:pt idx="11">
                  <c:v>-10.276999999999999</c:v>
                </c:pt>
                <c:pt idx="12">
                  <c:v>-10.3538</c:v>
                </c:pt>
                <c:pt idx="13">
                  <c:v>-10.622400000000001</c:v>
                </c:pt>
                <c:pt idx="14">
                  <c:v>-11.728199999999999</c:v>
                </c:pt>
                <c:pt idx="15">
                  <c:v>-10.784700000000001</c:v>
                </c:pt>
                <c:pt idx="16">
                  <c:v>-10.3581</c:v>
                </c:pt>
                <c:pt idx="17">
                  <c:v>-10.783799999999999</c:v>
                </c:pt>
                <c:pt idx="18">
                  <c:v>-10.436</c:v>
                </c:pt>
                <c:pt idx="19">
                  <c:v>-12.1113</c:v>
                </c:pt>
                <c:pt idx="20">
                  <c:v>-13.504</c:v>
                </c:pt>
                <c:pt idx="21">
                  <c:v>-13.9411</c:v>
                </c:pt>
                <c:pt idx="22">
                  <c:v>-13.647500000000001</c:v>
                </c:pt>
                <c:pt idx="23">
                  <c:v>-12.8962</c:v>
                </c:pt>
                <c:pt idx="24">
                  <c:v>-12.7455</c:v>
                </c:pt>
                <c:pt idx="25">
                  <c:v>-14.4254</c:v>
                </c:pt>
                <c:pt idx="26">
                  <c:v>-13.498100000000001</c:v>
                </c:pt>
                <c:pt idx="27">
                  <c:v>-13.906000000000001</c:v>
                </c:pt>
                <c:pt idx="28">
                  <c:v>-13.088100000000001</c:v>
                </c:pt>
                <c:pt idx="29">
                  <c:v>-13.6127</c:v>
                </c:pt>
                <c:pt idx="30">
                  <c:v>-14.2719</c:v>
                </c:pt>
                <c:pt idx="31">
                  <c:v>-14.798500000000001</c:v>
                </c:pt>
                <c:pt idx="32">
                  <c:v>-13.538500000000001</c:v>
                </c:pt>
                <c:pt idx="33">
                  <c:v>-11.889900000000001</c:v>
                </c:pt>
                <c:pt idx="34">
                  <c:v>-12.8583</c:v>
                </c:pt>
                <c:pt idx="35">
                  <c:v>-13.456300000000001</c:v>
                </c:pt>
                <c:pt idx="36">
                  <c:v>-12.6991</c:v>
                </c:pt>
                <c:pt idx="37">
                  <c:v>-13.132999999999999</c:v>
                </c:pt>
                <c:pt idx="38">
                  <c:v>-13.748699999999999</c:v>
                </c:pt>
                <c:pt idx="39">
                  <c:v>-10.923299999999999</c:v>
                </c:pt>
                <c:pt idx="40">
                  <c:v>-11.792199999999999</c:v>
                </c:pt>
                <c:pt idx="41">
                  <c:v>-12.793900000000001</c:v>
                </c:pt>
                <c:pt idx="42">
                  <c:v>-12.7378</c:v>
                </c:pt>
                <c:pt idx="43">
                  <c:v>-13.1998</c:v>
                </c:pt>
                <c:pt idx="44">
                  <c:v>-13.6732</c:v>
                </c:pt>
                <c:pt idx="45">
                  <c:v>-11.345700000000001</c:v>
                </c:pt>
                <c:pt idx="46">
                  <c:v>-13.978</c:v>
                </c:pt>
                <c:pt idx="47">
                  <c:v>-11.7179</c:v>
                </c:pt>
                <c:pt idx="48">
                  <c:v>-15.3363</c:v>
                </c:pt>
                <c:pt idx="49">
                  <c:v>-13.8474</c:v>
                </c:pt>
                <c:pt idx="50">
                  <c:v>-14.554600000000001</c:v>
                </c:pt>
                <c:pt idx="51">
                  <c:v>-13.6883</c:v>
                </c:pt>
                <c:pt idx="52">
                  <c:v>-14.742100000000001</c:v>
                </c:pt>
                <c:pt idx="53">
                  <c:v>-15.0685</c:v>
                </c:pt>
                <c:pt idx="54">
                  <c:v>-15.131</c:v>
                </c:pt>
                <c:pt idx="55">
                  <c:v>-15.072900000000001</c:v>
                </c:pt>
                <c:pt idx="56">
                  <c:v>-15.904400000000001</c:v>
                </c:pt>
                <c:pt idx="57">
                  <c:v>-12.8935</c:v>
                </c:pt>
                <c:pt idx="58">
                  <c:v>-13.5031</c:v>
                </c:pt>
                <c:pt idx="59">
                  <c:v>-14.852</c:v>
                </c:pt>
                <c:pt idx="60">
                  <c:v>-14.4422</c:v>
                </c:pt>
                <c:pt idx="61">
                  <c:v>-14.311299999999999</c:v>
                </c:pt>
                <c:pt idx="62">
                  <c:v>-14.1129</c:v>
                </c:pt>
                <c:pt idx="63">
                  <c:v>-15.600199999999999</c:v>
                </c:pt>
                <c:pt idx="64">
                  <c:v>-14.6386</c:v>
                </c:pt>
                <c:pt idx="65">
                  <c:v>-14.2339</c:v>
                </c:pt>
                <c:pt idx="66">
                  <c:v>-13.939</c:v>
                </c:pt>
                <c:pt idx="67">
                  <c:v>-13.5924</c:v>
                </c:pt>
                <c:pt idx="68">
                  <c:v>-14.416399999999999</c:v>
                </c:pt>
                <c:pt idx="69">
                  <c:v>-12.809699999999999</c:v>
                </c:pt>
                <c:pt idx="70">
                  <c:v>-12.5524</c:v>
                </c:pt>
                <c:pt idx="71">
                  <c:v>-14.5814</c:v>
                </c:pt>
                <c:pt idx="72">
                  <c:v>-14.459099999999999</c:v>
                </c:pt>
                <c:pt idx="73">
                  <c:v>-14.246700000000001</c:v>
                </c:pt>
                <c:pt idx="74">
                  <c:v>-13.198700000000001</c:v>
                </c:pt>
                <c:pt idx="75">
                  <c:v>-13.7272</c:v>
                </c:pt>
                <c:pt idx="76">
                  <c:v>-14.894299999999999</c:v>
                </c:pt>
                <c:pt idx="77">
                  <c:v>-14.1244</c:v>
                </c:pt>
                <c:pt idx="78">
                  <c:v>-14.9331</c:v>
                </c:pt>
                <c:pt idx="79">
                  <c:v>-14.484299999999999</c:v>
                </c:pt>
                <c:pt idx="80">
                  <c:v>-13.9704</c:v>
                </c:pt>
                <c:pt idx="81">
                  <c:v>-13.4672</c:v>
                </c:pt>
                <c:pt idx="82">
                  <c:v>-11.973000000000001</c:v>
                </c:pt>
                <c:pt idx="83">
                  <c:v>-14.044600000000001</c:v>
                </c:pt>
                <c:pt idx="84">
                  <c:v>-14.858700000000001</c:v>
                </c:pt>
                <c:pt idx="85">
                  <c:v>-17.5259</c:v>
                </c:pt>
                <c:pt idx="86">
                  <c:v>-16.604500000000002</c:v>
                </c:pt>
                <c:pt idx="87">
                  <c:v>-15.8719</c:v>
                </c:pt>
                <c:pt idx="88">
                  <c:v>-14.683</c:v>
                </c:pt>
                <c:pt idx="89">
                  <c:v>-15.2051</c:v>
                </c:pt>
                <c:pt idx="90">
                  <c:v>-14.3461</c:v>
                </c:pt>
                <c:pt idx="91">
                  <c:v>-13.7967</c:v>
                </c:pt>
                <c:pt idx="92">
                  <c:v>-14.792999999999999</c:v>
                </c:pt>
                <c:pt idx="93">
                  <c:v>-12.9876</c:v>
                </c:pt>
                <c:pt idx="94">
                  <c:v>-16.6783</c:v>
                </c:pt>
                <c:pt idx="95">
                  <c:v>-17.8401</c:v>
                </c:pt>
                <c:pt idx="96">
                  <c:v>-16.38</c:v>
                </c:pt>
                <c:pt idx="97">
                  <c:v>-14.069699999999999</c:v>
                </c:pt>
                <c:pt idx="98">
                  <c:v>-14.218400000000001</c:v>
                </c:pt>
                <c:pt idx="99">
                  <c:v>-14.901899999999999</c:v>
                </c:pt>
                <c:pt idx="100">
                  <c:v>-16.207899999999999</c:v>
                </c:pt>
                <c:pt idx="101">
                  <c:v>-15.758599999999999</c:v>
                </c:pt>
                <c:pt idx="102">
                  <c:v>-15.114800000000001</c:v>
                </c:pt>
                <c:pt idx="103">
                  <c:v>-16.111499999999999</c:v>
                </c:pt>
                <c:pt idx="104">
                  <c:v>-17.392700000000001</c:v>
                </c:pt>
                <c:pt idx="105">
                  <c:v>-14.813000000000001</c:v>
                </c:pt>
                <c:pt idx="106">
                  <c:v>-16.495899999999999</c:v>
                </c:pt>
                <c:pt idx="107">
                  <c:v>-15.9916</c:v>
                </c:pt>
                <c:pt idx="108">
                  <c:v>-15.6677</c:v>
                </c:pt>
                <c:pt idx="109">
                  <c:v>-15.3741</c:v>
                </c:pt>
                <c:pt idx="110">
                  <c:v>-16.553699999999999</c:v>
                </c:pt>
                <c:pt idx="111">
                  <c:v>-16.214200000000002</c:v>
                </c:pt>
                <c:pt idx="112">
                  <c:v>-15.9712</c:v>
                </c:pt>
                <c:pt idx="113">
                  <c:v>-16.410299999999999</c:v>
                </c:pt>
                <c:pt idx="114">
                  <c:v>-15.899100000000001</c:v>
                </c:pt>
                <c:pt idx="115">
                  <c:v>-19.121200000000002</c:v>
                </c:pt>
                <c:pt idx="116">
                  <c:v>-16.9329</c:v>
                </c:pt>
                <c:pt idx="117">
                  <c:v>-16.0822</c:v>
                </c:pt>
                <c:pt idx="118">
                  <c:v>-16.359400000000001</c:v>
                </c:pt>
                <c:pt idx="119">
                  <c:v>-17.661999999999999</c:v>
                </c:pt>
                <c:pt idx="120">
                  <c:v>-14.7202</c:v>
                </c:pt>
                <c:pt idx="121">
                  <c:v>-14.688499999999999</c:v>
                </c:pt>
                <c:pt idx="122">
                  <c:v>-17.2074</c:v>
                </c:pt>
                <c:pt idx="123">
                  <c:v>-16.354800000000001</c:v>
                </c:pt>
                <c:pt idx="124">
                  <c:v>-15.916399999999999</c:v>
                </c:pt>
                <c:pt idx="125">
                  <c:v>-17.090699999999998</c:v>
                </c:pt>
                <c:pt idx="126">
                  <c:v>-17.619299999999999</c:v>
                </c:pt>
                <c:pt idx="127">
                  <c:v>-17.385300000000001</c:v>
                </c:pt>
                <c:pt idx="128">
                  <c:v>-16.589500000000001</c:v>
                </c:pt>
                <c:pt idx="129">
                  <c:v>-17.134499999999999</c:v>
                </c:pt>
                <c:pt idx="130">
                  <c:v>-16.1617</c:v>
                </c:pt>
                <c:pt idx="131">
                  <c:v>-18.368500000000001</c:v>
                </c:pt>
                <c:pt idx="132">
                  <c:v>-16.144200000000001</c:v>
                </c:pt>
                <c:pt idx="133">
                  <c:v>-16.664000000000001</c:v>
                </c:pt>
                <c:pt idx="134">
                  <c:v>-17.2591</c:v>
                </c:pt>
                <c:pt idx="135">
                  <c:v>-17.153700000000001</c:v>
                </c:pt>
                <c:pt idx="136">
                  <c:v>-17.505700000000001</c:v>
                </c:pt>
                <c:pt idx="137">
                  <c:v>-17.065999999999999</c:v>
                </c:pt>
                <c:pt idx="138">
                  <c:v>-17.163499999999999</c:v>
                </c:pt>
                <c:pt idx="139">
                  <c:v>-18.004300000000001</c:v>
                </c:pt>
                <c:pt idx="140">
                  <c:v>-16.977399999999999</c:v>
                </c:pt>
                <c:pt idx="141">
                  <c:v>-17.2578</c:v>
                </c:pt>
                <c:pt idx="142">
                  <c:v>-14.4405</c:v>
                </c:pt>
                <c:pt idx="143">
                  <c:v>-16.2683</c:v>
                </c:pt>
                <c:pt idx="144">
                  <c:v>-15.579700000000001</c:v>
                </c:pt>
                <c:pt idx="145">
                  <c:v>-18.049800000000001</c:v>
                </c:pt>
                <c:pt idx="146">
                  <c:v>-16.027100000000001</c:v>
                </c:pt>
                <c:pt idx="147">
                  <c:v>-16.786799999999999</c:v>
                </c:pt>
                <c:pt idx="148">
                  <c:v>-16.519300000000001</c:v>
                </c:pt>
                <c:pt idx="149">
                  <c:v>-16.265899999999998</c:v>
                </c:pt>
                <c:pt idx="150">
                  <c:v>-17.402699999999999</c:v>
                </c:pt>
                <c:pt idx="151">
                  <c:v>-19.355499999999999</c:v>
                </c:pt>
                <c:pt idx="152">
                  <c:v>-16.6891</c:v>
                </c:pt>
                <c:pt idx="153">
                  <c:v>-16.014500000000002</c:v>
                </c:pt>
                <c:pt idx="154">
                  <c:v>-16.781400000000001</c:v>
                </c:pt>
                <c:pt idx="155">
                  <c:v>-14.247999999999999</c:v>
                </c:pt>
                <c:pt idx="156">
                  <c:v>-16.882000000000001</c:v>
                </c:pt>
                <c:pt idx="157">
                  <c:v>-16.5929</c:v>
                </c:pt>
                <c:pt idx="158">
                  <c:v>-18.084499999999998</c:v>
                </c:pt>
                <c:pt idx="159">
                  <c:v>-17.139099999999999</c:v>
                </c:pt>
                <c:pt idx="160">
                  <c:v>-17.9604</c:v>
                </c:pt>
                <c:pt idx="161">
                  <c:v>-14.891999999999999</c:v>
                </c:pt>
                <c:pt idx="162">
                  <c:v>-16.716000000000001</c:v>
                </c:pt>
                <c:pt idx="163">
                  <c:v>-16.325600000000001</c:v>
                </c:pt>
                <c:pt idx="164">
                  <c:v>-16.284600000000001</c:v>
                </c:pt>
                <c:pt idx="165">
                  <c:v>-18.9238</c:v>
                </c:pt>
                <c:pt idx="166">
                  <c:v>-18.526</c:v>
                </c:pt>
                <c:pt idx="167">
                  <c:v>-17.8521</c:v>
                </c:pt>
                <c:pt idx="168">
                  <c:v>-17.174700000000001</c:v>
                </c:pt>
                <c:pt idx="169">
                  <c:v>-16.756399999999999</c:v>
                </c:pt>
                <c:pt idx="170">
                  <c:v>-18.9239</c:v>
                </c:pt>
                <c:pt idx="171">
                  <c:v>-18.308399999999999</c:v>
                </c:pt>
                <c:pt idx="172">
                  <c:v>-17.3916</c:v>
                </c:pt>
                <c:pt idx="173">
                  <c:v>-16.803999999999998</c:v>
                </c:pt>
                <c:pt idx="174">
                  <c:v>-16.976299999999998</c:v>
                </c:pt>
                <c:pt idx="175">
                  <c:v>-18.064499999999999</c:v>
                </c:pt>
                <c:pt idx="176">
                  <c:v>-18.1587</c:v>
                </c:pt>
                <c:pt idx="177">
                  <c:v>-17.826499999999999</c:v>
                </c:pt>
                <c:pt idx="178">
                  <c:v>-18.7103</c:v>
                </c:pt>
                <c:pt idx="179">
                  <c:v>-15.448600000000001</c:v>
                </c:pt>
                <c:pt idx="180">
                  <c:v>-18.7454</c:v>
                </c:pt>
                <c:pt idx="181">
                  <c:v>-20.336500000000001</c:v>
                </c:pt>
                <c:pt idx="182">
                  <c:v>-18.9252</c:v>
                </c:pt>
                <c:pt idx="183">
                  <c:v>-19.575399999999998</c:v>
                </c:pt>
                <c:pt idx="184">
                  <c:v>-19.1358</c:v>
                </c:pt>
                <c:pt idx="185">
                  <c:v>-18.389600000000002</c:v>
                </c:pt>
                <c:pt idx="186">
                  <c:v>-16.8718</c:v>
                </c:pt>
                <c:pt idx="187">
                  <c:v>-15.5593</c:v>
                </c:pt>
                <c:pt idx="188">
                  <c:v>-15.9483</c:v>
                </c:pt>
                <c:pt idx="189">
                  <c:v>-16.099599999999999</c:v>
                </c:pt>
                <c:pt idx="190">
                  <c:v>-16.348600000000001</c:v>
                </c:pt>
                <c:pt idx="191">
                  <c:v>-17.384599999999999</c:v>
                </c:pt>
                <c:pt idx="192">
                  <c:v>-16.6051</c:v>
                </c:pt>
                <c:pt idx="193">
                  <c:v>-17.899100000000001</c:v>
                </c:pt>
                <c:pt idx="194">
                  <c:v>-16.925699999999999</c:v>
                </c:pt>
                <c:pt idx="195">
                  <c:v>-18.071100000000001</c:v>
                </c:pt>
                <c:pt idx="196">
                  <c:v>-17.4038</c:v>
                </c:pt>
                <c:pt idx="197">
                  <c:v>-18.041599999999999</c:v>
                </c:pt>
                <c:pt idx="198">
                  <c:v>-17.633400000000002</c:v>
                </c:pt>
                <c:pt idx="199">
                  <c:v>-17.7789</c:v>
                </c:pt>
                <c:pt idx="200">
                  <c:v>-17.724799999999998</c:v>
                </c:pt>
                <c:pt idx="201">
                  <c:v>-17.967500000000001</c:v>
                </c:pt>
                <c:pt idx="202">
                  <c:v>-17.124300000000002</c:v>
                </c:pt>
                <c:pt idx="203">
                  <c:v>-18.203700000000001</c:v>
                </c:pt>
                <c:pt idx="204">
                  <c:v>-17.694800000000001</c:v>
                </c:pt>
                <c:pt idx="205">
                  <c:v>-17.1401</c:v>
                </c:pt>
                <c:pt idx="206">
                  <c:v>-18.300799999999999</c:v>
                </c:pt>
                <c:pt idx="207">
                  <c:v>-18.218399999999999</c:v>
                </c:pt>
                <c:pt idx="208">
                  <c:v>-16.9313</c:v>
                </c:pt>
                <c:pt idx="209">
                  <c:v>-18.604600000000001</c:v>
                </c:pt>
                <c:pt idx="210">
                  <c:v>-17.496400000000001</c:v>
                </c:pt>
                <c:pt idx="211">
                  <c:v>-17.353200000000001</c:v>
                </c:pt>
                <c:pt idx="212">
                  <c:v>-17.677399999999999</c:v>
                </c:pt>
                <c:pt idx="213">
                  <c:v>-16.098600000000001</c:v>
                </c:pt>
                <c:pt idx="214">
                  <c:v>-17.7699</c:v>
                </c:pt>
                <c:pt idx="215">
                  <c:v>-18.800899999999999</c:v>
                </c:pt>
                <c:pt idx="216">
                  <c:v>-19.770199999999999</c:v>
                </c:pt>
                <c:pt idx="217">
                  <c:v>-19.703099999999999</c:v>
                </c:pt>
                <c:pt idx="218">
                  <c:v>-19.960599999999999</c:v>
                </c:pt>
                <c:pt idx="219">
                  <c:v>-19.046800000000001</c:v>
                </c:pt>
                <c:pt idx="220">
                  <c:v>-17.771100000000001</c:v>
                </c:pt>
                <c:pt idx="221">
                  <c:v>-18.825700000000001</c:v>
                </c:pt>
                <c:pt idx="222">
                  <c:v>-18.234100000000002</c:v>
                </c:pt>
                <c:pt idx="223">
                  <c:v>-19.758400000000002</c:v>
                </c:pt>
                <c:pt idx="224">
                  <c:v>-20.015699999999999</c:v>
                </c:pt>
                <c:pt idx="225">
                  <c:v>-19.678100000000001</c:v>
                </c:pt>
                <c:pt idx="226">
                  <c:v>-18.414400000000001</c:v>
                </c:pt>
                <c:pt idx="227">
                  <c:v>-17.879200000000001</c:v>
                </c:pt>
                <c:pt idx="228">
                  <c:v>-17.197199999999999</c:v>
                </c:pt>
                <c:pt idx="229">
                  <c:v>-19.5228</c:v>
                </c:pt>
                <c:pt idx="230">
                  <c:v>-17.334800000000001</c:v>
                </c:pt>
                <c:pt idx="231">
                  <c:v>-18.9572</c:v>
                </c:pt>
                <c:pt idx="232">
                  <c:v>-18.865300000000001</c:v>
                </c:pt>
                <c:pt idx="233">
                  <c:v>-17.145900000000001</c:v>
                </c:pt>
                <c:pt idx="234">
                  <c:v>-17.9178</c:v>
                </c:pt>
                <c:pt idx="235">
                  <c:v>-18.2806</c:v>
                </c:pt>
                <c:pt idx="236">
                  <c:v>-19.577000000000002</c:v>
                </c:pt>
                <c:pt idx="237">
                  <c:v>-19.3185</c:v>
                </c:pt>
                <c:pt idx="238">
                  <c:v>-20.639800000000001</c:v>
                </c:pt>
                <c:pt idx="239">
                  <c:v>-19.553100000000001</c:v>
                </c:pt>
                <c:pt idx="240">
                  <c:v>-18.9878</c:v>
                </c:pt>
                <c:pt idx="241">
                  <c:v>-18.323599999999999</c:v>
                </c:pt>
                <c:pt idx="242">
                  <c:v>-19.716000000000001</c:v>
                </c:pt>
                <c:pt idx="243">
                  <c:v>-19.682099999999998</c:v>
                </c:pt>
                <c:pt idx="244">
                  <c:v>-21.8307</c:v>
                </c:pt>
                <c:pt idx="245">
                  <c:v>-19.042899999999999</c:v>
                </c:pt>
                <c:pt idx="246">
                  <c:v>-19.404</c:v>
                </c:pt>
                <c:pt idx="247">
                  <c:v>-21.252700000000001</c:v>
                </c:pt>
                <c:pt idx="248">
                  <c:v>-20.4452</c:v>
                </c:pt>
                <c:pt idx="249">
                  <c:v>-19.484000000000002</c:v>
                </c:pt>
                <c:pt idx="250">
                  <c:v>-20.141200000000001</c:v>
                </c:pt>
                <c:pt idx="251">
                  <c:v>-18.296500000000002</c:v>
                </c:pt>
                <c:pt idx="252">
                  <c:v>-19.8691</c:v>
                </c:pt>
                <c:pt idx="253">
                  <c:v>-21.284300000000002</c:v>
                </c:pt>
                <c:pt idx="254">
                  <c:v>-19.895199999999999</c:v>
                </c:pt>
                <c:pt idx="255">
                  <c:v>-22.093</c:v>
                </c:pt>
                <c:pt idx="256">
                  <c:v>-20.2545</c:v>
                </c:pt>
                <c:pt idx="257">
                  <c:v>-18.61</c:v>
                </c:pt>
                <c:pt idx="258">
                  <c:v>-19.4603</c:v>
                </c:pt>
                <c:pt idx="259">
                  <c:v>-21.2194</c:v>
                </c:pt>
                <c:pt idx="260">
                  <c:v>-20.899000000000001</c:v>
                </c:pt>
                <c:pt idx="261">
                  <c:v>-21.126799999999999</c:v>
                </c:pt>
                <c:pt idx="262">
                  <c:v>-21.332599999999999</c:v>
                </c:pt>
                <c:pt idx="263">
                  <c:v>-19.827300000000001</c:v>
                </c:pt>
                <c:pt idx="264">
                  <c:v>-20.049399999999999</c:v>
                </c:pt>
                <c:pt idx="265">
                  <c:v>-18.419</c:v>
                </c:pt>
                <c:pt idx="266">
                  <c:v>-18.87</c:v>
                </c:pt>
                <c:pt idx="267">
                  <c:v>-19.613399999999999</c:v>
                </c:pt>
                <c:pt idx="268">
                  <c:v>-22.0198</c:v>
                </c:pt>
                <c:pt idx="269">
                  <c:v>-23.071300000000001</c:v>
                </c:pt>
                <c:pt idx="270">
                  <c:v>-21.671600000000002</c:v>
                </c:pt>
                <c:pt idx="271">
                  <c:v>-22.294</c:v>
                </c:pt>
                <c:pt idx="272">
                  <c:v>-22.080500000000001</c:v>
                </c:pt>
                <c:pt idx="273">
                  <c:v>-20.567499999999999</c:v>
                </c:pt>
                <c:pt idx="274">
                  <c:v>-22.7302</c:v>
                </c:pt>
                <c:pt idx="275">
                  <c:v>-22.1435</c:v>
                </c:pt>
                <c:pt idx="276">
                  <c:v>-22.362300000000001</c:v>
                </c:pt>
                <c:pt idx="277">
                  <c:v>-25.4892</c:v>
                </c:pt>
                <c:pt idx="278">
                  <c:v>-23.565000000000001</c:v>
                </c:pt>
                <c:pt idx="279">
                  <c:v>-23.048500000000001</c:v>
                </c:pt>
                <c:pt idx="280">
                  <c:v>-22.260100000000001</c:v>
                </c:pt>
                <c:pt idx="281">
                  <c:v>-21.223500000000001</c:v>
                </c:pt>
                <c:pt idx="282">
                  <c:v>-21.1982</c:v>
                </c:pt>
                <c:pt idx="283">
                  <c:v>-21.7029</c:v>
                </c:pt>
                <c:pt idx="284">
                  <c:v>-21.6966</c:v>
                </c:pt>
                <c:pt idx="285">
                  <c:v>-23.187899999999999</c:v>
                </c:pt>
                <c:pt idx="286">
                  <c:v>-23.2956</c:v>
                </c:pt>
                <c:pt idx="287">
                  <c:v>-23.188600000000001</c:v>
                </c:pt>
                <c:pt idx="288">
                  <c:v>-21.275200000000002</c:v>
                </c:pt>
                <c:pt idx="289">
                  <c:v>-22.515699999999999</c:v>
                </c:pt>
                <c:pt idx="290">
                  <c:v>-22.422000000000001</c:v>
                </c:pt>
                <c:pt idx="291">
                  <c:v>-20.835699999999999</c:v>
                </c:pt>
                <c:pt idx="292">
                  <c:v>-22.172599999999999</c:v>
                </c:pt>
                <c:pt idx="293">
                  <c:v>-21.653700000000001</c:v>
                </c:pt>
                <c:pt idx="294">
                  <c:v>-22.9984</c:v>
                </c:pt>
                <c:pt idx="295">
                  <c:v>-22.098800000000001</c:v>
                </c:pt>
                <c:pt idx="296">
                  <c:v>-21.165700000000001</c:v>
                </c:pt>
                <c:pt idx="297">
                  <c:v>-21.847300000000001</c:v>
                </c:pt>
                <c:pt idx="298">
                  <c:v>-21.403300000000002</c:v>
                </c:pt>
                <c:pt idx="299">
                  <c:v>-22.495999999999999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4B07-FF48-9AB3-A9E58D6EA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Capture Price (EUR/MWh)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P50/P90/P99 at Key Project Horizons — DK1 Primary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Simulation!$L$2</c:f>
              <c:strCache>
                <c:ptCount val="1"/>
                <c:pt idx="0">
                  <c:v>P50</c:v>
                </c:pt>
              </c:strCache>
            </c:strRef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Simulation!$L$3:$L$7</c:f>
              <c:numCache>
                <c:formatCode>General</c:formatCode>
                <c:ptCount val="5"/>
                <c:pt idx="0">
                  <c:v>62.42</c:v>
                </c:pt>
                <c:pt idx="1">
                  <c:v>60.67</c:v>
                </c:pt>
                <c:pt idx="2">
                  <c:v>58.52</c:v>
                </c:pt>
                <c:pt idx="3">
                  <c:v>57.43</c:v>
                </c:pt>
                <c:pt idx="4">
                  <c:v>54.79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C6AB-494C-918F-AC9121179D1A}"/>
            </c:ext>
          </c:extLst>
        </c:ser>
        <c:ser>
          <c:idx val="1"/>
          <c:order val="1"/>
          <c:tx>
            <c:strRef>
              <c:f>Simulation!$M$2</c:f>
              <c:strCache>
                <c:ptCount val="1"/>
                <c:pt idx="0">
                  <c:v>P90</c:v>
                </c:pt>
              </c:strCache>
            </c:strRef>
          </c:tx>
          <c:spPr>
            <a:solidFill>
              <a:srgbClr val="FF8C00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Simulation!$M$3:$M$7</c:f>
              <c:numCache>
                <c:formatCode>General</c:formatCode>
                <c:ptCount val="5"/>
                <c:pt idx="0">
                  <c:v>19.97</c:v>
                </c:pt>
                <c:pt idx="1">
                  <c:v>18.27</c:v>
                </c:pt>
                <c:pt idx="2">
                  <c:v>16.52</c:v>
                </c:pt>
                <c:pt idx="3">
                  <c:v>14.71</c:v>
                </c:pt>
                <c:pt idx="4">
                  <c:v>12.55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C6AB-494C-918F-AC9121179D1A}"/>
            </c:ext>
          </c:extLst>
        </c:ser>
        <c:ser>
          <c:idx val="2"/>
          <c:order val="2"/>
          <c:tx>
            <c:strRef>
              <c:f>Simulation!$N$2</c:f>
              <c:strCache>
                <c:ptCount val="1"/>
                <c:pt idx="0">
                  <c:v>P99</c:v>
                </c:pt>
              </c:strCache>
            </c:strRef>
          </c:tx>
          <c:spPr>
            <a:solidFill>
              <a:srgbClr val="C00000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Simulation!$N$3:$N$7</c:f>
              <c:numCache>
                <c:formatCode>General</c:formatCode>
                <c:ptCount val="5"/>
                <c:pt idx="0">
                  <c:v>-14.85</c:v>
                </c:pt>
                <c:pt idx="1">
                  <c:v>-17.66</c:v>
                </c:pt>
                <c:pt idx="2">
                  <c:v>-15.45</c:v>
                </c:pt>
                <c:pt idx="3">
                  <c:v>-19.55</c:v>
                </c:pt>
                <c:pt idx="4">
                  <c:v>-22.5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C6AB-494C-918F-AC9121179D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Project Year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Capture Price (EUR/MWh)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MC Simulation - DK1 P50/P90/P99 Capture Price Paths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Simulation!$C$1</c:f>
              <c:strCache>
                <c:ptCount val="1"/>
                <c:pt idx="0">
                  <c:v>mu_capture</c:v>
                </c:pt>
              </c:strCache>
            </c:strRef>
          </c:tx>
          <c:spPr>
            <a:ln>
              <a:solidFill>
                <a:srgbClr val="70AD47"/>
              </a:solidFill>
              <a:prstDash val="solid"/>
            </a:ln>
          </c:spPr>
          <c:marker>
            <c:symbol val="none"/>
          </c:marker>
          <c:val>
            <c:numRef>
              <c:f>Simulation!$C$2:$C$301</c:f>
              <c:numCache>
                <c:formatCode>General</c:formatCode>
                <c:ptCount val="300"/>
                <c:pt idx="0">
                  <c:v>64.879900000000006</c:v>
                </c:pt>
                <c:pt idx="1">
                  <c:v>64.845699999999994</c:v>
                </c:pt>
                <c:pt idx="2">
                  <c:v>64.811400000000006</c:v>
                </c:pt>
                <c:pt idx="3">
                  <c:v>64.777100000000004</c:v>
                </c:pt>
                <c:pt idx="4">
                  <c:v>64.742900000000006</c:v>
                </c:pt>
                <c:pt idx="5">
                  <c:v>64.708600000000004</c:v>
                </c:pt>
                <c:pt idx="6">
                  <c:v>64.674400000000006</c:v>
                </c:pt>
                <c:pt idx="7">
                  <c:v>64.640100000000004</c:v>
                </c:pt>
                <c:pt idx="8">
                  <c:v>64.605800000000002</c:v>
                </c:pt>
                <c:pt idx="9">
                  <c:v>64.571600000000004</c:v>
                </c:pt>
                <c:pt idx="10">
                  <c:v>64.537300000000002</c:v>
                </c:pt>
                <c:pt idx="11">
                  <c:v>64.503</c:v>
                </c:pt>
                <c:pt idx="12">
                  <c:v>64.468800000000002</c:v>
                </c:pt>
                <c:pt idx="13">
                  <c:v>64.4345</c:v>
                </c:pt>
                <c:pt idx="14">
                  <c:v>64.400300000000001</c:v>
                </c:pt>
                <c:pt idx="15">
                  <c:v>64.366</c:v>
                </c:pt>
                <c:pt idx="16">
                  <c:v>64.331699999999998</c:v>
                </c:pt>
                <c:pt idx="17">
                  <c:v>64.297499999999999</c:v>
                </c:pt>
                <c:pt idx="18">
                  <c:v>64.263199999999998</c:v>
                </c:pt>
                <c:pt idx="19">
                  <c:v>64.228999999999999</c:v>
                </c:pt>
                <c:pt idx="20">
                  <c:v>64.194699999999997</c:v>
                </c:pt>
                <c:pt idx="21">
                  <c:v>64.160399999999996</c:v>
                </c:pt>
                <c:pt idx="22">
                  <c:v>64.126199999999997</c:v>
                </c:pt>
                <c:pt idx="23">
                  <c:v>64.091899999999995</c:v>
                </c:pt>
                <c:pt idx="24">
                  <c:v>64.057599999999994</c:v>
                </c:pt>
                <c:pt idx="25">
                  <c:v>64.023399999999995</c:v>
                </c:pt>
                <c:pt idx="26">
                  <c:v>63.989100000000001</c:v>
                </c:pt>
                <c:pt idx="27">
                  <c:v>63.954900000000002</c:v>
                </c:pt>
                <c:pt idx="28">
                  <c:v>63.9206</c:v>
                </c:pt>
                <c:pt idx="29">
                  <c:v>63.886299999999999</c:v>
                </c:pt>
                <c:pt idx="30">
                  <c:v>63.8521</c:v>
                </c:pt>
                <c:pt idx="31">
                  <c:v>63.817799999999998</c:v>
                </c:pt>
                <c:pt idx="32">
                  <c:v>63.7836</c:v>
                </c:pt>
                <c:pt idx="33">
                  <c:v>63.749299999999998</c:v>
                </c:pt>
                <c:pt idx="34">
                  <c:v>63.715000000000003</c:v>
                </c:pt>
                <c:pt idx="35">
                  <c:v>63.680799999999998</c:v>
                </c:pt>
                <c:pt idx="36">
                  <c:v>63.646500000000003</c:v>
                </c:pt>
                <c:pt idx="37">
                  <c:v>63.612200000000001</c:v>
                </c:pt>
                <c:pt idx="38">
                  <c:v>63.578000000000003</c:v>
                </c:pt>
                <c:pt idx="39">
                  <c:v>63.543700000000001</c:v>
                </c:pt>
                <c:pt idx="40">
                  <c:v>63.509500000000003</c:v>
                </c:pt>
                <c:pt idx="41">
                  <c:v>63.475200000000001</c:v>
                </c:pt>
                <c:pt idx="42">
                  <c:v>63.440899999999999</c:v>
                </c:pt>
                <c:pt idx="43">
                  <c:v>63.406700000000001</c:v>
                </c:pt>
                <c:pt idx="44">
                  <c:v>63.372399999999999</c:v>
                </c:pt>
                <c:pt idx="45">
                  <c:v>63.338200000000001</c:v>
                </c:pt>
                <c:pt idx="46">
                  <c:v>63.303899999999999</c:v>
                </c:pt>
                <c:pt idx="47">
                  <c:v>63.269599999999997</c:v>
                </c:pt>
                <c:pt idx="48">
                  <c:v>63.235399999999998</c:v>
                </c:pt>
                <c:pt idx="49">
                  <c:v>63.201099999999997</c:v>
                </c:pt>
                <c:pt idx="50">
                  <c:v>63.166899999999998</c:v>
                </c:pt>
                <c:pt idx="51">
                  <c:v>63.132599999999996</c:v>
                </c:pt>
                <c:pt idx="52">
                  <c:v>63.098300000000002</c:v>
                </c:pt>
                <c:pt idx="53">
                  <c:v>63.064100000000003</c:v>
                </c:pt>
                <c:pt idx="54">
                  <c:v>63.029800000000002</c:v>
                </c:pt>
                <c:pt idx="55">
                  <c:v>62.9955</c:v>
                </c:pt>
                <c:pt idx="56">
                  <c:v>62.961300000000001</c:v>
                </c:pt>
                <c:pt idx="57">
                  <c:v>62.927</c:v>
                </c:pt>
                <c:pt idx="58">
                  <c:v>62.892800000000001</c:v>
                </c:pt>
                <c:pt idx="59">
                  <c:v>62.858499999999999</c:v>
                </c:pt>
                <c:pt idx="60">
                  <c:v>62.824199999999998</c:v>
                </c:pt>
                <c:pt idx="61">
                  <c:v>62.79</c:v>
                </c:pt>
                <c:pt idx="62">
                  <c:v>62.755699999999997</c:v>
                </c:pt>
                <c:pt idx="63">
                  <c:v>62.721499999999999</c:v>
                </c:pt>
                <c:pt idx="64">
                  <c:v>62.687199999999997</c:v>
                </c:pt>
                <c:pt idx="65">
                  <c:v>62.652900000000002</c:v>
                </c:pt>
                <c:pt idx="66">
                  <c:v>62.618699999999997</c:v>
                </c:pt>
                <c:pt idx="67">
                  <c:v>62.584400000000002</c:v>
                </c:pt>
                <c:pt idx="68">
                  <c:v>62.5501</c:v>
                </c:pt>
                <c:pt idx="69">
                  <c:v>62.515900000000002</c:v>
                </c:pt>
                <c:pt idx="70">
                  <c:v>62.4816</c:v>
                </c:pt>
                <c:pt idx="71">
                  <c:v>62.447400000000002</c:v>
                </c:pt>
                <c:pt idx="72">
                  <c:v>62.4131</c:v>
                </c:pt>
                <c:pt idx="73">
                  <c:v>62.378799999999998</c:v>
                </c:pt>
                <c:pt idx="74">
                  <c:v>62.3446</c:v>
                </c:pt>
                <c:pt idx="75">
                  <c:v>62.310299999999998</c:v>
                </c:pt>
                <c:pt idx="76">
                  <c:v>62.2761</c:v>
                </c:pt>
                <c:pt idx="77">
                  <c:v>62.241799999999998</c:v>
                </c:pt>
                <c:pt idx="78">
                  <c:v>62.207500000000003</c:v>
                </c:pt>
                <c:pt idx="79">
                  <c:v>62.173299999999998</c:v>
                </c:pt>
                <c:pt idx="80">
                  <c:v>62.139000000000003</c:v>
                </c:pt>
                <c:pt idx="81">
                  <c:v>62.104700000000001</c:v>
                </c:pt>
                <c:pt idx="82">
                  <c:v>62.070500000000003</c:v>
                </c:pt>
                <c:pt idx="83">
                  <c:v>62.036200000000001</c:v>
                </c:pt>
                <c:pt idx="84">
                  <c:v>62.002000000000002</c:v>
                </c:pt>
                <c:pt idx="85">
                  <c:v>61.967700000000001</c:v>
                </c:pt>
                <c:pt idx="86">
                  <c:v>61.933399999999999</c:v>
                </c:pt>
                <c:pt idx="87">
                  <c:v>61.8992</c:v>
                </c:pt>
                <c:pt idx="88">
                  <c:v>61.864899999999999</c:v>
                </c:pt>
                <c:pt idx="89">
                  <c:v>61.8307</c:v>
                </c:pt>
                <c:pt idx="90">
                  <c:v>61.796399999999998</c:v>
                </c:pt>
                <c:pt idx="91">
                  <c:v>61.762099999999997</c:v>
                </c:pt>
                <c:pt idx="92">
                  <c:v>61.727899999999998</c:v>
                </c:pt>
                <c:pt idx="93">
                  <c:v>61.693600000000004</c:v>
                </c:pt>
                <c:pt idx="94">
                  <c:v>61.659300000000002</c:v>
                </c:pt>
                <c:pt idx="95">
                  <c:v>61.625100000000003</c:v>
                </c:pt>
                <c:pt idx="96">
                  <c:v>61.590800000000002</c:v>
                </c:pt>
                <c:pt idx="97">
                  <c:v>61.556600000000003</c:v>
                </c:pt>
                <c:pt idx="98">
                  <c:v>61.522300000000001</c:v>
                </c:pt>
                <c:pt idx="99">
                  <c:v>61.488</c:v>
                </c:pt>
                <c:pt idx="100">
                  <c:v>61.453800000000001</c:v>
                </c:pt>
                <c:pt idx="101">
                  <c:v>61.419499999999999</c:v>
                </c:pt>
                <c:pt idx="102">
                  <c:v>61.385300000000001</c:v>
                </c:pt>
                <c:pt idx="103">
                  <c:v>61.350999999999999</c:v>
                </c:pt>
                <c:pt idx="104">
                  <c:v>61.316699999999997</c:v>
                </c:pt>
                <c:pt idx="105">
                  <c:v>61.282499999999999</c:v>
                </c:pt>
                <c:pt idx="106">
                  <c:v>61.248199999999997</c:v>
                </c:pt>
                <c:pt idx="107">
                  <c:v>61.213900000000002</c:v>
                </c:pt>
                <c:pt idx="108">
                  <c:v>61.179699999999997</c:v>
                </c:pt>
                <c:pt idx="109">
                  <c:v>61.145400000000002</c:v>
                </c:pt>
                <c:pt idx="110">
                  <c:v>61.111199999999997</c:v>
                </c:pt>
                <c:pt idx="111">
                  <c:v>61.076900000000002</c:v>
                </c:pt>
                <c:pt idx="112">
                  <c:v>61.0426</c:v>
                </c:pt>
                <c:pt idx="113">
                  <c:v>61.008400000000002</c:v>
                </c:pt>
                <c:pt idx="114">
                  <c:v>60.9741</c:v>
                </c:pt>
                <c:pt idx="115">
                  <c:v>60.939900000000002</c:v>
                </c:pt>
                <c:pt idx="116">
                  <c:v>60.9056</c:v>
                </c:pt>
                <c:pt idx="117">
                  <c:v>60.871299999999998</c:v>
                </c:pt>
                <c:pt idx="118">
                  <c:v>60.8371</c:v>
                </c:pt>
                <c:pt idx="119">
                  <c:v>60.802799999999998</c:v>
                </c:pt>
                <c:pt idx="120">
                  <c:v>60.768500000000003</c:v>
                </c:pt>
                <c:pt idx="121">
                  <c:v>60.734299999999998</c:v>
                </c:pt>
                <c:pt idx="122">
                  <c:v>60.7</c:v>
                </c:pt>
                <c:pt idx="123">
                  <c:v>60.665799999999997</c:v>
                </c:pt>
                <c:pt idx="124">
                  <c:v>60.631500000000003</c:v>
                </c:pt>
                <c:pt idx="125">
                  <c:v>60.597200000000001</c:v>
                </c:pt>
                <c:pt idx="126">
                  <c:v>60.563000000000002</c:v>
                </c:pt>
                <c:pt idx="127">
                  <c:v>60.528700000000001</c:v>
                </c:pt>
                <c:pt idx="128">
                  <c:v>60.494500000000002</c:v>
                </c:pt>
                <c:pt idx="129">
                  <c:v>60.4602</c:v>
                </c:pt>
                <c:pt idx="130">
                  <c:v>60.425899999999999</c:v>
                </c:pt>
                <c:pt idx="131">
                  <c:v>60.3917</c:v>
                </c:pt>
                <c:pt idx="132">
                  <c:v>60.357399999999998</c:v>
                </c:pt>
                <c:pt idx="133">
                  <c:v>60.323099999999997</c:v>
                </c:pt>
                <c:pt idx="134">
                  <c:v>60.288899999999998</c:v>
                </c:pt>
                <c:pt idx="135">
                  <c:v>60.254600000000003</c:v>
                </c:pt>
                <c:pt idx="136">
                  <c:v>60.220399999999998</c:v>
                </c:pt>
                <c:pt idx="137">
                  <c:v>60.186100000000003</c:v>
                </c:pt>
                <c:pt idx="138">
                  <c:v>60.151800000000001</c:v>
                </c:pt>
                <c:pt idx="139">
                  <c:v>60.117600000000003</c:v>
                </c:pt>
                <c:pt idx="140">
                  <c:v>60.083300000000001</c:v>
                </c:pt>
                <c:pt idx="141">
                  <c:v>60.049100000000003</c:v>
                </c:pt>
                <c:pt idx="142">
                  <c:v>60.014800000000001</c:v>
                </c:pt>
                <c:pt idx="143">
                  <c:v>59.980499999999999</c:v>
                </c:pt>
                <c:pt idx="144">
                  <c:v>59.946300000000001</c:v>
                </c:pt>
                <c:pt idx="145">
                  <c:v>59.911999999999999</c:v>
                </c:pt>
                <c:pt idx="146">
                  <c:v>59.877699999999997</c:v>
                </c:pt>
                <c:pt idx="147">
                  <c:v>59.843499999999999</c:v>
                </c:pt>
                <c:pt idx="148">
                  <c:v>59.809199999999997</c:v>
                </c:pt>
                <c:pt idx="149">
                  <c:v>59.774999999999999</c:v>
                </c:pt>
                <c:pt idx="150">
                  <c:v>59.740699999999997</c:v>
                </c:pt>
                <c:pt idx="151">
                  <c:v>59.706400000000002</c:v>
                </c:pt>
                <c:pt idx="152">
                  <c:v>59.672199999999997</c:v>
                </c:pt>
                <c:pt idx="153">
                  <c:v>59.637900000000002</c:v>
                </c:pt>
                <c:pt idx="154">
                  <c:v>59.603700000000003</c:v>
                </c:pt>
                <c:pt idx="155">
                  <c:v>59.569400000000002</c:v>
                </c:pt>
                <c:pt idx="156">
                  <c:v>59.5351</c:v>
                </c:pt>
                <c:pt idx="157">
                  <c:v>59.500900000000001</c:v>
                </c:pt>
                <c:pt idx="158">
                  <c:v>59.4666</c:v>
                </c:pt>
                <c:pt idx="159">
                  <c:v>59.432299999999998</c:v>
                </c:pt>
                <c:pt idx="160">
                  <c:v>59.398099999999999</c:v>
                </c:pt>
                <c:pt idx="161">
                  <c:v>59.363799999999998</c:v>
                </c:pt>
                <c:pt idx="162">
                  <c:v>59.329599999999999</c:v>
                </c:pt>
                <c:pt idx="163">
                  <c:v>59.295299999999997</c:v>
                </c:pt>
                <c:pt idx="164">
                  <c:v>59.261000000000003</c:v>
                </c:pt>
                <c:pt idx="165">
                  <c:v>59.226799999999997</c:v>
                </c:pt>
                <c:pt idx="166">
                  <c:v>59.192500000000003</c:v>
                </c:pt>
                <c:pt idx="167">
                  <c:v>59.158299999999997</c:v>
                </c:pt>
                <c:pt idx="168">
                  <c:v>59.124000000000002</c:v>
                </c:pt>
                <c:pt idx="169">
                  <c:v>59.089700000000001</c:v>
                </c:pt>
                <c:pt idx="170">
                  <c:v>59.055500000000002</c:v>
                </c:pt>
                <c:pt idx="171">
                  <c:v>59.0212</c:v>
                </c:pt>
                <c:pt idx="172">
                  <c:v>58.986899999999999</c:v>
                </c:pt>
                <c:pt idx="173">
                  <c:v>58.9527</c:v>
                </c:pt>
                <c:pt idx="174">
                  <c:v>58.918399999999998</c:v>
                </c:pt>
                <c:pt idx="175">
                  <c:v>58.8842</c:v>
                </c:pt>
                <c:pt idx="176">
                  <c:v>58.849899999999998</c:v>
                </c:pt>
                <c:pt idx="177">
                  <c:v>58.815600000000003</c:v>
                </c:pt>
                <c:pt idx="178">
                  <c:v>58.781399999999998</c:v>
                </c:pt>
                <c:pt idx="179">
                  <c:v>58.747100000000003</c:v>
                </c:pt>
                <c:pt idx="180">
                  <c:v>58.712899999999998</c:v>
                </c:pt>
                <c:pt idx="181">
                  <c:v>58.678600000000003</c:v>
                </c:pt>
                <c:pt idx="182">
                  <c:v>58.644300000000001</c:v>
                </c:pt>
                <c:pt idx="183">
                  <c:v>58.610100000000003</c:v>
                </c:pt>
                <c:pt idx="184">
                  <c:v>58.575800000000001</c:v>
                </c:pt>
                <c:pt idx="185">
                  <c:v>58.541499999999999</c:v>
                </c:pt>
                <c:pt idx="186">
                  <c:v>58.507300000000001</c:v>
                </c:pt>
                <c:pt idx="187">
                  <c:v>58.472999999999999</c:v>
                </c:pt>
                <c:pt idx="188">
                  <c:v>58.438800000000001</c:v>
                </c:pt>
                <c:pt idx="189">
                  <c:v>58.404499999999999</c:v>
                </c:pt>
                <c:pt idx="190">
                  <c:v>58.370199999999997</c:v>
                </c:pt>
                <c:pt idx="191">
                  <c:v>58.335999999999999</c:v>
                </c:pt>
                <c:pt idx="192">
                  <c:v>58.301699999999997</c:v>
                </c:pt>
                <c:pt idx="193">
                  <c:v>58.267499999999998</c:v>
                </c:pt>
                <c:pt idx="194">
                  <c:v>58.233199999999997</c:v>
                </c:pt>
                <c:pt idx="195">
                  <c:v>58.198900000000002</c:v>
                </c:pt>
                <c:pt idx="196">
                  <c:v>58.164700000000003</c:v>
                </c:pt>
                <c:pt idx="197">
                  <c:v>58.130400000000002</c:v>
                </c:pt>
                <c:pt idx="198">
                  <c:v>58.0961</c:v>
                </c:pt>
                <c:pt idx="199">
                  <c:v>58.061900000000001</c:v>
                </c:pt>
                <c:pt idx="200">
                  <c:v>58.0276</c:v>
                </c:pt>
                <c:pt idx="201">
                  <c:v>57.993400000000001</c:v>
                </c:pt>
                <c:pt idx="202">
                  <c:v>57.959099999999999</c:v>
                </c:pt>
                <c:pt idx="203">
                  <c:v>57.924799999999998</c:v>
                </c:pt>
                <c:pt idx="204">
                  <c:v>57.890599999999999</c:v>
                </c:pt>
                <c:pt idx="205">
                  <c:v>57.856299999999997</c:v>
                </c:pt>
                <c:pt idx="206">
                  <c:v>57.822099999999999</c:v>
                </c:pt>
                <c:pt idx="207">
                  <c:v>57.787799999999997</c:v>
                </c:pt>
                <c:pt idx="208">
                  <c:v>57.753500000000003</c:v>
                </c:pt>
                <c:pt idx="209">
                  <c:v>57.719299999999997</c:v>
                </c:pt>
                <c:pt idx="210">
                  <c:v>57.685000000000002</c:v>
                </c:pt>
                <c:pt idx="211">
                  <c:v>57.650700000000001</c:v>
                </c:pt>
                <c:pt idx="212">
                  <c:v>57.616500000000002</c:v>
                </c:pt>
                <c:pt idx="213">
                  <c:v>57.5822</c:v>
                </c:pt>
                <c:pt idx="214">
                  <c:v>57.548000000000002</c:v>
                </c:pt>
                <c:pt idx="215">
                  <c:v>57.5137</c:v>
                </c:pt>
                <c:pt idx="216">
                  <c:v>57.479399999999998</c:v>
                </c:pt>
                <c:pt idx="217">
                  <c:v>57.4452</c:v>
                </c:pt>
                <c:pt idx="218">
                  <c:v>57.410899999999998</c:v>
                </c:pt>
                <c:pt idx="219">
                  <c:v>57.3767</c:v>
                </c:pt>
                <c:pt idx="220">
                  <c:v>57.342399999999998</c:v>
                </c:pt>
                <c:pt idx="221">
                  <c:v>57.308100000000003</c:v>
                </c:pt>
                <c:pt idx="222">
                  <c:v>57.273899999999998</c:v>
                </c:pt>
                <c:pt idx="223">
                  <c:v>57.239600000000003</c:v>
                </c:pt>
                <c:pt idx="224">
                  <c:v>57.205300000000001</c:v>
                </c:pt>
                <c:pt idx="225">
                  <c:v>57.171100000000003</c:v>
                </c:pt>
                <c:pt idx="226">
                  <c:v>57.136800000000001</c:v>
                </c:pt>
                <c:pt idx="227">
                  <c:v>57.102600000000002</c:v>
                </c:pt>
                <c:pt idx="228">
                  <c:v>57.068300000000001</c:v>
                </c:pt>
                <c:pt idx="229">
                  <c:v>57.033999999999999</c:v>
                </c:pt>
                <c:pt idx="230">
                  <c:v>56.9998</c:v>
                </c:pt>
                <c:pt idx="231">
                  <c:v>56.965499999999999</c:v>
                </c:pt>
                <c:pt idx="232">
                  <c:v>56.9313</c:v>
                </c:pt>
                <c:pt idx="233">
                  <c:v>56.896999999999998</c:v>
                </c:pt>
                <c:pt idx="234">
                  <c:v>56.862699999999997</c:v>
                </c:pt>
                <c:pt idx="235">
                  <c:v>56.828499999999998</c:v>
                </c:pt>
                <c:pt idx="236">
                  <c:v>56.794199999999996</c:v>
                </c:pt>
                <c:pt idx="237">
                  <c:v>56.759900000000002</c:v>
                </c:pt>
                <c:pt idx="238">
                  <c:v>56.725700000000003</c:v>
                </c:pt>
                <c:pt idx="239">
                  <c:v>56.691400000000002</c:v>
                </c:pt>
                <c:pt idx="240">
                  <c:v>56.657200000000003</c:v>
                </c:pt>
                <c:pt idx="241">
                  <c:v>56.622900000000001</c:v>
                </c:pt>
                <c:pt idx="242">
                  <c:v>56.5886</c:v>
                </c:pt>
                <c:pt idx="243">
                  <c:v>56.554400000000001</c:v>
                </c:pt>
                <c:pt idx="244">
                  <c:v>56.520099999999999</c:v>
                </c:pt>
                <c:pt idx="245">
                  <c:v>56.485900000000001</c:v>
                </c:pt>
                <c:pt idx="246">
                  <c:v>56.451599999999999</c:v>
                </c:pt>
                <c:pt idx="247">
                  <c:v>56.417299999999997</c:v>
                </c:pt>
                <c:pt idx="248">
                  <c:v>56.383099999999999</c:v>
                </c:pt>
                <c:pt idx="249">
                  <c:v>56.348799999999997</c:v>
                </c:pt>
                <c:pt idx="250">
                  <c:v>56.314500000000002</c:v>
                </c:pt>
                <c:pt idx="251">
                  <c:v>56.280299999999997</c:v>
                </c:pt>
                <c:pt idx="252">
                  <c:v>56.246000000000002</c:v>
                </c:pt>
                <c:pt idx="253">
                  <c:v>56.211799999999997</c:v>
                </c:pt>
                <c:pt idx="254">
                  <c:v>56.177500000000002</c:v>
                </c:pt>
                <c:pt idx="255">
                  <c:v>56.1432</c:v>
                </c:pt>
                <c:pt idx="256">
                  <c:v>56.109000000000002</c:v>
                </c:pt>
                <c:pt idx="257">
                  <c:v>56.0747</c:v>
                </c:pt>
                <c:pt idx="258">
                  <c:v>56.040500000000002</c:v>
                </c:pt>
                <c:pt idx="259">
                  <c:v>56.0062</c:v>
                </c:pt>
                <c:pt idx="260">
                  <c:v>55.971899999999998</c:v>
                </c:pt>
                <c:pt idx="261">
                  <c:v>55.9377</c:v>
                </c:pt>
                <c:pt idx="262">
                  <c:v>55.903399999999998</c:v>
                </c:pt>
                <c:pt idx="263">
                  <c:v>55.869100000000003</c:v>
                </c:pt>
                <c:pt idx="264">
                  <c:v>55.834899999999998</c:v>
                </c:pt>
                <c:pt idx="265">
                  <c:v>55.800600000000003</c:v>
                </c:pt>
                <c:pt idx="266">
                  <c:v>55.766399999999997</c:v>
                </c:pt>
                <c:pt idx="267">
                  <c:v>55.732100000000003</c:v>
                </c:pt>
                <c:pt idx="268">
                  <c:v>55.697800000000001</c:v>
                </c:pt>
                <c:pt idx="269">
                  <c:v>55.663600000000002</c:v>
                </c:pt>
                <c:pt idx="270">
                  <c:v>55.629300000000001</c:v>
                </c:pt>
                <c:pt idx="271">
                  <c:v>55.595100000000002</c:v>
                </c:pt>
                <c:pt idx="272">
                  <c:v>55.5608</c:v>
                </c:pt>
                <c:pt idx="273">
                  <c:v>55.526499999999999</c:v>
                </c:pt>
                <c:pt idx="274">
                  <c:v>55.4923</c:v>
                </c:pt>
                <c:pt idx="275">
                  <c:v>55.457999999999998</c:v>
                </c:pt>
                <c:pt idx="276">
                  <c:v>55.423699999999997</c:v>
                </c:pt>
                <c:pt idx="277">
                  <c:v>55.389499999999998</c:v>
                </c:pt>
                <c:pt idx="278">
                  <c:v>55.355200000000004</c:v>
                </c:pt>
                <c:pt idx="279">
                  <c:v>55.320999999999998</c:v>
                </c:pt>
                <c:pt idx="280">
                  <c:v>55.286700000000003</c:v>
                </c:pt>
                <c:pt idx="281">
                  <c:v>55.252400000000002</c:v>
                </c:pt>
                <c:pt idx="282">
                  <c:v>55.218200000000003</c:v>
                </c:pt>
                <c:pt idx="283">
                  <c:v>55.183900000000001</c:v>
                </c:pt>
                <c:pt idx="284">
                  <c:v>55.149700000000003</c:v>
                </c:pt>
                <c:pt idx="285">
                  <c:v>55.115400000000001</c:v>
                </c:pt>
                <c:pt idx="286">
                  <c:v>55.081099999999999</c:v>
                </c:pt>
                <c:pt idx="287">
                  <c:v>55.046900000000001</c:v>
                </c:pt>
                <c:pt idx="288">
                  <c:v>55.012599999999999</c:v>
                </c:pt>
                <c:pt idx="289">
                  <c:v>54.978299999999997</c:v>
                </c:pt>
                <c:pt idx="290">
                  <c:v>54.944099999999999</c:v>
                </c:pt>
                <c:pt idx="291">
                  <c:v>54.909799999999997</c:v>
                </c:pt>
                <c:pt idx="292">
                  <c:v>54.875599999999999</c:v>
                </c:pt>
                <c:pt idx="293">
                  <c:v>54.841299999999997</c:v>
                </c:pt>
                <c:pt idx="294">
                  <c:v>54.807000000000002</c:v>
                </c:pt>
                <c:pt idx="295">
                  <c:v>54.772799999999997</c:v>
                </c:pt>
                <c:pt idx="296">
                  <c:v>54.738500000000002</c:v>
                </c:pt>
                <c:pt idx="297">
                  <c:v>54.704300000000003</c:v>
                </c:pt>
                <c:pt idx="298">
                  <c:v>54.67</c:v>
                </c:pt>
                <c:pt idx="299">
                  <c:v>54.6357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A8B-AD4A-A152-53A109EF08C6}"/>
            </c:ext>
          </c:extLst>
        </c:ser>
        <c:ser>
          <c:idx val="1"/>
          <c:order val="1"/>
          <c:tx>
            <c:strRef>
              <c:f>Simulation!$D$1</c:f>
              <c:strCache>
                <c:ptCount val="1"/>
                <c:pt idx="0">
                  <c:v>P50</c:v>
                </c:pt>
              </c:strCache>
            </c:strRef>
          </c:tx>
          <c:spPr>
            <a:ln>
              <a:solidFill>
                <a:srgbClr val="2E75B6"/>
              </a:solidFill>
              <a:prstDash val="solid"/>
            </a:ln>
          </c:spPr>
          <c:marker>
            <c:symbol val="none"/>
          </c:marker>
          <c:val>
            <c:numRef>
              <c:f>Simulation!$D$2:$D$301</c:f>
              <c:numCache>
                <c:formatCode>General</c:formatCode>
                <c:ptCount val="300"/>
                <c:pt idx="0">
                  <c:v>68.294700000000006</c:v>
                </c:pt>
                <c:pt idx="1">
                  <c:v>67.801400000000001</c:v>
                </c:pt>
                <c:pt idx="2">
                  <c:v>67.715999999999994</c:v>
                </c:pt>
                <c:pt idx="3">
                  <c:v>67.0428</c:v>
                </c:pt>
                <c:pt idx="4">
                  <c:v>66.609099999999998</c:v>
                </c:pt>
                <c:pt idx="5">
                  <c:v>66.600399999999993</c:v>
                </c:pt>
                <c:pt idx="6">
                  <c:v>66.359899999999996</c:v>
                </c:pt>
                <c:pt idx="7">
                  <c:v>66.120599999999996</c:v>
                </c:pt>
                <c:pt idx="8">
                  <c:v>65.930499999999995</c:v>
                </c:pt>
                <c:pt idx="9">
                  <c:v>65.783900000000003</c:v>
                </c:pt>
                <c:pt idx="10">
                  <c:v>65.383499999999998</c:v>
                </c:pt>
                <c:pt idx="11">
                  <c:v>65.496399999999994</c:v>
                </c:pt>
                <c:pt idx="12">
                  <c:v>65.425899999999999</c:v>
                </c:pt>
                <c:pt idx="13">
                  <c:v>65.316800000000001</c:v>
                </c:pt>
                <c:pt idx="14">
                  <c:v>65.312399999999997</c:v>
                </c:pt>
                <c:pt idx="15">
                  <c:v>65.4709</c:v>
                </c:pt>
                <c:pt idx="16">
                  <c:v>65.074100000000001</c:v>
                </c:pt>
                <c:pt idx="17">
                  <c:v>65.384500000000003</c:v>
                </c:pt>
                <c:pt idx="18">
                  <c:v>65.383700000000005</c:v>
                </c:pt>
                <c:pt idx="19">
                  <c:v>64.921000000000006</c:v>
                </c:pt>
                <c:pt idx="20">
                  <c:v>64.671899999999994</c:v>
                </c:pt>
                <c:pt idx="21">
                  <c:v>64.665899999999993</c:v>
                </c:pt>
                <c:pt idx="22">
                  <c:v>64.580600000000004</c:v>
                </c:pt>
                <c:pt idx="23">
                  <c:v>64.753</c:v>
                </c:pt>
                <c:pt idx="24">
                  <c:v>64.5184</c:v>
                </c:pt>
                <c:pt idx="25">
                  <c:v>63.940199999999997</c:v>
                </c:pt>
                <c:pt idx="26">
                  <c:v>64.051199999999994</c:v>
                </c:pt>
                <c:pt idx="27">
                  <c:v>63.356000000000002</c:v>
                </c:pt>
                <c:pt idx="28">
                  <c:v>63.492600000000003</c:v>
                </c:pt>
                <c:pt idx="29">
                  <c:v>63.8812</c:v>
                </c:pt>
                <c:pt idx="30">
                  <c:v>63.822800000000001</c:v>
                </c:pt>
                <c:pt idx="31">
                  <c:v>63.611600000000003</c:v>
                </c:pt>
                <c:pt idx="32">
                  <c:v>63.688200000000002</c:v>
                </c:pt>
                <c:pt idx="33">
                  <c:v>63.705100000000002</c:v>
                </c:pt>
                <c:pt idx="34">
                  <c:v>63.259900000000002</c:v>
                </c:pt>
                <c:pt idx="35">
                  <c:v>63.463799999999999</c:v>
                </c:pt>
                <c:pt idx="36">
                  <c:v>63.579099999999997</c:v>
                </c:pt>
                <c:pt idx="37">
                  <c:v>63.822000000000003</c:v>
                </c:pt>
                <c:pt idx="38">
                  <c:v>63.89</c:v>
                </c:pt>
                <c:pt idx="39">
                  <c:v>64.002600000000001</c:v>
                </c:pt>
                <c:pt idx="40">
                  <c:v>63.587200000000003</c:v>
                </c:pt>
                <c:pt idx="41">
                  <c:v>63.627299999999998</c:v>
                </c:pt>
                <c:pt idx="42">
                  <c:v>63.357300000000002</c:v>
                </c:pt>
                <c:pt idx="43">
                  <c:v>62.892000000000003</c:v>
                </c:pt>
                <c:pt idx="44">
                  <c:v>63.613100000000003</c:v>
                </c:pt>
                <c:pt idx="45">
                  <c:v>63.198</c:v>
                </c:pt>
                <c:pt idx="46">
                  <c:v>63.062399999999997</c:v>
                </c:pt>
                <c:pt idx="47">
                  <c:v>62.844999999999999</c:v>
                </c:pt>
                <c:pt idx="48">
                  <c:v>62.6145</c:v>
                </c:pt>
                <c:pt idx="49">
                  <c:v>63.1053</c:v>
                </c:pt>
                <c:pt idx="50">
                  <c:v>62.860199999999999</c:v>
                </c:pt>
                <c:pt idx="51">
                  <c:v>62.910299999999999</c:v>
                </c:pt>
                <c:pt idx="52">
                  <c:v>62.301600000000001</c:v>
                </c:pt>
                <c:pt idx="53">
                  <c:v>62.481200000000001</c:v>
                </c:pt>
                <c:pt idx="54">
                  <c:v>62.362000000000002</c:v>
                </c:pt>
                <c:pt idx="55">
                  <c:v>62.566400000000002</c:v>
                </c:pt>
                <c:pt idx="56">
                  <c:v>62.761299999999999</c:v>
                </c:pt>
                <c:pt idx="57">
                  <c:v>63.337400000000002</c:v>
                </c:pt>
                <c:pt idx="58">
                  <c:v>62.783299999999997</c:v>
                </c:pt>
                <c:pt idx="59">
                  <c:v>62.422600000000003</c:v>
                </c:pt>
                <c:pt idx="60">
                  <c:v>62.588099999999997</c:v>
                </c:pt>
                <c:pt idx="61">
                  <c:v>62.356499999999997</c:v>
                </c:pt>
                <c:pt idx="62">
                  <c:v>62.613300000000002</c:v>
                </c:pt>
                <c:pt idx="63">
                  <c:v>62.583500000000001</c:v>
                </c:pt>
                <c:pt idx="64">
                  <c:v>63.014600000000002</c:v>
                </c:pt>
                <c:pt idx="65">
                  <c:v>62.804200000000002</c:v>
                </c:pt>
                <c:pt idx="66">
                  <c:v>62.8996</c:v>
                </c:pt>
                <c:pt idx="67">
                  <c:v>62.928100000000001</c:v>
                </c:pt>
                <c:pt idx="68">
                  <c:v>62.620800000000003</c:v>
                </c:pt>
                <c:pt idx="69">
                  <c:v>62.820099999999996</c:v>
                </c:pt>
                <c:pt idx="70">
                  <c:v>63.287399999999998</c:v>
                </c:pt>
                <c:pt idx="71">
                  <c:v>63.168700000000001</c:v>
                </c:pt>
                <c:pt idx="72">
                  <c:v>62.891599999999997</c:v>
                </c:pt>
                <c:pt idx="73">
                  <c:v>62.721299999999999</c:v>
                </c:pt>
                <c:pt idx="74">
                  <c:v>62.930500000000002</c:v>
                </c:pt>
                <c:pt idx="75">
                  <c:v>62.6355</c:v>
                </c:pt>
                <c:pt idx="76">
                  <c:v>62.648899999999998</c:v>
                </c:pt>
                <c:pt idx="77">
                  <c:v>62.814100000000003</c:v>
                </c:pt>
                <c:pt idx="78">
                  <c:v>63.0745</c:v>
                </c:pt>
                <c:pt idx="79">
                  <c:v>62.987400000000001</c:v>
                </c:pt>
                <c:pt idx="80">
                  <c:v>62.477699999999999</c:v>
                </c:pt>
                <c:pt idx="81">
                  <c:v>62.520099999999999</c:v>
                </c:pt>
                <c:pt idx="82">
                  <c:v>62.274299999999997</c:v>
                </c:pt>
                <c:pt idx="83">
                  <c:v>62.398000000000003</c:v>
                </c:pt>
                <c:pt idx="84">
                  <c:v>62.176699999999997</c:v>
                </c:pt>
                <c:pt idx="85">
                  <c:v>62.078299999999999</c:v>
                </c:pt>
                <c:pt idx="86">
                  <c:v>61.882800000000003</c:v>
                </c:pt>
                <c:pt idx="87">
                  <c:v>61.758800000000001</c:v>
                </c:pt>
                <c:pt idx="88">
                  <c:v>62.489800000000002</c:v>
                </c:pt>
                <c:pt idx="89">
                  <c:v>62.011600000000001</c:v>
                </c:pt>
                <c:pt idx="90">
                  <c:v>61.820099999999996</c:v>
                </c:pt>
                <c:pt idx="91">
                  <c:v>61.529000000000003</c:v>
                </c:pt>
                <c:pt idx="92">
                  <c:v>61.644199999999998</c:v>
                </c:pt>
                <c:pt idx="93">
                  <c:v>61.483800000000002</c:v>
                </c:pt>
                <c:pt idx="94">
                  <c:v>61.343000000000004</c:v>
                </c:pt>
                <c:pt idx="95">
                  <c:v>60.9542</c:v>
                </c:pt>
                <c:pt idx="96">
                  <c:v>60.433999999999997</c:v>
                </c:pt>
                <c:pt idx="97">
                  <c:v>60.3001</c:v>
                </c:pt>
                <c:pt idx="98">
                  <c:v>60.472999999999999</c:v>
                </c:pt>
                <c:pt idx="99">
                  <c:v>60.869599999999998</c:v>
                </c:pt>
                <c:pt idx="100">
                  <c:v>60.967199999999998</c:v>
                </c:pt>
                <c:pt idx="101">
                  <c:v>60.7791</c:v>
                </c:pt>
                <c:pt idx="102">
                  <c:v>61.364400000000003</c:v>
                </c:pt>
                <c:pt idx="103">
                  <c:v>61.255400000000002</c:v>
                </c:pt>
                <c:pt idx="104">
                  <c:v>61.037399999999998</c:v>
                </c:pt>
                <c:pt idx="105">
                  <c:v>61.084000000000003</c:v>
                </c:pt>
                <c:pt idx="106">
                  <c:v>61.1586</c:v>
                </c:pt>
                <c:pt idx="107">
                  <c:v>61.577399999999997</c:v>
                </c:pt>
                <c:pt idx="108">
                  <c:v>61.240200000000002</c:v>
                </c:pt>
                <c:pt idx="109">
                  <c:v>61.502299999999998</c:v>
                </c:pt>
                <c:pt idx="110">
                  <c:v>60.835599999999999</c:v>
                </c:pt>
                <c:pt idx="111">
                  <c:v>61.0535</c:v>
                </c:pt>
                <c:pt idx="112">
                  <c:v>60.529499999999999</c:v>
                </c:pt>
                <c:pt idx="113">
                  <c:v>60.994</c:v>
                </c:pt>
                <c:pt idx="114">
                  <c:v>60.7776</c:v>
                </c:pt>
                <c:pt idx="115">
                  <c:v>60.989199999999997</c:v>
                </c:pt>
                <c:pt idx="116">
                  <c:v>60.859000000000002</c:v>
                </c:pt>
                <c:pt idx="117">
                  <c:v>60.968400000000003</c:v>
                </c:pt>
                <c:pt idx="118">
                  <c:v>60.726399999999998</c:v>
                </c:pt>
                <c:pt idx="119">
                  <c:v>60.670499999999997</c:v>
                </c:pt>
                <c:pt idx="120">
                  <c:v>61.146299999999997</c:v>
                </c:pt>
                <c:pt idx="121">
                  <c:v>61.206400000000002</c:v>
                </c:pt>
                <c:pt idx="122">
                  <c:v>61.753700000000002</c:v>
                </c:pt>
                <c:pt idx="123">
                  <c:v>61.686599999999999</c:v>
                </c:pt>
                <c:pt idx="124">
                  <c:v>60.947600000000001</c:v>
                </c:pt>
                <c:pt idx="125">
                  <c:v>60.886899999999997</c:v>
                </c:pt>
                <c:pt idx="126">
                  <c:v>60.445799999999998</c:v>
                </c:pt>
                <c:pt idx="127">
                  <c:v>60.150300000000001</c:v>
                </c:pt>
                <c:pt idx="128">
                  <c:v>60.156999999999996</c:v>
                </c:pt>
                <c:pt idx="129">
                  <c:v>60.278799999999997</c:v>
                </c:pt>
                <c:pt idx="130">
                  <c:v>59.587400000000002</c:v>
                </c:pt>
                <c:pt idx="131">
                  <c:v>59.313600000000001</c:v>
                </c:pt>
                <c:pt idx="132">
                  <c:v>59.377499999999998</c:v>
                </c:pt>
                <c:pt idx="133">
                  <c:v>59.407899999999998</c:v>
                </c:pt>
                <c:pt idx="134">
                  <c:v>59.741799999999998</c:v>
                </c:pt>
                <c:pt idx="135">
                  <c:v>59.462400000000002</c:v>
                </c:pt>
                <c:pt idx="136">
                  <c:v>59.789299999999997</c:v>
                </c:pt>
                <c:pt idx="137">
                  <c:v>59.872399999999999</c:v>
                </c:pt>
                <c:pt idx="138">
                  <c:v>59.916400000000003</c:v>
                </c:pt>
                <c:pt idx="139">
                  <c:v>60.414400000000001</c:v>
                </c:pt>
                <c:pt idx="140">
                  <c:v>60.186</c:v>
                </c:pt>
                <c:pt idx="141">
                  <c:v>60.031100000000002</c:v>
                </c:pt>
                <c:pt idx="142">
                  <c:v>60.125399999999999</c:v>
                </c:pt>
                <c:pt idx="143">
                  <c:v>59.919600000000003</c:v>
                </c:pt>
                <c:pt idx="144">
                  <c:v>59.594900000000003</c:v>
                </c:pt>
                <c:pt idx="145">
                  <c:v>59.667400000000001</c:v>
                </c:pt>
                <c:pt idx="146">
                  <c:v>59.491300000000003</c:v>
                </c:pt>
                <c:pt idx="147">
                  <c:v>59.798499999999997</c:v>
                </c:pt>
                <c:pt idx="148">
                  <c:v>60.2316</c:v>
                </c:pt>
                <c:pt idx="149">
                  <c:v>60.200200000000002</c:v>
                </c:pt>
                <c:pt idx="150">
                  <c:v>59.999000000000002</c:v>
                </c:pt>
                <c:pt idx="151">
                  <c:v>59.941400000000002</c:v>
                </c:pt>
                <c:pt idx="152">
                  <c:v>60.151600000000002</c:v>
                </c:pt>
                <c:pt idx="153">
                  <c:v>60.090600000000002</c:v>
                </c:pt>
                <c:pt idx="154">
                  <c:v>59.853000000000002</c:v>
                </c:pt>
                <c:pt idx="155">
                  <c:v>59.837600000000002</c:v>
                </c:pt>
                <c:pt idx="156">
                  <c:v>59.904000000000003</c:v>
                </c:pt>
                <c:pt idx="157">
                  <c:v>60.064399999999999</c:v>
                </c:pt>
                <c:pt idx="158">
                  <c:v>60.2468</c:v>
                </c:pt>
                <c:pt idx="159">
                  <c:v>59.739600000000003</c:v>
                </c:pt>
                <c:pt idx="160">
                  <c:v>59.525199999999998</c:v>
                </c:pt>
                <c:pt idx="161">
                  <c:v>59.8279</c:v>
                </c:pt>
                <c:pt idx="162">
                  <c:v>59.814599999999999</c:v>
                </c:pt>
                <c:pt idx="163">
                  <c:v>59.204599999999999</c:v>
                </c:pt>
                <c:pt idx="164">
                  <c:v>59.776600000000002</c:v>
                </c:pt>
                <c:pt idx="165">
                  <c:v>59.235399999999998</c:v>
                </c:pt>
                <c:pt idx="166">
                  <c:v>59.460599999999999</c:v>
                </c:pt>
                <c:pt idx="167">
                  <c:v>59.320799999999998</c:v>
                </c:pt>
                <c:pt idx="168">
                  <c:v>59.476599999999998</c:v>
                </c:pt>
                <c:pt idx="169">
                  <c:v>59.312100000000001</c:v>
                </c:pt>
                <c:pt idx="170">
                  <c:v>59.968200000000003</c:v>
                </c:pt>
                <c:pt idx="171">
                  <c:v>59.154899999999998</c:v>
                </c:pt>
                <c:pt idx="172">
                  <c:v>59.2273</c:v>
                </c:pt>
                <c:pt idx="173">
                  <c:v>58.9161</c:v>
                </c:pt>
                <c:pt idx="174">
                  <c:v>58.901699999999998</c:v>
                </c:pt>
                <c:pt idx="175">
                  <c:v>58.7956</c:v>
                </c:pt>
                <c:pt idx="176">
                  <c:v>58.636499999999998</c:v>
                </c:pt>
                <c:pt idx="177">
                  <c:v>58.411799999999999</c:v>
                </c:pt>
                <c:pt idx="178">
                  <c:v>59.124600000000001</c:v>
                </c:pt>
                <c:pt idx="179">
                  <c:v>58.524299999999997</c:v>
                </c:pt>
                <c:pt idx="180">
                  <c:v>58.806399999999996</c:v>
                </c:pt>
                <c:pt idx="181">
                  <c:v>58.637</c:v>
                </c:pt>
                <c:pt idx="182">
                  <c:v>58.421100000000003</c:v>
                </c:pt>
                <c:pt idx="183">
                  <c:v>58.748800000000003</c:v>
                </c:pt>
                <c:pt idx="184">
                  <c:v>58.416600000000003</c:v>
                </c:pt>
                <c:pt idx="185">
                  <c:v>58.813800000000001</c:v>
                </c:pt>
                <c:pt idx="186">
                  <c:v>59.0899</c:v>
                </c:pt>
                <c:pt idx="187">
                  <c:v>59.006</c:v>
                </c:pt>
                <c:pt idx="188">
                  <c:v>59.099899999999998</c:v>
                </c:pt>
                <c:pt idx="189">
                  <c:v>58.677100000000003</c:v>
                </c:pt>
                <c:pt idx="190">
                  <c:v>58.001899999999999</c:v>
                </c:pt>
                <c:pt idx="191">
                  <c:v>58.121000000000002</c:v>
                </c:pt>
                <c:pt idx="192">
                  <c:v>58.175899999999999</c:v>
                </c:pt>
                <c:pt idx="193">
                  <c:v>58.313699999999997</c:v>
                </c:pt>
                <c:pt idx="194">
                  <c:v>58.316499999999998</c:v>
                </c:pt>
                <c:pt idx="195">
                  <c:v>59.061999999999998</c:v>
                </c:pt>
                <c:pt idx="196">
                  <c:v>58.623699999999999</c:v>
                </c:pt>
                <c:pt idx="197">
                  <c:v>58.728400000000001</c:v>
                </c:pt>
                <c:pt idx="198">
                  <c:v>58.811399999999999</c:v>
                </c:pt>
                <c:pt idx="199">
                  <c:v>58.820300000000003</c:v>
                </c:pt>
                <c:pt idx="200">
                  <c:v>59.194299999999998</c:v>
                </c:pt>
                <c:pt idx="201">
                  <c:v>58.099200000000003</c:v>
                </c:pt>
                <c:pt idx="202">
                  <c:v>57.761600000000001</c:v>
                </c:pt>
                <c:pt idx="203">
                  <c:v>58.112400000000001</c:v>
                </c:pt>
                <c:pt idx="204">
                  <c:v>58.2211</c:v>
                </c:pt>
                <c:pt idx="205">
                  <c:v>57.723199999999999</c:v>
                </c:pt>
                <c:pt idx="206">
                  <c:v>57.688400000000001</c:v>
                </c:pt>
                <c:pt idx="207">
                  <c:v>57.740200000000002</c:v>
                </c:pt>
                <c:pt idx="208">
                  <c:v>57.661700000000003</c:v>
                </c:pt>
                <c:pt idx="209">
                  <c:v>57.849299999999999</c:v>
                </c:pt>
                <c:pt idx="210">
                  <c:v>57.866100000000003</c:v>
                </c:pt>
                <c:pt idx="211">
                  <c:v>57.361600000000003</c:v>
                </c:pt>
                <c:pt idx="212">
                  <c:v>57.889800000000001</c:v>
                </c:pt>
                <c:pt idx="213">
                  <c:v>57.627899999999997</c:v>
                </c:pt>
                <c:pt idx="214">
                  <c:v>57.475099999999998</c:v>
                </c:pt>
                <c:pt idx="215">
                  <c:v>57.366199999999999</c:v>
                </c:pt>
                <c:pt idx="216">
                  <c:v>57.380899999999997</c:v>
                </c:pt>
                <c:pt idx="217">
                  <c:v>57.518000000000001</c:v>
                </c:pt>
                <c:pt idx="218">
                  <c:v>57.335099999999997</c:v>
                </c:pt>
                <c:pt idx="219">
                  <c:v>57.778300000000002</c:v>
                </c:pt>
                <c:pt idx="220">
                  <c:v>57.755600000000001</c:v>
                </c:pt>
                <c:pt idx="221">
                  <c:v>57.5916</c:v>
                </c:pt>
                <c:pt idx="222">
                  <c:v>57.982799999999997</c:v>
                </c:pt>
                <c:pt idx="223">
                  <c:v>58.2971</c:v>
                </c:pt>
                <c:pt idx="224">
                  <c:v>58.331000000000003</c:v>
                </c:pt>
                <c:pt idx="225">
                  <c:v>58.040999999999997</c:v>
                </c:pt>
                <c:pt idx="226">
                  <c:v>57.454799999999999</c:v>
                </c:pt>
                <c:pt idx="227">
                  <c:v>57.5411</c:v>
                </c:pt>
                <c:pt idx="228">
                  <c:v>57.635800000000003</c:v>
                </c:pt>
                <c:pt idx="229">
                  <c:v>57.844799999999999</c:v>
                </c:pt>
                <c:pt idx="230">
                  <c:v>57.862699999999997</c:v>
                </c:pt>
                <c:pt idx="231">
                  <c:v>57.587800000000001</c:v>
                </c:pt>
                <c:pt idx="232">
                  <c:v>57.799300000000002</c:v>
                </c:pt>
                <c:pt idx="233">
                  <c:v>57.183799999999998</c:v>
                </c:pt>
                <c:pt idx="234">
                  <c:v>57.244700000000002</c:v>
                </c:pt>
                <c:pt idx="235">
                  <c:v>57.238900000000001</c:v>
                </c:pt>
                <c:pt idx="236">
                  <c:v>57.369300000000003</c:v>
                </c:pt>
                <c:pt idx="237">
                  <c:v>57.975200000000001</c:v>
                </c:pt>
                <c:pt idx="238">
                  <c:v>57.563200000000002</c:v>
                </c:pt>
                <c:pt idx="239">
                  <c:v>57.431699999999999</c:v>
                </c:pt>
                <c:pt idx="240">
                  <c:v>57.059800000000003</c:v>
                </c:pt>
                <c:pt idx="241">
                  <c:v>57.019500000000001</c:v>
                </c:pt>
                <c:pt idx="242">
                  <c:v>57.063699999999997</c:v>
                </c:pt>
                <c:pt idx="243">
                  <c:v>57.352400000000003</c:v>
                </c:pt>
                <c:pt idx="244">
                  <c:v>57.4925</c:v>
                </c:pt>
                <c:pt idx="245">
                  <c:v>56.979799999999997</c:v>
                </c:pt>
                <c:pt idx="246">
                  <c:v>57.054400000000001</c:v>
                </c:pt>
                <c:pt idx="247">
                  <c:v>56.621000000000002</c:v>
                </c:pt>
                <c:pt idx="248">
                  <c:v>56.545400000000001</c:v>
                </c:pt>
                <c:pt idx="249">
                  <c:v>56.317799999999998</c:v>
                </c:pt>
                <c:pt idx="250">
                  <c:v>56.343299999999999</c:v>
                </c:pt>
                <c:pt idx="251">
                  <c:v>56.133899999999997</c:v>
                </c:pt>
                <c:pt idx="252">
                  <c:v>56.307299999999998</c:v>
                </c:pt>
                <c:pt idx="253">
                  <c:v>56.3294</c:v>
                </c:pt>
                <c:pt idx="254">
                  <c:v>56.040100000000002</c:v>
                </c:pt>
                <c:pt idx="255">
                  <c:v>55.600900000000003</c:v>
                </c:pt>
                <c:pt idx="256">
                  <c:v>55.866799999999998</c:v>
                </c:pt>
                <c:pt idx="257">
                  <c:v>56.117699999999999</c:v>
                </c:pt>
                <c:pt idx="258">
                  <c:v>56.387900000000002</c:v>
                </c:pt>
                <c:pt idx="259">
                  <c:v>56.37</c:v>
                </c:pt>
                <c:pt idx="260">
                  <c:v>56.283799999999999</c:v>
                </c:pt>
                <c:pt idx="261">
                  <c:v>56.153399999999998</c:v>
                </c:pt>
                <c:pt idx="262">
                  <c:v>55.9422</c:v>
                </c:pt>
                <c:pt idx="263">
                  <c:v>56.049100000000003</c:v>
                </c:pt>
                <c:pt idx="264">
                  <c:v>56.027000000000001</c:v>
                </c:pt>
                <c:pt idx="265">
                  <c:v>56.292099999999998</c:v>
                </c:pt>
                <c:pt idx="266">
                  <c:v>56.020099999999999</c:v>
                </c:pt>
                <c:pt idx="267">
                  <c:v>55.575099999999999</c:v>
                </c:pt>
                <c:pt idx="268">
                  <c:v>55.430799999999998</c:v>
                </c:pt>
                <c:pt idx="269">
                  <c:v>55.918999999999997</c:v>
                </c:pt>
                <c:pt idx="270">
                  <c:v>55.1798</c:v>
                </c:pt>
                <c:pt idx="271">
                  <c:v>55.441099999999999</c:v>
                </c:pt>
                <c:pt idx="272">
                  <c:v>55.448999999999998</c:v>
                </c:pt>
                <c:pt idx="273">
                  <c:v>54.765999999999998</c:v>
                </c:pt>
                <c:pt idx="274">
                  <c:v>54.488</c:v>
                </c:pt>
                <c:pt idx="275">
                  <c:v>54.8748</c:v>
                </c:pt>
                <c:pt idx="276">
                  <c:v>54.854999999999997</c:v>
                </c:pt>
                <c:pt idx="277">
                  <c:v>54.994700000000002</c:v>
                </c:pt>
                <c:pt idx="278">
                  <c:v>55.0124</c:v>
                </c:pt>
                <c:pt idx="279">
                  <c:v>55.299900000000001</c:v>
                </c:pt>
                <c:pt idx="280">
                  <c:v>55.047499999999999</c:v>
                </c:pt>
                <c:pt idx="281">
                  <c:v>54.958300000000001</c:v>
                </c:pt>
                <c:pt idx="282">
                  <c:v>55.636099999999999</c:v>
                </c:pt>
                <c:pt idx="283">
                  <c:v>55.528500000000001</c:v>
                </c:pt>
                <c:pt idx="284">
                  <c:v>55.348599999999998</c:v>
                </c:pt>
                <c:pt idx="285">
                  <c:v>54.8767</c:v>
                </c:pt>
                <c:pt idx="286">
                  <c:v>54.9223</c:v>
                </c:pt>
                <c:pt idx="287">
                  <c:v>55.137</c:v>
                </c:pt>
                <c:pt idx="288">
                  <c:v>55.7804</c:v>
                </c:pt>
                <c:pt idx="289">
                  <c:v>55.0518</c:v>
                </c:pt>
                <c:pt idx="290">
                  <c:v>55.185499999999998</c:v>
                </c:pt>
                <c:pt idx="291">
                  <c:v>55.273200000000003</c:v>
                </c:pt>
                <c:pt idx="292">
                  <c:v>54.8977</c:v>
                </c:pt>
                <c:pt idx="293">
                  <c:v>55.2318</c:v>
                </c:pt>
                <c:pt idx="294">
                  <c:v>55.400799999999997</c:v>
                </c:pt>
                <c:pt idx="295">
                  <c:v>55.449399999999997</c:v>
                </c:pt>
                <c:pt idx="296">
                  <c:v>55.0685</c:v>
                </c:pt>
                <c:pt idx="297">
                  <c:v>55.167099999999998</c:v>
                </c:pt>
                <c:pt idx="298">
                  <c:v>55.203600000000002</c:v>
                </c:pt>
                <c:pt idx="299">
                  <c:v>54.787700000000001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A8B-AD4A-A152-53A109EF08C6}"/>
            </c:ext>
          </c:extLst>
        </c:ser>
        <c:ser>
          <c:idx val="2"/>
          <c:order val="2"/>
          <c:tx>
            <c:strRef>
              <c:f>Simulation!$F$1</c:f>
              <c:strCache>
                <c:ptCount val="1"/>
                <c:pt idx="0">
                  <c:v>P90</c:v>
                </c:pt>
              </c:strCache>
            </c:strRef>
          </c:tx>
          <c:spPr>
            <a:ln>
              <a:solidFill>
                <a:srgbClr val="FF8C00"/>
              </a:solidFill>
              <a:prstDash val="solid"/>
            </a:ln>
          </c:spPr>
          <c:marker>
            <c:symbol val="none"/>
          </c:marker>
          <c:val>
            <c:numRef>
              <c:f>Simulation!$F$2:$F$301</c:f>
              <c:numCache>
                <c:formatCode>General</c:formatCode>
                <c:ptCount val="300"/>
                <c:pt idx="0">
                  <c:v>68.294700000000006</c:v>
                </c:pt>
                <c:pt idx="1">
                  <c:v>88.792000000000002</c:v>
                </c:pt>
                <c:pt idx="2">
                  <c:v>95.421899999999994</c:v>
                </c:pt>
                <c:pt idx="3">
                  <c:v>99.405100000000004</c:v>
                </c:pt>
                <c:pt idx="4">
                  <c:v>101.8293</c:v>
                </c:pt>
                <c:pt idx="5">
                  <c:v>103.20610000000001</c:v>
                </c:pt>
                <c:pt idx="6">
                  <c:v>104.5352</c:v>
                </c:pt>
                <c:pt idx="7">
                  <c:v>105.3618</c:v>
                </c:pt>
                <c:pt idx="8">
                  <c:v>106.68219999999999</c:v>
                </c:pt>
                <c:pt idx="9">
                  <c:v>106.2259</c:v>
                </c:pt>
                <c:pt idx="10">
                  <c:v>106.8023</c:v>
                </c:pt>
                <c:pt idx="11">
                  <c:v>107.48390000000001</c:v>
                </c:pt>
                <c:pt idx="12">
                  <c:v>107.7007</c:v>
                </c:pt>
                <c:pt idx="13">
                  <c:v>107.16670000000001</c:v>
                </c:pt>
                <c:pt idx="14">
                  <c:v>106.9542</c:v>
                </c:pt>
                <c:pt idx="15">
                  <c:v>107.1016</c:v>
                </c:pt>
                <c:pt idx="16">
                  <c:v>106.71169999999999</c:v>
                </c:pt>
                <c:pt idx="17">
                  <c:v>106.69750000000001</c:v>
                </c:pt>
                <c:pt idx="18">
                  <c:v>107.0715</c:v>
                </c:pt>
                <c:pt idx="19">
                  <c:v>106.3661</c:v>
                </c:pt>
                <c:pt idx="20">
                  <c:v>106.0552</c:v>
                </c:pt>
                <c:pt idx="21">
                  <c:v>106.54049999999999</c:v>
                </c:pt>
                <c:pt idx="22">
                  <c:v>106.2385</c:v>
                </c:pt>
                <c:pt idx="23">
                  <c:v>107.02119999999999</c:v>
                </c:pt>
                <c:pt idx="24">
                  <c:v>106.5809</c:v>
                </c:pt>
                <c:pt idx="25">
                  <c:v>106.9217</c:v>
                </c:pt>
                <c:pt idx="26">
                  <c:v>106.31789999999999</c:v>
                </c:pt>
                <c:pt idx="27">
                  <c:v>106.5489</c:v>
                </c:pt>
                <c:pt idx="28">
                  <c:v>107.00709999999999</c:v>
                </c:pt>
                <c:pt idx="29">
                  <c:v>106.4804</c:v>
                </c:pt>
                <c:pt idx="30">
                  <c:v>106.7461</c:v>
                </c:pt>
                <c:pt idx="31">
                  <c:v>106.28489999999999</c:v>
                </c:pt>
                <c:pt idx="32">
                  <c:v>105.93040000000001</c:v>
                </c:pt>
                <c:pt idx="33">
                  <c:v>106.3858</c:v>
                </c:pt>
                <c:pt idx="34">
                  <c:v>106.3125</c:v>
                </c:pt>
                <c:pt idx="35">
                  <c:v>106.08240000000001</c:v>
                </c:pt>
                <c:pt idx="36">
                  <c:v>106.5273</c:v>
                </c:pt>
                <c:pt idx="37">
                  <c:v>106.0641</c:v>
                </c:pt>
                <c:pt idx="38">
                  <c:v>106.3878</c:v>
                </c:pt>
                <c:pt idx="39">
                  <c:v>107.0149</c:v>
                </c:pt>
                <c:pt idx="40">
                  <c:v>106.5256</c:v>
                </c:pt>
                <c:pt idx="41">
                  <c:v>105.9055</c:v>
                </c:pt>
                <c:pt idx="42">
                  <c:v>105.6174</c:v>
                </c:pt>
                <c:pt idx="43">
                  <c:v>106.7486</c:v>
                </c:pt>
                <c:pt idx="44">
                  <c:v>106.6917</c:v>
                </c:pt>
                <c:pt idx="45">
                  <c:v>105.99630000000001</c:v>
                </c:pt>
                <c:pt idx="46">
                  <c:v>106.3837</c:v>
                </c:pt>
                <c:pt idx="47">
                  <c:v>105.53789999999999</c:v>
                </c:pt>
                <c:pt idx="48">
                  <c:v>105.8738</c:v>
                </c:pt>
                <c:pt idx="49">
                  <c:v>105.42019999999999</c:v>
                </c:pt>
                <c:pt idx="50">
                  <c:v>105.9263</c:v>
                </c:pt>
                <c:pt idx="51">
                  <c:v>105.9239</c:v>
                </c:pt>
                <c:pt idx="52">
                  <c:v>107.0939</c:v>
                </c:pt>
                <c:pt idx="53">
                  <c:v>106.59399999999999</c:v>
                </c:pt>
                <c:pt idx="54">
                  <c:v>106.0158</c:v>
                </c:pt>
                <c:pt idx="55">
                  <c:v>105.8965</c:v>
                </c:pt>
                <c:pt idx="56">
                  <c:v>105.88639999999999</c:v>
                </c:pt>
                <c:pt idx="57">
                  <c:v>105.34910000000001</c:v>
                </c:pt>
                <c:pt idx="58">
                  <c:v>105.0819</c:v>
                </c:pt>
                <c:pt idx="59">
                  <c:v>104.7962</c:v>
                </c:pt>
                <c:pt idx="60">
                  <c:v>104.6194</c:v>
                </c:pt>
                <c:pt idx="61">
                  <c:v>104.5851</c:v>
                </c:pt>
                <c:pt idx="62">
                  <c:v>104.42870000000001</c:v>
                </c:pt>
                <c:pt idx="63">
                  <c:v>105.0498</c:v>
                </c:pt>
                <c:pt idx="64">
                  <c:v>105.01730000000001</c:v>
                </c:pt>
                <c:pt idx="65">
                  <c:v>104.7948</c:v>
                </c:pt>
                <c:pt idx="66">
                  <c:v>105.1039</c:v>
                </c:pt>
                <c:pt idx="67">
                  <c:v>104.6435</c:v>
                </c:pt>
                <c:pt idx="68">
                  <c:v>105.58459999999999</c:v>
                </c:pt>
                <c:pt idx="69">
                  <c:v>105.0303</c:v>
                </c:pt>
                <c:pt idx="70">
                  <c:v>104.81950000000001</c:v>
                </c:pt>
                <c:pt idx="71">
                  <c:v>104.794</c:v>
                </c:pt>
                <c:pt idx="72">
                  <c:v>104.23560000000001</c:v>
                </c:pt>
                <c:pt idx="73">
                  <c:v>105.1266</c:v>
                </c:pt>
                <c:pt idx="74">
                  <c:v>104.3575</c:v>
                </c:pt>
                <c:pt idx="75">
                  <c:v>104.0579</c:v>
                </c:pt>
                <c:pt idx="76">
                  <c:v>104.74509999999999</c:v>
                </c:pt>
                <c:pt idx="77">
                  <c:v>105.3045</c:v>
                </c:pt>
                <c:pt idx="78">
                  <c:v>104.739</c:v>
                </c:pt>
                <c:pt idx="79">
                  <c:v>104.8005</c:v>
                </c:pt>
                <c:pt idx="80">
                  <c:v>105.56</c:v>
                </c:pt>
                <c:pt idx="81">
                  <c:v>105.27549999999999</c:v>
                </c:pt>
                <c:pt idx="82">
                  <c:v>105.35850000000001</c:v>
                </c:pt>
                <c:pt idx="83">
                  <c:v>104.9301</c:v>
                </c:pt>
                <c:pt idx="84">
                  <c:v>104.19370000000001</c:v>
                </c:pt>
                <c:pt idx="85">
                  <c:v>104.4503</c:v>
                </c:pt>
                <c:pt idx="86">
                  <c:v>104.4059</c:v>
                </c:pt>
                <c:pt idx="87">
                  <c:v>104.6636</c:v>
                </c:pt>
                <c:pt idx="88">
                  <c:v>103.9323</c:v>
                </c:pt>
                <c:pt idx="89">
                  <c:v>104.3646</c:v>
                </c:pt>
                <c:pt idx="90">
                  <c:v>104.11669999999999</c:v>
                </c:pt>
                <c:pt idx="91">
                  <c:v>103.1152</c:v>
                </c:pt>
                <c:pt idx="92">
                  <c:v>103.5711</c:v>
                </c:pt>
                <c:pt idx="93">
                  <c:v>103.7415</c:v>
                </c:pt>
                <c:pt idx="94">
                  <c:v>103.0638</c:v>
                </c:pt>
                <c:pt idx="95">
                  <c:v>103.24379999999999</c:v>
                </c:pt>
                <c:pt idx="96">
                  <c:v>103.4725</c:v>
                </c:pt>
                <c:pt idx="97">
                  <c:v>104.0874</c:v>
                </c:pt>
                <c:pt idx="98">
                  <c:v>103.7557</c:v>
                </c:pt>
                <c:pt idx="99">
                  <c:v>103.3719</c:v>
                </c:pt>
                <c:pt idx="100">
                  <c:v>102.8931</c:v>
                </c:pt>
                <c:pt idx="101">
                  <c:v>103.48</c:v>
                </c:pt>
                <c:pt idx="102">
                  <c:v>103.4362</c:v>
                </c:pt>
                <c:pt idx="103">
                  <c:v>103.6602</c:v>
                </c:pt>
                <c:pt idx="104">
                  <c:v>103.876</c:v>
                </c:pt>
                <c:pt idx="105">
                  <c:v>103.3539</c:v>
                </c:pt>
                <c:pt idx="106">
                  <c:v>104.0643</c:v>
                </c:pt>
                <c:pt idx="107">
                  <c:v>103.729</c:v>
                </c:pt>
                <c:pt idx="108">
                  <c:v>103.124</c:v>
                </c:pt>
                <c:pt idx="109">
                  <c:v>104.1474</c:v>
                </c:pt>
                <c:pt idx="110">
                  <c:v>103.8365</c:v>
                </c:pt>
                <c:pt idx="111">
                  <c:v>103.62779999999999</c:v>
                </c:pt>
                <c:pt idx="112">
                  <c:v>103.6986</c:v>
                </c:pt>
                <c:pt idx="113">
                  <c:v>104.1523</c:v>
                </c:pt>
                <c:pt idx="114">
                  <c:v>103.7169</c:v>
                </c:pt>
                <c:pt idx="115">
                  <c:v>102.9686</c:v>
                </c:pt>
                <c:pt idx="116">
                  <c:v>104.0425</c:v>
                </c:pt>
                <c:pt idx="117">
                  <c:v>103.405</c:v>
                </c:pt>
                <c:pt idx="118">
                  <c:v>104.0852</c:v>
                </c:pt>
                <c:pt idx="119">
                  <c:v>102.6712</c:v>
                </c:pt>
                <c:pt idx="120">
                  <c:v>102.8569</c:v>
                </c:pt>
                <c:pt idx="121">
                  <c:v>103.6764</c:v>
                </c:pt>
                <c:pt idx="122">
                  <c:v>102.9127</c:v>
                </c:pt>
                <c:pt idx="123">
                  <c:v>103.0419</c:v>
                </c:pt>
                <c:pt idx="124">
                  <c:v>102.3314</c:v>
                </c:pt>
                <c:pt idx="125">
                  <c:v>102.20659999999999</c:v>
                </c:pt>
                <c:pt idx="126">
                  <c:v>102.40049999999999</c:v>
                </c:pt>
                <c:pt idx="127">
                  <c:v>103.4308</c:v>
                </c:pt>
                <c:pt idx="128">
                  <c:v>102.1999</c:v>
                </c:pt>
                <c:pt idx="129">
                  <c:v>102.2739</c:v>
                </c:pt>
                <c:pt idx="130">
                  <c:v>102.51300000000001</c:v>
                </c:pt>
                <c:pt idx="131">
                  <c:v>102.4083</c:v>
                </c:pt>
                <c:pt idx="132">
                  <c:v>103.0194</c:v>
                </c:pt>
                <c:pt idx="133">
                  <c:v>102.6127</c:v>
                </c:pt>
                <c:pt idx="134">
                  <c:v>103.1204</c:v>
                </c:pt>
                <c:pt idx="135">
                  <c:v>102.2724</c:v>
                </c:pt>
                <c:pt idx="136">
                  <c:v>102.1324</c:v>
                </c:pt>
                <c:pt idx="137">
                  <c:v>102.39409999999999</c:v>
                </c:pt>
                <c:pt idx="138">
                  <c:v>101.65049999999999</c:v>
                </c:pt>
                <c:pt idx="139">
                  <c:v>101.8997</c:v>
                </c:pt>
                <c:pt idx="140">
                  <c:v>102.251</c:v>
                </c:pt>
                <c:pt idx="141">
                  <c:v>102.3168</c:v>
                </c:pt>
                <c:pt idx="142">
                  <c:v>103.2574</c:v>
                </c:pt>
                <c:pt idx="143">
                  <c:v>102.6332</c:v>
                </c:pt>
                <c:pt idx="144">
                  <c:v>102.9134</c:v>
                </c:pt>
                <c:pt idx="145">
                  <c:v>102.5651</c:v>
                </c:pt>
                <c:pt idx="146">
                  <c:v>102.9928</c:v>
                </c:pt>
                <c:pt idx="147">
                  <c:v>102.6515</c:v>
                </c:pt>
                <c:pt idx="148">
                  <c:v>101.60129999999999</c:v>
                </c:pt>
                <c:pt idx="149">
                  <c:v>102.0462</c:v>
                </c:pt>
                <c:pt idx="150">
                  <c:v>102.43300000000001</c:v>
                </c:pt>
                <c:pt idx="151">
                  <c:v>101.99169999999999</c:v>
                </c:pt>
                <c:pt idx="152">
                  <c:v>101.5997</c:v>
                </c:pt>
                <c:pt idx="153">
                  <c:v>101.5175</c:v>
                </c:pt>
                <c:pt idx="154">
                  <c:v>101.81180000000001</c:v>
                </c:pt>
                <c:pt idx="155">
                  <c:v>101.7285</c:v>
                </c:pt>
                <c:pt idx="156">
                  <c:v>101.84310000000001</c:v>
                </c:pt>
                <c:pt idx="157">
                  <c:v>102.3386</c:v>
                </c:pt>
                <c:pt idx="158">
                  <c:v>102.0985</c:v>
                </c:pt>
                <c:pt idx="159">
                  <c:v>102.76649999999999</c:v>
                </c:pt>
                <c:pt idx="160">
                  <c:v>102.9953</c:v>
                </c:pt>
                <c:pt idx="161">
                  <c:v>102.5698</c:v>
                </c:pt>
                <c:pt idx="162">
                  <c:v>101.4092</c:v>
                </c:pt>
                <c:pt idx="163">
                  <c:v>102.29349999999999</c:v>
                </c:pt>
                <c:pt idx="164">
                  <c:v>102.44159999999999</c:v>
                </c:pt>
                <c:pt idx="165">
                  <c:v>102.24160000000001</c:v>
                </c:pt>
                <c:pt idx="166">
                  <c:v>102.7966</c:v>
                </c:pt>
                <c:pt idx="167">
                  <c:v>102.2007</c:v>
                </c:pt>
                <c:pt idx="168">
                  <c:v>101.8429</c:v>
                </c:pt>
                <c:pt idx="169">
                  <c:v>101.6437</c:v>
                </c:pt>
                <c:pt idx="170">
                  <c:v>101.09010000000001</c:v>
                </c:pt>
                <c:pt idx="171">
                  <c:v>101.45059999999999</c:v>
                </c:pt>
                <c:pt idx="172">
                  <c:v>101.36409999999999</c:v>
                </c:pt>
                <c:pt idx="173">
                  <c:v>101.1601</c:v>
                </c:pt>
                <c:pt idx="174">
                  <c:v>101.69970000000001</c:v>
                </c:pt>
                <c:pt idx="175">
                  <c:v>101.75579999999999</c:v>
                </c:pt>
                <c:pt idx="176">
                  <c:v>101.642</c:v>
                </c:pt>
                <c:pt idx="177">
                  <c:v>101.24079999999999</c:v>
                </c:pt>
                <c:pt idx="178">
                  <c:v>101.84010000000001</c:v>
                </c:pt>
                <c:pt idx="179">
                  <c:v>102.12479999999999</c:v>
                </c:pt>
                <c:pt idx="180">
                  <c:v>102.17870000000001</c:v>
                </c:pt>
                <c:pt idx="181">
                  <c:v>101.43729999999999</c:v>
                </c:pt>
                <c:pt idx="182">
                  <c:v>101.8087</c:v>
                </c:pt>
                <c:pt idx="183">
                  <c:v>101.7594</c:v>
                </c:pt>
                <c:pt idx="184">
                  <c:v>100.8886</c:v>
                </c:pt>
                <c:pt idx="185">
                  <c:v>101.7694</c:v>
                </c:pt>
                <c:pt idx="186">
                  <c:v>101.6969</c:v>
                </c:pt>
                <c:pt idx="187">
                  <c:v>100.7578</c:v>
                </c:pt>
                <c:pt idx="188">
                  <c:v>100.8995</c:v>
                </c:pt>
                <c:pt idx="189">
                  <c:v>101.2963</c:v>
                </c:pt>
                <c:pt idx="190">
                  <c:v>101.434</c:v>
                </c:pt>
                <c:pt idx="191">
                  <c:v>101.25190000000001</c:v>
                </c:pt>
                <c:pt idx="192">
                  <c:v>101.35380000000001</c:v>
                </c:pt>
                <c:pt idx="193">
                  <c:v>101.0924</c:v>
                </c:pt>
                <c:pt idx="194">
                  <c:v>100.7328</c:v>
                </c:pt>
                <c:pt idx="195">
                  <c:v>101.4028</c:v>
                </c:pt>
                <c:pt idx="196">
                  <c:v>100.315</c:v>
                </c:pt>
                <c:pt idx="197">
                  <c:v>100.7097</c:v>
                </c:pt>
                <c:pt idx="198">
                  <c:v>99.936599999999999</c:v>
                </c:pt>
                <c:pt idx="199">
                  <c:v>100.5244</c:v>
                </c:pt>
                <c:pt idx="200">
                  <c:v>100.52979999999999</c:v>
                </c:pt>
                <c:pt idx="201">
                  <c:v>100.56270000000001</c:v>
                </c:pt>
                <c:pt idx="202">
                  <c:v>101.26730000000001</c:v>
                </c:pt>
                <c:pt idx="203">
                  <c:v>100.318</c:v>
                </c:pt>
                <c:pt idx="204">
                  <c:v>101.14660000000001</c:v>
                </c:pt>
                <c:pt idx="205">
                  <c:v>100.39790000000001</c:v>
                </c:pt>
                <c:pt idx="206">
                  <c:v>100.2668</c:v>
                </c:pt>
                <c:pt idx="207">
                  <c:v>100.4824</c:v>
                </c:pt>
                <c:pt idx="208">
                  <c:v>100.1611</c:v>
                </c:pt>
                <c:pt idx="209">
                  <c:v>100.7315</c:v>
                </c:pt>
                <c:pt idx="210">
                  <c:v>100.955</c:v>
                </c:pt>
                <c:pt idx="211">
                  <c:v>100.3673</c:v>
                </c:pt>
                <c:pt idx="212">
                  <c:v>100.2337</c:v>
                </c:pt>
                <c:pt idx="213">
                  <c:v>100.1961</c:v>
                </c:pt>
                <c:pt idx="214">
                  <c:v>99.870500000000007</c:v>
                </c:pt>
                <c:pt idx="215">
                  <c:v>99.554400000000001</c:v>
                </c:pt>
                <c:pt idx="216">
                  <c:v>99.727900000000005</c:v>
                </c:pt>
                <c:pt idx="217">
                  <c:v>100.1896</c:v>
                </c:pt>
                <c:pt idx="218">
                  <c:v>99.789100000000005</c:v>
                </c:pt>
                <c:pt idx="219">
                  <c:v>100.845</c:v>
                </c:pt>
                <c:pt idx="220">
                  <c:v>100.55240000000001</c:v>
                </c:pt>
                <c:pt idx="221">
                  <c:v>100.7236</c:v>
                </c:pt>
                <c:pt idx="222">
                  <c:v>100.83150000000001</c:v>
                </c:pt>
                <c:pt idx="223">
                  <c:v>99.891400000000004</c:v>
                </c:pt>
                <c:pt idx="224">
                  <c:v>100.8745</c:v>
                </c:pt>
                <c:pt idx="225">
                  <c:v>100.49169999999999</c:v>
                </c:pt>
                <c:pt idx="226">
                  <c:v>100.3511</c:v>
                </c:pt>
                <c:pt idx="227">
                  <c:v>100.3754</c:v>
                </c:pt>
                <c:pt idx="228">
                  <c:v>100.0886</c:v>
                </c:pt>
                <c:pt idx="229">
                  <c:v>100.55289999999999</c:v>
                </c:pt>
                <c:pt idx="230">
                  <c:v>99.490899999999996</c:v>
                </c:pt>
                <c:pt idx="231">
                  <c:v>100.2533</c:v>
                </c:pt>
                <c:pt idx="232">
                  <c:v>99.635000000000005</c:v>
                </c:pt>
                <c:pt idx="233">
                  <c:v>99.327799999999996</c:v>
                </c:pt>
                <c:pt idx="234">
                  <c:v>100.0309</c:v>
                </c:pt>
                <c:pt idx="235">
                  <c:v>99.275700000000001</c:v>
                </c:pt>
                <c:pt idx="236">
                  <c:v>99.905799999999999</c:v>
                </c:pt>
                <c:pt idx="237">
                  <c:v>99.717399999999998</c:v>
                </c:pt>
                <c:pt idx="238">
                  <c:v>99.501800000000003</c:v>
                </c:pt>
                <c:pt idx="239">
                  <c:v>100.2013</c:v>
                </c:pt>
                <c:pt idx="240">
                  <c:v>99.924599999999998</c:v>
                </c:pt>
                <c:pt idx="241">
                  <c:v>99.6434</c:v>
                </c:pt>
                <c:pt idx="242">
                  <c:v>100.2641</c:v>
                </c:pt>
                <c:pt idx="243">
                  <c:v>99.823700000000002</c:v>
                </c:pt>
                <c:pt idx="244">
                  <c:v>99.422300000000007</c:v>
                </c:pt>
                <c:pt idx="245">
                  <c:v>100.1323</c:v>
                </c:pt>
                <c:pt idx="246">
                  <c:v>99.182299999999998</c:v>
                </c:pt>
                <c:pt idx="247">
                  <c:v>98.911799999999999</c:v>
                </c:pt>
                <c:pt idx="248">
                  <c:v>98.702699999999993</c:v>
                </c:pt>
                <c:pt idx="249">
                  <c:v>98.417500000000004</c:v>
                </c:pt>
                <c:pt idx="250">
                  <c:v>99.028000000000006</c:v>
                </c:pt>
                <c:pt idx="251">
                  <c:v>99.036799999999999</c:v>
                </c:pt>
                <c:pt idx="252">
                  <c:v>99.232799999999997</c:v>
                </c:pt>
                <c:pt idx="253">
                  <c:v>98.9131</c:v>
                </c:pt>
                <c:pt idx="254">
                  <c:v>99.431899999999999</c:v>
                </c:pt>
                <c:pt idx="255">
                  <c:v>99.149299999999997</c:v>
                </c:pt>
                <c:pt idx="256">
                  <c:v>99.001199999999997</c:v>
                </c:pt>
                <c:pt idx="257">
                  <c:v>98.410899999999998</c:v>
                </c:pt>
                <c:pt idx="258">
                  <c:v>98.407200000000003</c:v>
                </c:pt>
                <c:pt idx="259">
                  <c:v>98.131100000000004</c:v>
                </c:pt>
                <c:pt idx="260">
                  <c:v>98.128500000000003</c:v>
                </c:pt>
                <c:pt idx="261">
                  <c:v>98.080600000000004</c:v>
                </c:pt>
                <c:pt idx="262">
                  <c:v>97.723500000000001</c:v>
                </c:pt>
                <c:pt idx="263">
                  <c:v>98.469200000000001</c:v>
                </c:pt>
                <c:pt idx="264">
                  <c:v>97.911600000000007</c:v>
                </c:pt>
                <c:pt idx="265">
                  <c:v>98.0792</c:v>
                </c:pt>
                <c:pt idx="266">
                  <c:v>98.495800000000003</c:v>
                </c:pt>
                <c:pt idx="267">
                  <c:v>98.351200000000006</c:v>
                </c:pt>
                <c:pt idx="268">
                  <c:v>97.255099999999999</c:v>
                </c:pt>
                <c:pt idx="269">
                  <c:v>97.260800000000003</c:v>
                </c:pt>
                <c:pt idx="270">
                  <c:v>97.0364</c:v>
                </c:pt>
                <c:pt idx="271">
                  <c:v>97.063800000000001</c:v>
                </c:pt>
                <c:pt idx="272">
                  <c:v>96.849900000000005</c:v>
                </c:pt>
                <c:pt idx="273">
                  <c:v>96.576599999999999</c:v>
                </c:pt>
                <c:pt idx="274">
                  <c:v>97.297300000000007</c:v>
                </c:pt>
                <c:pt idx="275">
                  <c:v>97.022900000000007</c:v>
                </c:pt>
                <c:pt idx="276">
                  <c:v>96.806799999999996</c:v>
                </c:pt>
                <c:pt idx="277">
                  <c:v>97.090900000000005</c:v>
                </c:pt>
                <c:pt idx="278">
                  <c:v>97.3078</c:v>
                </c:pt>
                <c:pt idx="279">
                  <c:v>98.006799999999998</c:v>
                </c:pt>
                <c:pt idx="280">
                  <c:v>97.8</c:v>
                </c:pt>
                <c:pt idx="281">
                  <c:v>97.215900000000005</c:v>
                </c:pt>
                <c:pt idx="282">
                  <c:v>97.407399999999996</c:v>
                </c:pt>
                <c:pt idx="283">
                  <c:v>97</c:v>
                </c:pt>
                <c:pt idx="284">
                  <c:v>97.294799999999995</c:v>
                </c:pt>
                <c:pt idx="285">
                  <c:v>98.680199999999999</c:v>
                </c:pt>
                <c:pt idx="286">
                  <c:v>97.782399999999996</c:v>
                </c:pt>
                <c:pt idx="287">
                  <c:v>97.395799999999994</c:v>
                </c:pt>
                <c:pt idx="288">
                  <c:v>97.242599999999996</c:v>
                </c:pt>
                <c:pt idx="289">
                  <c:v>97.208399999999997</c:v>
                </c:pt>
                <c:pt idx="290">
                  <c:v>97.206599999999995</c:v>
                </c:pt>
                <c:pt idx="291">
                  <c:v>97.394599999999997</c:v>
                </c:pt>
                <c:pt idx="292">
                  <c:v>98.322400000000002</c:v>
                </c:pt>
                <c:pt idx="293">
                  <c:v>97.313299999999998</c:v>
                </c:pt>
                <c:pt idx="294">
                  <c:v>97.4803</c:v>
                </c:pt>
                <c:pt idx="295">
                  <c:v>98.040599999999998</c:v>
                </c:pt>
                <c:pt idx="296">
                  <c:v>97.702799999999996</c:v>
                </c:pt>
                <c:pt idx="297">
                  <c:v>97.2149</c:v>
                </c:pt>
                <c:pt idx="298">
                  <c:v>97.247100000000003</c:v>
                </c:pt>
                <c:pt idx="299">
                  <c:v>97.016499999999994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DA8B-AD4A-A152-53A109EF08C6}"/>
            </c:ext>
          </c:extLst>
        </c:ser>
        <c:ser>
          <c:idx val="3"/>
          <c:order val="3"/>
          <c:tx>
            <c:strRef>
              <c:f>Simulation!$I$1</c:f>
              <c:strCache>
                <c:ptCount val="1"/>
                <c:pt idx="0">
                  <c:v>P1</c:v>
                </c:pt>
              </c:strCache>
            </c:strRef>
          </c:tx>
          <c:spPr>
            <a:ln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Simulation!$I$2:$I$301</c:f>
              <c:numCache>
                <c:formatCode>General</c:formatCode>
                <c:ptCount val="300"/>
                <c:pt idx="0">
                  <c:v>68.294700000000006</c:v>
                </c:pt>
                <c:pt idx="1">
                  <c:v>29.904399999999999</c:v>
                </c:pt>
                <c:pt idx="2">
                  <c:v>16.7822</c:v>
                </c:pt>
                <c:pt idx="3">
                  <c:v>8.3993000000000002</c:v>
                </c:pt>
                <c:pt idx="4">
                  <c:v>1.8517999999999999</c:v>
                </c:pt>
                <c:pt idx="5">
                  <c:v>-0.58720000000000006</c:v>
                </c:pt>
                <c:pt idx="6">
                  <c:v>-3.1092</c:v>
                </c:pt>
                <c:pt idx="7">
                  <c:v>-3.7242999999999999</c:v>
                </c:pt>
                <c:pt idx="8">
                  <c:v>-6.282</c:v>
                </c:pt>
                <c:pt idx="9">
                  <c:v>-7.1670999999999996</c:v>
                </c:pt>
                <c:pt idx="10">
                  <c:v>-9.9291</c:v>
                </c:pt>
                <c:pt idx="11">
                  <c:v>-10.276999999999999</c:v>
                </c:pt>
                <c:pt idx="12">
                  <c:v>-10.3538</c:v>
                </c:pt>
                <c:pt idx="13">
                  <c:v>-10.622400000000001</c:v>
                </c:pt>
                <c:pt idx="14">
                  <c:v>-11.728199999999999</c:v>
                </c:pt>
                <c:pt idx="15">
                  <c:v>-10.784700000000001</c:v>
                </c:pt>
                <c:pt idx="16">
                  <c:v>-10.3581</c:v>
                </c:pt>
                <c:pt idx="17">
                  <c:v>-10.783799999999999</c:v>
                </c:pt>
                <c:pt idx="18">
                  <c:v>-10.436</c:v>
                </c:pt>
                <c:pt idx="19">
                  <c:v>-12.1113</c:v>
                </c:pt>
                <c:pt idx="20">
                  <c:v>-13.504</c:v>
                </c:pt>
                <c:pt idx="21">
                  <c:v>-13.9411</c:v>
                </c:pt>
                <c:pt idx="22">
                  <c:v>-13.647500000000001</c:v>
                </c:pt>
                <c:pt idx="23">
                  <c:v>-12.8962</c:v>
                </c:pt>
                <c:pt idx="24">
                  <c:v>-12.7455</c:v>
                </c:pt>
                <c:pt idx="25">
                  <c:v>-14.4254</c:v>
                </c:pt>
                <c:pt idx="26">
                  <c:v>-13.498100000000001</c:v>
                </c:pt>
                <c:pt idx="27">
                  <c:v>-13.906000000000001</c:v>
                </c:pt>
                <c:pt idx="28">
                  <c:v>-13.088100000000001</c:v>
                </c:pt>
                <c:pt idx="29">
                  <c:v>-13.6127</c:v>
                </c:pt>
                <c:pt idx="30">
                  <c:v>-14.2719</c:v>
                </c:pt>
                <c:pt idx="31">
                  <c:v>-14.798500000000001</c:v>
                </c:pt>
                <c:pt idx="32">
                  <c:v>-13.538500000000001</c:v>
                </c:pt>
                <c:pt idx="33">
                  <c:v>-11.889900000000001</c:v>
                </c:pt>
                <c:pt idx="34">
                  <c:v>-12.8583</c:v>
                </c:pt>
                <c:pt idx="35">
                  <c:v>-13.456300000000001</c:v>
                </c:pt>
                <c:pt idx="36">
                  <c:v>-12.6991</c:v>
                </c:pt>
                <c:pt idx="37">
                  <c:v>-13.132999999999999</c:v>
                </c:pt>
                <c:pt idx="38">
                  <c:v>-13.748699999999999</c:v>
                </c:pt>
                <c:pt idx="39">
                  <c:v>-10.923299999999999</c:v>
                </c:pt>
                <c:pt idx="40">
                  <c:v>-11.792199999999999</c:v>
                </c:pt>
                <c:pt idx="41">
                  <c:v>-12.793900000000001</c:v>
                </c:pt>
                <c:pt idx="42">
                  <c:v>-12.7378</c:v>
                </c:pt>
                <c:pt idx="43">
                  <c:v>-13.1998</c:v>
                </c:pt>
                <c:pt idx="44">
                  <c:v>-13.6732</c:v>
                </c:pt>
                <c:pt idx="45">
                  <c:v>-11.345700000000001</c:v>
                </c:pt>
                <c:pt idx="46">
                  <c:v>-13.978</c:v>
                </c:pt>
                <c:pt idx="47">
                  <c:v>-11.7179</c:v>
                </c:pt>
                <c:pt idx="48">
                  <c:v>-15.3363</c:v>
                </c:pt>
                <c:pt idx="49">
                  <c:v>-13.8474</c:v>
                </c:pt>
                <c:pt idx="50">
                  <c:v>-14.554600000000001</c:v>
                </c:pt>
                <c:pt idx="51">
                  <c:v>-13.6883</c:v>
                </c:pt>
                <c:pt idx="52">
                  <c:v>-14.742100000000001</c:v>
                </c:pt>
                <c:pt idx="53">
                  <c:v>-15.0685</c:v>
                </c:pt>
                <c:pt idx="54">
                  <c:v>-15.131</c:v>
                </c:pt>
                <c:pt idx="55">
                  <c:v>-15.072900000000001</c:v>
                </c:pt>
                <c:pt idx="56">
                  <c:v>-15.904400000000001</c:v>
                </c:pt>
                <c:pt idx="57">
                  <c:v>-12.8935</c:v>
                </c:pt>
                <c:pt idx="58">
                  <c:v>-13.5031</c:v>
                </c:pt>
                <c:pt idx="59">
                  <c:v>-14.852</c:v>
                </c:pt>
                <c:pt idx="60">
                  <c:v>-14.4422</c:v>
                </c:pt>
                <c:pt idx="61">
                  <c:v>-14.311299999999999</c:v>
                </c:pt>
                <c:pt idx="62">
                  <c:v>-14.1129</c:v>
                </c:pt>
                <c:pt idx="63">
                  <c:v>-15.600199999999999</c:v>
                </c:pt>
                <c:pt idx="64">
                  <c:v>-14.6386</c:v>
                </c:pt>
                <c:pt idx="65">
                  <c:v>-14.2339</c:v>
                </c:pt>
                <c:pt idx="66">
                  <c:v>-13.939</c:v>
                </c:pt>
                <c:pt idx="67">
                  <c:v>-13.5924</c:v>
                </c:pt>
                <c:pt idx="68">
                  <c:v>-14.416399999999999</c:v>
                </c:pt>
                <c:pt idx="69">
                  <c:v>-12.809699999999999</c:v>
                </c:pt>
                <c:pt idx="70">
                  <c:v>-12.5524</c:v>
                </c:pt>
                <c:pt idx="71">
                  <c:v>-14.5814</c:v>
                </c:pt>
                <c:pt idx="72">
                  <c:v>-14.459099999999999</c:v>
                </c:pt>
                <c:pt idx="73">
                  <c:v>-14.246700000000001</c:v>
                </c:pt>
                <c:pt idx="74">
                  <c:v>-13.198700000000001</c:v>
                </c:pt>
                <c:pt idx="75">
                  <c:v>-13.7272</c:v>
                </c:pt>
                <c:pt idx="76">
                  <c:v>-14.894299999999999</c:v>
                </c:pt>
                <c:pt idx="77">
                  <c:v>-14.1244</c:v>
                </c:pt>
                <c:pt idx="78">
                  <c:v>-14.9331</c:v>
                </c:pt>
                <c:pt idx="79">
                  <c:v>-14.484299999999999</c:v>
                </c:pt>
                <c:pt idx="80">
                  <c:v>-13.9704</c:v>
                </c:pt>
                <c:pt idx="81">
                  <c:v>-13.4672</c:v>
                </c:pt>
                <c:pt idx="82">
                  <c:v>-11.973000000000001</c:v>
                </c:pt>
                <c:pt idx="83">
                  <c:v>-14.044600000000001</c:v>
                </c:pt>
                <c:pt idx="84">
                  <c:v>-14.858700000000001</c:v>
                </c:pt>
                <c:pt idx="85">
                  <c:v>-17.5259</c:v>
                </c:pt>
                <c:pt idx="86">
                  <c:v>-16.604500000000002</c:v>
                </c:pt>
                <c:pt idx="87">
                  <c:v>-15.8719</c:v>
                </c:pt>
                <c:pt idx="88">
                  <c:v>-14.683</c:v>
                </c:pt>
                <c:pt idx="89">
                  <c:v>-15.2051</c:v>
                </c:pt>
                <c:pt idx="90">
                  <c:v>-14.3461</c:v>
                </c:pt>
                <c:pt idx="91">
                  <c:v>-13.7967</c:v>
                </c:pt>
                <c:pt idx="92">
                  <c:v>-14.792999999999999</c:v>
                </c:pt>
                <c:pt idx="93">
                  <c:v>-12.9876</c:v>
                </c:pt>
                <c:pt idx="94">
                  <c:v>-16.6783</c:v>
                </c:pt>
                <c:pt idx="95">
                  <c:v>-17.8401</c:v>
                </c:pt>
                <c:pt idx="96">
                  <c:v>-16.38</c:v>
                </c:pt>
                <c:pt idx="97">
                  <c:v>-14.069699999999999</c:v>
                </c:pt>
                <c:pt idx="98">
                  <c:v>-14.218400000000001</c:v>
                </c:pt>
                <c:pt idx="99">
                  <c:v>-14.901899999999999</c:v>
                </c:pt>
                <c:pt idx="100">
                  <c:v>-16.207899999999999</c:v>
                </c:pt>
                <c:pt idx="101">
                  <c:v>-15.758599999999999</c:v>
                </c:pt>
                <c:pt idx="102">
                  <c:v>-15.114800000000001</c:v>
                </c:pt>
                <c:pt idx="103">
                  <c:v>-16.111499999999999</c:v>
                </c:pt>
                <c:pt idx="104">
                  <c:v>-17.392700000000001</c:v>
                </c:pt>
                <c:pt idx="105">
                  <c:v>-14.813000000000001</c:v>
                </c:pt>
                <c:pt idx="106">
                  <c:v>-16.495899999999999</c:v>
                </c:pt>
                <c:pt idx="107">
                  <c:v>-15.9916</c:v>
                </c:pt>
                <c:pt idx="108">
                  <c:v>-15.6677</c:v>
                </c:pt>
                <c:pt idx="109">
                  <c:v>-15.3741</c:v>
                </c:pt>
                <c:pt idx="110">
                  <c:v>-16.553699999999999</c:v>
                </c:pt>
                <c:pt idx="111">
                  <c:v>-16.214200000000002</c:v>
                </c:pt>
                <c:pt idx="112">
                  <c:v>-15.9712</c:v>
                </c:pt>
                <c:pt idx="113">
                  <c:v>-16.410299999999999</c:v>
                </c:pt>
                <c:pt idx="114">
                  <c:v>-15.899100000000001</c:v>
                </c:pt>
                <c:pt idx="115">
                  <c:v>-19.121200000000002</c:v>
                </c:pt>
                <c:pt idx="116">
                  <c:v>-16.9329</c:v>
                </c:pt>
                <c:pt idx="117">
                  <c:v>-16.0822</c:v>
                </c:pt>
                <c:pt idx="118">
                  <c:v>-16.359400000000001</c:v>
                </c:pt>
                <c:pt idx="119">
                  <c:v>-17.661999999999999</c:v>
                </c:pt>
                <c:pt idx="120">
                  <c:v>-14.7202</c:v>
                </c:pt>
                <c:pt idx="121">
                  <c:v>-14.688499999999999</c:v>
                </c:pt>
                <c:pt idx="122">
                  <c:v>-17.2074</c:v>
                </c:pt>
                <c:pt idx="123">
                  <c:v>-16.354800000000001</c:v>
                </c:pt>
                <c:pt idx="124">
                  <c:v>-15.916399999999999</c:v>
                </c:pt>
                <c:pt idx="125">
                  <c:v>-17.090699999999998</c:v>
                </c:pt>
                <c:pt idx="126">
                  <c:v>-17.619299999999999</c:v>
                </c:pt>
                <c:pt idx="127">
                  <c:v>-17.385300000000001</c:v>
                </c:pt>
                <c:pt idx="128">
                  <c:v>-16.589500000000001</c:v>
                </c:pt>
                <c:pt idx="129">
                  <c:v>-17.134499999999999</c:v>
                </c:pt>
                <c:pt idx="130">
                  <c:v>-16.1617</c:v>
                </c:pt>
                <c:pt idx="131">
                  <c:v>-18.368500000000001</c:v>
                </c:pt>
                <c:pt idx="132">
                  <c:v>-16.144200000000001</c:v>
                </c:pt>
                <c:pt idx="133">
                  <c:v>-16.664000000000001</c:v>
                </c:pt>
                <c:pt idx="134">
                  <c:v>-17.2591</c:v>
                </c:pt>
                <c:pt idx="135">
                  <c:v>-17.153700000000001</c:v>
                </c:pt>
                <c:pt idx="136">
                  <c:v>-17.505700000000001</c:v>
                </c:pt>
                <c:pt idx="137">
                  <c:v>-17.065999999999999</c:v>
                </c:pt>
                <c:pt idx="138">
                  <c:v>-17.163499999999999</c:v>
                </c:pt>
                <c:pt idx="139">
                  <c:v>-18.004300000000001</c:v>
                </c:pt>
                <c:pt idx="140">
                  <c:v>-16.977399999999999</c:v>
                </c:pt>
                <c:pt idx="141">
                  <c:v>-17.2578</c:v>
                </c:pt>
                <c:pt idx="142">
                  <c:v>-14.4405</c:v>
                </c:pt>
                <c:pt idx="143">
                  <c:v>-16.2683</c:v>
                </c:pt>
                <c:pt idx="144">
                  <c:v>-15.579700000000001</c:v>
                </c:pt>
                <c:pt idx="145">
                  <c:v>-18.049800000000001</c:v>
                </c:pt>
                <c:pt idx="146">
                  <c:v>-16.027100000000001</c:v>
                </c:pt>
                <c:pt idx="147">
                  <c:v>-16.786799999999999</c:v>
                </c:pt>
                <c:pt idx="148">
                  <c:v>-16.519300000000001</c:v>
                </c:pt>
                <c:pt idx="149">
                  <c:v>-16.265899999999998</c:v>
                </c:pt>
                <c:pt idx="150">
                  <c:v>-17.402699999999999</c:v>
                </c:pt>
                <c:pt idx="151">
                  <c:v>-19.355499999999999</c:v>
                </c:pt>
                <c:pt idx="152">
                  <c:v>-16.6891</c:v>
                </c:pt>
                <c:pt idx="153">
                  <c:v>-16.014500000000002</c:v>
                </c:pt>
                <c:pt idx="154">
                  <c:v>-16.781400000000001</c:v>
                </c:pt>
                <c:pt idx="155">
                  <c:v>-14.247999999999999</c:v>
                </c:pt>
                <c:pt idx="156">
                  <c:v>-16.882000000000001</c:v>
                </c:pt>
                <c:pt idx="157">
                  <c:v>-16.5929</c:v>
                </c:pt>
                <c:pt idx="158">
                  <c:v>-18.084499999999998</c:v>
                </c:pt>
                <c:pt idx="159">
                  <c:v>-17.139099999999999</c:v>
                </c:pt>
                <c:pt idx="160">
                  <c:v>-17.9604</c:v>
                </c:pt>
                <c:pt idx="161">
                  <c:v>-14.891999999999999</c:v>
                </c:pt>
                <c:pt idx="162">
                  <c:v>-16.716000000000001</c:v>
                </c:pt>
                <c:pt idx="163">
                  <c:v>-16.325600000000001</c:v>
                </c:pt>
                <c:pt idx="164">
                  <c:v>-16.284600000000001</c:v>
                </c:pt>
                <c:pt idx="165">
                  <c:v>-18.9238</c:v>
                </c:pt>
                <c:pt idx="166">
                  <c:v>-18.526</c:v>
                </c:pt>
                <c:pt idx="167">
                  <c:v>-17.8521</c:v>
                </c:pt>
                <c:pt idx="168">
                  <c:v>-17.174700000000001</c:v>
                </c:pt>
                <c:pt idx="169">
                  <c:v>-16.756399999999999</c:v>
                </c:pt>
                <c:pt idx="170">
                  <c:v>-18.9239</c:v>
                </c:pt>
                <c:pt idx="171">
                  <c:v>-18.308399999999999</c:v>
                </c:pt>
                <c:pt idx="172">
                  <c:v>-17.3916</c:v>
                </c:pt>
                <c:pt idx="173">
                  <c:v>-16.803999999999998</c:v>
                </c:pt>
                <c:pt idx="174">
                  <c:v>-16.976299999999998</c:v>
                </c:pt>
                <c:pt idx="175">
                  <c:v>-18.064499999999999</c:v>
                </c:pt>
                <c:pt idx="176">
                  <c:v>-18.1587</c:v>
                </c:pt>
                <c:pt idx="177">
                  <c:v>-17.826499999999999</c:v>
                </c:pt>
                <c:pt idx="178">
                  <c:v>-18.7103</c:v>
                </c:pt>
                <c:pt idx="179">
                  <c:v>-15.448600000000001</c:v>
                </c:pt>
                <c:pt idx="180">
                  <c:v>-18.7454</c:v>
                </c:pt>
                <c:pt idx="181">
                  <c:v>-20.336500000000001</c:v>
                </c:pt>
                <c:pt idx="182">
                  <c:v>-18.9252</c:v>
                </c:pt>
                <c:pt idx="183">
                  <c:v>-19.575399999999998</c:v>
                </c:pt>
                <c:pt idx="184">
                  <c:v>-19.1358</c:v>
                </c:pt>
                <c:pt idx="185">
                  <c:v>-18.389600000000002</c:v>
                </c:pt>
                <c:pt idx="186">
                  <c:v>-16.8718</c:v>
                </c:pt>
                <c:pt idx="187">
                  <c:v>-15.5593</c:v>
                </c:pt>
                <c:pt idx="188">
                  <c:v>-15.9483</c:v>
                </c:pt>
                <c:pt idx="189">
                  <c:v>-16.099599999999999</c:v>
                </c:pt>
                <c:pt idx="190">
                  <c:v>-16.348600000000001</c:v>
                </c:pt>
                <c:pt idx="191">
                  <c:v>-17.384599999999999</c:v>
                </c:pt>
                <c:pt idx="192">
                  <c:v>-16.6051</c:v>
                </c:pt>
                <c:pt idx="193">
                  <c:v>-17.899100000000001</c:v>
                </c:pt>
                <c:pt idx="194">
                  <c:v>-16.925699999999999</c:v>
                </c:pt>
                <c:pt idx="195">
                  <c:v>-18.071100000000001</c:v>
                </c:pt>
                <c:pt idx="196">
                  <c:v>-17.4038</c:v>
                </c:pt>
                <c:pt idx="197">
                  <c:v>-18.041599999999999</c:v>
                </c:pt>
                <c:pt idx="198">
                  <c:v>-17.633400000000002</c:v>
                </c:pt>
                <c:pt idx="199">
                  <c:v>-17.7789</c:v>
                </c:pt>
                <c:pt idx="200">
                  <c:v>-17.724799999999998</c:v>
                </c:pt>
                <c:pt idx="201">
                  <c:v>-17.967500000000001</c:v>
                </c:pt>
                <c:pt idx="202">
                  <c:v>-17.124300000000002</c:v>
                </c:pt>
                <c:pt idx="203">
                  <c:v>-18.203700000000001</c:v>
                </c:pt>
                <c:pt idx="204">
                  <c:v>-17.694800000000001</c:v>
                </c:pt>
                <c:pt idx="205">
                  <c:v>-17.1401</c:v>
                </c:pt>
                <c:pt idx="206">
                  <c:v>-18.300799999999999</c:v>
                </c:pt>
                <c:pt idx="207">
                  <c:v>-18.218399999999999</c:v>
                </c:pt>
                <c:pt idx="208">
                  <c:v>-16.9313</c:v>
                </c:pt>
                <c:pt idx="209">
                  <c:v>-18.604600000000001</c:v>
                </c:pt>
                <c:pt idx="210">
                  <c:v>-17.496400000000001</c:v>
                </c:pt>
                <c:pt idx="211">
                  <c:v>-17.353200000000001</c:v>
                </c:pt>
                <c:pt idx="212">
                  <c:v>-17.677399999999999</c:v>
                </c:pt>
                <c:pt idx="213">
                  <c:v>-16.098600000000001</c:v>
                </c:pt>
                <c:pt idx="214">
                  <c:v>-17.7699</c:v>
                </c:pt>
                <c:pt idx="215">
                  <c:v>-18.800899999999999</c:v>
                </c:pt>
                <c:pt idx="216">
                  <c:v>-19.770199999999999</c:v>
                </c:pt>
                <c:pt idx="217">
                  <c:v>-19.703099999999999</c:v>
                </c:pt>
                <c:pt idx="218">
                  <c:v>-19.960599999999999</c:v>
                </c:pt>
                <c:pt idx="219">
                  <c:v>-19.046800000000001</c:v>
                </c:pt>
                <c:pt idx="220">
                  <c:v>-17.771100000000001</c:v>
                </c:pt>
                <c:pt idx="221">
                  <c:v>-18.825700000000001</c:v>
                </c:pt>
                <c:pt idx="222">
                  <c:v>-18.234100000000002</c:v>
                </c:pt>
                <c:pt idx="223">
                  <c:v>-19.758400000000002</c:v>
                </c:pt>
                <c:pt idx="224">
                  <c:v>-20.015699999999999</c:v>
                </c:pt>
                <c:pt idx="225">
                  <c:v>-19.678100000000001</c:v>
                </c:pt>
                <c:pt idx="226">
                  <c:v>-18.414400000000001</c:v>
                </c:pt>
                <c:pt idx="227">
                  <c:v>-17.879200000000001</c:v>
                </c:pt>
                <c:pt idx="228">
                  <c:v>-17.197199999999999</c:v>
                </c:pt>
                <c:pt idx="229">
                  <c:v>-19.5228</c:v>
                </c:pt>
                <c:pt idx="230">
                  <c:v>-17.334800000000001</c:v>
                </c:pt>
                <c:pt idx="231">
                  <c:v>-18.9572</c:v>
                </c:pt>
                <c:pt idx="232">
                  <c:v>-18.865300000000001</c:v>
                </c:pt>
                <c:pt idx="233">
                  <c:v>-17.145900000000001</c:v>
                </c:pt>
                <c:pt idx="234">
                  <c:v>-17.9178</c:v>
                </c:pt>
                <c:pt idx="235">
                  <c:v>-18.2806</c:v>
                </c:pt>
                <c:pt idx="236">
                  <c:v>-19.577000000000002</c:v>
                </c:pt>
                <c:pt idx="237">
                  <c:v>-19.3185</c:v>
                </c:pt>
                <c:pt idx="238">
                  <c:v>-20.639800000000001</c:v>
                </c:pt>
                <c:pt idx="239">
                  <c:v>-19.553100000000001</c:v>
                </c:pt>
                <c:pt idx="240">
                  <c:v>-18.9878</c:v>
                </c:pt>
                <c:pt idx="241">
                  <c:v>-18.323599999999999</c:v>
                </c:pt>
                <c:pt idx="242">
                  <c:v>-19.716000000000001</c:v>
                </c:pt>
                <c:pt idx="243">
                  <c:v>-19.682099999999998</c:v>
                </c:pt>
                <c:pt idx="244">
                  <c:v>-21.8307</c:v>
                </c:pt>
                <c:pt idx="245">
                  <c:v>-19.042899999999999</c:v>
                </c:pt>
                <c:pt idx="246">
                  <c:v>-19.404</c:v>
                </c:pt>
                <c:pt idx="247">
                  <c:v>-21.252700000000001</c:v>
                </c:pt>
                <c:pt idx="248">
                  <c:v>-20.4452</c:v>
                </c:pt>
                <c:pt idx="249">
                  <c:v>-19.484000000000002</c:v>
                </c:pt>
                <c:pt idx="250">
                  <c:v>-20.141200000000001</c:v>
                </c:pt>
                <c:pt idx="251">
                  <c:v>-18.296500000000002</c:v>
                </c:pt>
                <c:pt idx="252">
                  <c:v>-19.8691</c:v>
                </c:pt>
                <c:pt idx="253">
                  <c:v>-21.284300000000002</c:v>
                </c:pt>
                <c:pt idx="254">
                  <c:v>-19.895199999999999</c:v>
                </c:pt>
                <c:pt idx="255">
                  <c:v>-22.093</c:v>
                </c:pt>
                <c:pt idx="256">
                  <c:v>-20.2545</c:v>
                </c:pt>
                <c:pt idx="257">
                  <c:v>-18.61</c:v>
                </c:pt>
                <c:pt idx="258">
                  <c:v>-19.4603</c:v>
                </c:pt>
                <c:pt idx="259">
                  <c:v>-21.2194</c:v>
                </c:pt>
                <c:pt idx="260">
                  <c:v>-20.899000000000001</c:v>
                </c:pt>
                <c:pt idx="261">
                  <c:v>-21.126799999999999</c:v>
                </c:pt>
                <c:pt idx="262">
                  <c:v>-21.332599999999999</c:v>
                </c:pt>
                <c:pt idx="263">
                  <c:v>-19.827300000000001</c:v>
                </c:pt>
                <c:pt idx="264">
                  <c:v>-20.049399999999999</c:v>
                </c:pt>
                <c:pt idx="265">
                  <c:v>-18.419</c:v>
                </c:pt>
                <c:pt idx="266">
                  <c:v>-18.87</c:v>
                </c:pt>
                <c:pt idx="267">
                  <c:v>-19.613399999999999</c:v>
                </c:pt>
                <c:pt idx="268">
                  <c:v>-22.0198</c:v>
                </c:pt>
                <c:pt idx="269">
                  <c:v>-23.071300000000001</c:v>
                </c:pt>
                <c:pt idx="270">
                  <c:v>-21.671600000000002</c:v>
                </c:pt>
                <c:pt idx="271">
                  <c:v>-22.294</c:v>
                </c:pt>
                <c:pt idx="272">
                  <c:v>-22.080500000000001</c:v>
                </c:pt>
                <c:pt idx="273">
                  <c:v>-20.567499999999999</c:v>
                </c:pt>
                <c:pt idx="274">
                  <c:v>-22.7302</c:v>
                </c:pt>
                <c:pt idx="275">
                  <c:v>-22.1435</c:v>
                </c:pt>
                <c:pt idx="276">
                  <c:v>-22.362300000000001</c:v>
                </c:pt>
                <c:pt idx="277">
                  <c:v>-25.4892</c:v>
                </c:pt>
                <c:pt idx="278">
                  <c:v>-23.565000000000001</c:v>
                </c:pt>
                <c:pt idx="279">
                  <c:v>-23.048500000000001</c:v>
                </c:pt>
                <c:pt idx="280">
                  <c:v>-22.260100000000001</c:v>
                </c:pt>
                <c:pt idx="281">
                  <c:v>-21.223500000000001</c:v>
                </c:pt>
                <c:pt idx="282">
                  <c:v>-21.1982</c:v>
                </c:pt>
                <c:pt idx="283">
                  <c:v>-21.7029</c:v>
                </c:pt>
                <c:pt idx="284">
                  <c:v>-21.6966</c:v>
                </c:pt>
                <c:pt idx="285">
                  <c:v>-23.187899999999999</c:v>
                </c:pt>
                <c:pt idx="286">
                  <c:v>-23.2956</c:v>
                </c:pt>
                <c:pt idx="287">
                  <c:v>-23.188600000000001</c:v>
                </c:pt>
                <c:pt idx="288">
                  <c:v>-21.275200000000002</c:v>
                </c:pt>
                <c:pt idx="289">
                  <c:v>-22.515699999999999</c:v>
                </c:pt>
                <c:pt idx="290">
                  <c:v>-22.422000000000001</c:v>
                </c:pt>
                <c:pt idx="291">
                  <c:v>-20.835699999999999</c:v>
                </c:pt>
                <c:pt idx="292">
                  <c:v>-22.172599999999999</c:v>
                </c:pt>
                <c:pt idx="293">
                  <c:v>-21.653700000000001</c:v>
                </c:pt>
                <c:pt idx="294">
                  <c:v>-22.9984</c:v>
                </c:pt>
                <c:pt idx="295">
                  <c:v>-22.098800000000001</c:v>
                </c:pt>
                <c:pt idx="296">
                  <c:v>-21.165700000000001</c:v>
                </c:pt>
                <c:pt idx="297">
                  <c:v>-21.847300000000001</c:v>
                </c:pt>
                <c:pt idx="298">
                  <c:v>-21.403300000000002</c:v>
                </c:pt>
                <c:pt idx="299">
                  <c:v>-22.495999999999999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DA8B-AD4A-A152-53A109EF0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Capture Price (EUR/MWh)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P50/P90/P99 at Key Project Horizons — DK1 Primary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Simulation!$L$2</c:f>
              <c:strCache>
                <c:ptCount val="1"/>
                <c:pt idx="0">
                  <c:v>P50</c:v>
                </c:pt>
              </c:strCache>
            </c:strRef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Simulation!$L$3:$L$7</c:f>
              <c:numCache>
                <c:formatCode>General</c:formatCode>
                <c:ptCount val="5"/>
                <c:pt idx="0">
                  <c:v>62.42</c:v>
                </c:pt>
                <c:pt idx="1">
                  <c:v>60.67</c:v>
                </c:pt>
                <c:pt idx="2">
                  <c:v>58.52</c:v>
                </c:pt>
                <c:pt idx="3">
                  <c:v>57.43</c:v>
                </c:pt>
                <c:pt idx="4">
                  <c:v>54.79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1AA8-0440-A790-4E5A34D85D7E}"/>
            </c:ext>
          </c:extLst>
        </c:ser>
        <c:ser>
          <c:idx val="1"/>
          <c:order val="1"/>
          <c:tx>
            <c:strRef>
              <c:f>Simulation!$M$2</c:f>
              <c:strCache>
                <c:ptCount val="1"/>
                <c:pt idx="0">
                  <c:v>P90</c:v>
                </c:pt>
              </c:strCache>
            </c:strRef>
          </c:tx>
          <c:spPr>
            <a:solidFill>
              <a:srgbClr val="FF8C00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Simulation!$M$3:$M$7</c:f>
              <c:numCache>
                <c:formatCode>General</c:formatCode>
                <c:ptCount val="5"/>
                <c:pt idx="0">
                  <c:v>19.97</c:v>
                </c:pt>
                <c:pt idx="1">
                  <c:v>18.27</c:v>
                </c:pt>
                <c:pt idx="2">
                  <c:v>16.52</c:v>
                </c:pt>
                <c:pt idx="3">
                  <c:v>14.71</c:v>
                </c:pt>
                <c:pt idx="4">
                  <c:v>12.55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1AA8-0440-A790-4E5A34D85D7E}"/>
            </c:ext>
          </c:extLst>
        </c:ser>
        <c:ser>
          <c:idx val="2"/>
          <c:order val="2"/>
          <c:tx>
            <c:strRef>
              <c:f>Simulation!$N$2</c:f>
              <c:strCache>
                <c:ptCount val="1"/>
                <c:pt idx="0">
                  <c:v>P99</c:v>
                </c:pt>
              </c:strCache>
            </c:strRef>
          </c:tx>
          <c:spPr>
            <a:solidFill>
              <a:srgbClr val="C00000"/>
            </a:solidFill>
            <a:ln>
              <a:prstDash val="solid"/>
            </a:ln>
          </c:spPr>
          <c:invertIfNegative val="1"/>
          <c:cat>
            <c:strRef>
              <c:f>Simulation!$K$3:$K$7</c:f>
              <c:strCache>
                <c:ptCount val="5"/>
                <c:pt idx="0">
                  <c:v>Year 5</c:v>
                </c:pt>
                <c:pt idx="1">
                  <c:v>Year 10</c:v>
                </c:pt>
                <c:pt idx="2">
                  <c:v>Year 15</c:v>
                </c:pt>
                <c:pt idx="3">
                  <c:v>Year 20</c:v>
                </c:pt>
                <c:pt idx="4">
                  <c:v>Year 25</c:v>
                </c:pt>
              </c:strCache>
            </c:strRef>
          </c:cat>
          <c:val>
            <c:numRef>
              <c:f>Simulation!$N$3:$N$7</c:f>
              <c:numCache>
                <c:formatCode>General</c:formatCode>
                <c:ptCount val="5"/>
                <c:pt idx="0">
                  <c:v>-14.85</c:v>
                </c:pt>
                <c:pt idx="1">
                  <c:v>-17.66</c:v>
                </c:pt>
                <c:pt idx="2">
                  <c:v>-15.45</c:v>
                </c:pt>
                <c:pt idx="3">
                  <c:v>-19.55</c:v>
                </c:pt>
                <c:pt idx="4">
                  <c:v>-22.5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1AA8-0440-A790-4E5A34D85D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Project Year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Capture Price (EUR/MWh)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9" Type="http://schemas.openxmlformats.org/officeDocument/2006/relationships/chart" Target="../charts/chart39.xml"/><Relationship Id="rId21" Type="http://schemas.openxmlformats.org/officeDocument/2006/relationships/chart" Target="../charts/chart21.xml"/><Relationship Id="rId34" Type="http://schemas.openxmlformats.org/officeDocument/2006/relationships/chart" Target="../charts/chart34.xml"/><Relationship Id="rId42" Type="http://schemas.openxmlformats.org/officeDocument/2006/relationships/chart" Target="../charts/chart42.xml"/><Relationship Id="rId47" Type="http://schemas.openxmlformats.org/officeDocument/2006/relationships/chart" Target="../charts/chart47.xml"/><Relationship Id="rId50" Type="http://schemas.openxmlformats.org/officeDocument/2006/relationships/chart" Target="../charts/chart50.xml"/><Relationship Id="rId55" Type="http://schemas.openxmlformats.org/officeDocument/2006/relationships/chart" Target="../charts/chart55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9" Type="http://schemas.openxmlformats.org/officeDocument/2006/relationships/chart" Target="../charts/chart29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32" Type="http://schemas.openxmlformats.org/officeDocument/2006/relationships/chart" Target="../charts/chart32.xml"/><Relationship Id="rId37" Type="http://schemas.openxmlformats.org/officeDocument/2006/relationships/chart" Target="../charts/chart37.xml"/><Relationship Id="rId40" Type="http://schemas.openxmlformats.org/officeDocument/2006/relationships/chart" Target="../charts/chart40.xml"/><Relationship Id="rId45" Type="http://schemas.openxmlformats.org/officeDocument/2006/relationships/chart" Target="../charts/chart45.xml"/><Relationship Id="rId53" Type="http://schemas.openxmlformats.org/officeDocument/2006/relationships/chart" Target="../charts/chart53.xml"/><Relationship Id="rId58" Type="http://schemas.openxmlformats.org/officeDocument/2006/relationships/chart" Target="../charts/chart58.xml"/><Relationship Id="rId5" Type="http://schemas.openxmlformats.org/officeDocument/2006/relationships/chart" Target="../charts/chart5.xml"/><Relationship Id="rId61" Type="http://schemas.openxmlformats.org/officeDocument/2006/relationships/chart" Target="../charts/chart61.xml"/><Relationship Id="rId19" Type="http://schemas.openxmlformats.org/officeDocument/2006/relationships/chart" Target="../charts/chart1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Relationship Id="rId35" Type="http://schemas.openxmlformats.org/officeDocument/2006/relationships/chart" Target="../charts/chart35.xml"/><Relationship Id="rId43" Type="http://schemas.openxmlformats.org/officeDocument/2006/relationships/chart" Target="../charts/chart43.xml"/><Relationship Id="rId48" Type="http://schemas.openxmlformats.org/officeDocument/2006/relationships/chart" Target="../charts/chart48.xml"/><Relationship Id="rId56" Type="http://schemas.openxmlformats.org/officeDocument/2006/relationships/chart" Target="../charts/chart56.xml"/><Relationship Id="rId8" Type="http://schemas.openxmlformats.org/officeDocument/2006/relationships/chart" Target="../charts/chart8.xml"/><Relationship Id="rId51" Type="http://schemas.openxmlformats.org/officeDocument/2006/relationships/chart" Target="../charts/chart51.xml"/><Relationship Id="rId3" Type="http://schemas.openxmlformats.org/officeDocument/2006/relationships/chart" Target="../charts/chart3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33" Type="http://schemas.openxmlformats.org/officeDocument/2006/relationships/chart" Target="../charts/chart33.xml"/><Relationship Id="rId38" Type="http://schemas.openxmlformats.org/officeDocument/2006/relationships/chart" Target="../charts/chart38.xml"/><Relationship Id="rId46" Type="http://schemas.openxmlformats.org/officeDocument/2006/relationships/chart" Target="../charts/chart46.xml"/><Relationship Id="rId59" Type="http://schemas.openxmlformats.org/officeDocument/2006/relationships/chart" Target="../charts/chart59.xml"/><Relationship Id="rId20" Type="http://schemas.openxmlformats.org/officeDocument/2006/relationships/chart" Target="../charts/chart20.xml"/><Relationship Id="rId41" Type="http://schemas.openxmlformats.org/officeDocument/2006/relationships/chart" Target="../charts/chart41.xml"/><Relationship Id="rId54" Type="http://schemas.openxmlformats.org/officeDocument/2006/relationships/chart" Target="../charts/chart54.xml"/><Relationship Id="rId62" Type="http://schemas.openxmlformats.org/officeDocument/2006/relationships/chart" Target="../charts/chart6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36" Type="http://schemas.openxmlformats.org/officeDocument/2006/relationships/chart" Target="../charts/chart36.xml"/><Relationship Id="rId49" Type="http://schemas.openxmlformats.org/officeDocument/2006/relationships/chart" Target="../charts/chart49.xml"/><Relationship Id="rId57" Type="http://schemas.openxmlformats.org/officeDocument/2006/relationships/chart" Target="../charts/chart57.xml"/><Relationship Id="rId10" Type="http://schemas.openxmlformats.org/officeDocument/2006/relationships/chart" Target="../charts/chart10.xml"/><Relationship Id="rId31" Type="http://schemas.openxmlformats.org/officeDocument/2006/relationships/chart" Target="../charts/chart31.xml"/><Relationship Id="rId44" Type="http://schemas.openxmlformats.org/officeDocument/2006/relationships/chart" Target="../charts/chart44.xml"/><Relationship Id="rId52" Type="http://schemas.openxmlformats.org/officeDocument/2006/relationships/chart" Target="../charts/chart52.xml"/><Relationship Id="rId60" Type="http://schemas.openxmlformats.org/officeDocument/2006/relationships/chart" Target="../charts/chart6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26" Type="http://schemas.openxmlformats.org/officeDocument/2006/relationships/chart" Target="../charts/chart88.xml"/><Relationship Id="rId117" Type="http://schemas.openxmlformats.org/officeDocument/2006/relationships/chart" Target="../charts/chart179.xml"/><Relationship Id="rId21" Type="http://schemas.openxmlformats.org/officeDocument/2006/relationships/chart" Target="../charts/chart83.xml"/><Relationship Id="rId42" Type="http://schemas.openxmlformats.org/officeDocument/2006/relationships/chart" Target="../charts/chart104.xml"/><Relationship Id="rId47" Type="http://schemas.openxmlformats.org/officeDocument/2006/relationships/chart" Target="../charts/chart109.xml"/><Relationship Id="rId63" Type="http://schemas.openxmlformats.org/officeDocument/2006/relationships/chart" Target="../charts/chart125.xml"/><Relationship Id="rId68" Type="http://schemas.openxmlformats.org/officeDocument/2006/relationships/chart" Target="../charts/chart130.xml"/><Relationship Id="rId84" Type="http://schemas.openxmlformats.org/officeDocument/2006/relationships/chart" Target="../charts/chart146.xml"/><Relationship Id="rId89" Type="http://schemas.openxmlformats.org/officeDocument/2006/relationships/chart" Target="../charts/chart151.xml"/><Relationship Id="rId112" Type="http://schemas.openxmlformats.org/officeDocument/2006/relationships/chart" Target="../charts/chart174.xml"/><Relationship Id="rId16" Type="http://schemas.openxmlformats.org/officeDocument/2006/relationships/chart" Target="../charts/chart78.xml"/><Relationship Id="rId107" Type="http://schemas.openxmlformats.org/officeDocument/2006/relationships/chart" Target="../charts/chart169.xml"/><Relationship Id="rId11" Type="http://schemas.openxmlformats.org/officeDocument/2006/relationships/chart" Target="../charts/chart73.xml"/><Relationship Id="rId32" Type="http://schemas.openxmlformats.org/officeDocument/2006/relationships/chart" Target="../charts/chart94.xml"/><Relationship Id="rId37" Type="http://schemas.openxmlformats.org/officeDocument/2006/relationships/chart" Target="../charts/chart99.xml"/><Relationship Id="rId53" Type="http://schemas.openxmlformats.org/officeDocument/2006/relationships/chart" Target="../charts/chart115.xml"/><Relationship Id="rId58" Type="http://schemas.openxmlformats.org/officeDocument/2006/relationships/chart" Target="../charts/chart120.xml"/><Relationship Id="rId74" Type="http://schemas.openxmlformats.org/officeDocument/2006/relationships/chart" Target="../charts/chart136.xml"/><Relationship Id="rId79" Type="http://schemas.openxmlformats.org/officeDocument/2006/relationships/chart" Target="../charts/chart141.xml"/><Relationship Id="rId102" Type="http://schemas.openxmlformats.org/officeDocument/2006/relationships/chart" Target="../charts/chart164.xml"/><Relationship Id="rId5" Type="http://schemas.openxmlformats.org/officeDocument/2006/relationships/chart" Target="../charts/chart67.xml"/><Relationship Id="rId90" Type="http://schemas.openxmlformats.org/officeDocument/2006/relationships/chart" Target="../charts/chart152.xml"/><Relationship Id="rId95" Type="http://schemas.openxmlformats.org/officeDocument/2006/relationships/chart" Target="../charts/chart157.xml"/><Relationship Id="rId22" Type="http://schemas.openxmlformats.org/officeDocument/2006/relationships/chart" Target="../charts/chart84.xml"/><Relationship Id="rId27" Type="http://schemas.openxmlformats.org/officeDocument/2006/relationships/chart" Target="../charts/chart89.xml"/><Relationship Id="rId43" Type="http://schemas.openxmlformats.org/officeDocument/2006/relationships/chart" Target="../charts/chart105.xml"/><Relationship Id="rId48" Type="http://schemas.openxmlformats.org/officeDocument/2006/relationships/chart" Target="../charts/chart110.xml"/><Relationship Id="rId64" Type="http://schemas.openxmlformats.org/officeDocument/2006/relationships/chart" Target="../charts/chart126.xml"/><Relationship Id="rId69" Type="http://schemas.openxmlformats.org/officeDocument/2006/relationships/chart" Target="../charts/chart131.xml"/><Relationship Id="rId113" Type="http://schemas.openxmlformats.org/officeDocument/2006/relationships/chart" Target="../charts/chart175.xml"/><Relationship Id="rId80" Type="http://schemas.openxmlformats.org/officeDocument/2006/relationships/chart" Target="../charts/chart142.xml"/><Relationship Id="rId85" Type="http://schemas.openxmlformats.org/officeDocument/2006/relationships/chart" Target="../charts/chart147.xml"/><Relationship Id="rId12" Type="http://schemas.openxmlformats.org/officeDocument/2006/relationships/chart" Target="../charts/chart74.xml"/><Relationship Id="rId17" Type="http://schemas.openxmlformats.org/officeDocument/2006/relationships/chart" Target="../charts/chart79.xml"/><Relationship Id="rId33" Type="http://schemas.openxmlformats.org/officeDocument/2006/relationships/chart" Target="../charts/chart95.xml"/><Relationship Id="rId38" Type="http://schemas.openxmlformats.org/officeDocument/2006/relationships/chart" Target="../charts/chart100.xml"/><Relationship Id="rId59" Type="http://schemas.openxmlformats.org/officeDocument/2006/relationships/chart" Target="../charts/chart121.xml"/><Relationship Id="rId103" Type="http://schemas.openxmlformats.org/officeDocument/2006/relationships/chart" Target="../charts/chart165.xml"/><Relationship Id="rId108" Type="http://schemas.openxmlformats.org/officeDocument/2006/relationships/chart" Target="../charts/chart170.xml"/><Relationship Id="rId54" Type="http://schemas.openxmlformats.org/officeDocument/2006/relationships/chart" Target="../charts/chart116.xml"/><Relationship Id="rId70" Type="http://schemas.openxmlformats.org/officeDocument/2006/relationships/chart" Target="../charts/chart132.xml"/><Relationship Id="rId75" Type="http://schemas.openxmlformats.org/officeDocument/2006/relationships/chart" Target="../charts/chart137.xml"/><Relationship Id="rId91" Type="http://schemas.openxmlformats.org/officeDocument/2006/relationships/chart" Target="../charts/chart153.xml"/><Relationship Id="rId96" Type="http://schemas.openxmlformats.org/officeDocument/2006/relationships/chart" Target="../charts/chart158.xml"/><Relationship Id="rId1" Type="http://schemas.openxmlformats.org/officeDocument/2006/relationships/chart" Target="../charts/chart63.xml"/><Relationship Id="rId6" Type="http://schemas.openxmlformats.org/officeDocument/2006/relationships/chart" Target="../charts/chart68.xml"/><Relationship Id="rId23" Type="http://schemas.openxmlformats.org/officeDocument/2006/relationships/chart" Target="../charts/chart85.xml"/><Relationship Id="rId28" Type="http://schemas.openxmlformats.org/officeDocument/2006/relationships/chart" Target="../charts/chart90.xml"/><Relationship Id="rId49" Type="http://schemas.openxmlformats.org/officeDocument/2006/relationships/chart" Target="../charts/chart111.xml"/><Relationship Id="rId114" Type="http://schemas.openxmlformats.org/officeDocument/2006/relationships/chart" Target="../charts/chart176.xml"/><Relationship Id="rId10" Type="http://schemas.openxmlformats.org/officeDocument/2006/relationships/chart" Target="../charts/chart72.xml"/><Relationship Id="rId31" Type="http://schemas.openxmlformats.org/officeDocument/2006/relationships/chart" Target="../charts/chart93.xml"/><Relationship Id="rId44" Type="http://schemas.openxmlformats.org/officeDocument/2006/relationships/chart" Target="../charts/chart106.xml"/><Relationship Id="rId52" Type="http://schemas.openxmlformats.org/officeDocument/2006/relationships/chart" Target="../charts/chart114.xml"/><Relationship Id="rId60" Type="http://schemas.openxmlformats.org/officeDocument/2006/relationships/chart" Target="../charts/chart122.xml"/><Relationship Id="rId65" Type="http://schemas.openxmlformats.org/officeDocument/2006/relationships/chart" Target="../charts/chart127.xml"/><Relationship Id="rId73" Type="http://schemas.openxmlformats.org/officeDocument/2006/relationships/chart" Target="../charts/chart135.xml"/><Relationship Id="rId78" Type="http://schemas.openxmlformats.org/officeDocument/2006/relationships/chart" Target="../charts/chart140.xml"/><Relationship Id="rId81" Type="http://schemas.openxmlformats.org/officeDocument/2006/relationships/chart" Target="../charts/chart143.xml"/><Relationship Id="rId86" Type="http://schemas.openxmlformats.org/officeDocument/2006/relationships/chart" Target="../charts/chart148.xml"/><Relationship Id="rId94" Type="http://schemas.openxmlformats.org/officeDocument/2006/relationships/chart" Target="../charts/chart156.xml"/><Relationship Id="rId99" Type="http://schemas.openxmlformats.org/officeDocument/2006/relationships/chart" Target="../charts/chart161.xml"/><Relationship Id="rId101" Type="http://schemas.openxmlformats.org/officeDocument/2006/relationships/chart" Target="../charts/chart163.xml"/><Relationship Id="rId4" Type="http://schemas.openxmlformats.org/officeDocument/2006/relationships/chart" Target="../charts/chart66.xml"/><Relationship Id="rId9" Type="http://schemas.openxmlformats.org/officeDocument/2006/relationships/chart" Target="../charts/chart71.xml"/><Relationship Id="rId13" Type="http://schemas.openxmlformats.org/officeDocument/2006/relationships/chart" Target="../charts/chart75.xml"/><Relationship Id="rId18" Type="http://schemas.openxmlformats.org/officeDocument/2006/relationships/chart" Target="../charts/chart80.xml"/><Relationship Id="rId39" Type="http://schemas.openxmlformats.org/officeDocument/2006/relationships/chart" Target="../charts/chart101.xml"/><Relationship Id="rId109" Type="http://schemas.openxmlformats.org/officeDocument/2006/relationships/chart" Target="../charts/chart171.xml"/><Relationship Id="rId34" Type="http://schemas.openxmlformats.org/officeDocument/2006/relationships/chart" Target="../charts/chart96.xml"/><Relationship Id="rId50" Type="http://schemas.openxmlformats.org/officeDocument/2006/relationships/chart" Target="../charts/chart112.xml"/><Relationship Id="rId55" Type="http://schemas.openxmlformats.org/officeDocument/2006/relationships/chart" Target="../charts/chart117.xml"/><Relationship Id="rId76" Type="http://schemas.openxmlformats.org/officeDocument/2006/relationships/chart" Target="../charts/chart138.xml"/><Relationship Id="rId97" Type="http://schemas.openxmlformats.org/officeDocument/2006/relationships/chart" Target="../charts/chart159.xml"/><Relationship Id="rId104" Type="http://schemas.openxmlformats.org/officeDocument/2006/relationships/chart" Target="../charts/chart166.xml"/><Relationship Id="rId7" Type="http://schemas.openxmlformats.org/officeDocument/2006/relationships/chart" Target="../charts/chart69.xml"/><Relationship Id="rId71" Type="http://schemas.openxmlformats.org/officeDocument/2006/relationships/chart" Target="../charts/chart133.xml"/><Relationship Id="rId92" Type="http://schemas.openxmlformats.org/officeDocument/2006/relationships/chart" Target="../charts/chart154.xml"/><Relationship Id="rId2" Type="http://schemas.openxmlformats.org/officeDocument/2006/relationships/chart" Target="../charts/chart64.xml"/><Relationship Id="rId29" Type="http://schemas.openxmlformats.org/officeDocument/2006/relationships/chart" Target="../charts/chart91.xml"/><Relationship Id="rId24" Type="http://schemas.openxmlformats.org/officeDocument/2006/relationships/chart" Target="../charts/chart86.xml"/><Relationship Id="rId40" Type="http://schemas.openxmlformats.org/officeDocument/2006/relationships/chart" Target="../charts/chart102.xml"/><Relationship Id="rId45" Type="http://schemas.openxmlformats.org/officeDocument/2006/relationships/chart" Target="../charts/chart107.xml"/><Relationship Id="rId66" Type="http://schemas.openxmlformats.org/officeDocument/2006/relationships/chart" Target="../charts/chart128.xml"/><Relationship Id="rId87" Type="http://schemas.openxmlformats.org/officeDocument/2006/relationships/chart" Target="../charts/chart149.xml"/><Relationship Id="rId110" Type="http://schemas.openxmlformats.org/officeDocument/2006/relationships/chart" Target="../charts/chart172.xml"/><Relationship Id="rId115" Type="http://schemas.openxmlformats.org/officeDocument/2006/relationships/chart" Target="../charts/chart177.xml"/><Relationship Id="rId61" Type="http://schemas.openxmlformats.org/officeDocument/2006/relationships/chart" Target="../charts/chart123.xml"/><Relationship Id="rId82" Type="http://schemas.openxmlformats.org/officeDocument/2006/relationships/chart" Target="../charts/chart144.xml"/><Relationship Id="rId19" Type="http://schemas.openxmlformats.org/officeDocument/2006/relationships/chart" Target="../charts/chart81.xml"/><Relationship Id="rId14" Type="http://schemas.openxmlformats.org/officeDocument/2006/relationships/chart" Target="../charts/chart76.xml"/><Relationship Id="rId30" Type="http://schemas.openxmlformats.org/officeDocument/2006/relationships/chart" Target="../charts/chart92.xml"/><Relationship Id="rId35" Type="http://schemas.openxmlformats.org/officeDocument/2006/relationships/chart" Target="../charts/chart97.xml"/><Relationship Id="rId56" Type="http://schemas.openxmlformats.org/officeDocument/2006/relationships/chart" Target="../charts/chart118.xml"/><Relationship Id="rId77" Type="http://schemas.openxmlformats.org/officeDocument/2006/relationships/chart" Target="../charts/chart139.xml"/><Relationship Id="rId100" Type="http://schemas.openxmlformats.org/officeDocument/2006/relationships/chart" Target="../charts/chart162.xml"/><Relationship Id="rId105" Type="http://schemas.openxmlformats.org/officeDocument/2006/relationships/chart" Target="../charts/chart167.xml"/><Relationship Id="rId8" Type="http://schemas.openxmlformats.org/officeDocument/2006/relationships/chart" Target="../charts/chart70.xml"/><Relationship Id="rId51" Type="http://schemas.openxmlformats.org/officeDocument/2006/relationships/chart" Target="../charts/chart113.xml"/><Relationship Id="rId72" Type="http://schemas.openxmlformats.org/officeDocument/2006/relationships/chart" Target="../charts/chart134.xml"/><Relationship Id="rId93" Type="http://schemas.openxmlformats.org/officeDocument/2006/relationships/chart" Target="../charts/chart155.xml"/><Relationship Id="rId98" Type="http://schemas.openxmlformats.org/officeDocument/2006/relationships/chart" Target="../charts/chart160.xml"/><Relationship Id="rId3" Type="http://schemas.openxmlformats.org/officeDocument/2006/relationships/chart" Target="../charts/chart65.xml"/><Relationship Id="rId25" Type="http://schemas.openxmlformats.org/officeDocument/2006/relationships/chart" Target="../charts/chart87.xml"/><Relationship Id="rId46" Type="http://schemas.openxmlformats.org/officeDocument/2006/relationships/chart" Target="../charts/chart108.xml"/><Relationship Id="rId67" Type="http://schemas.openxmlformats.org/officeDocument/2006/relationships/chart" Target="../charts/chart129.xml"/><Relationship Id="rId116" Type="http://schemas.openxmlformats.org/officeDocument/2006/relationships/chart" Target="../charts/chart178.xml"/><Relationship Id="rId20" Type="http://schemas.openxmlformats.org/officeDocument/2006/relationships/chart" Target="../charts/chart82.xml"/><Relationship Id="rId41" Type="http://schemas.openxmlformats.org/officeDocument/2006/relationships/chart" Target="../charts/chart103.xml"/><Relationship Id="rId62" Type="http://schemas.openxmlformats.org/officeDocument/2006/relationships/chart" Target="../charts/chart124.xml"/><Relationship Id="rId83" Type="http://schemas.openxmlformats.org/officeDocument/2006/relationships/chart" Target="../charts/chart145.xml"/><Relationship Id="rId88" Type="http://schemas.openxmlformats.org/officeDocument/2006/relationships/chart" Target="../charts/chart150.xml"/><Relationship Id="rId111" Type="http://schemas.openxmlformats.org/officeDocument/2006/relationships/chart" Target="../charts/chart173.xml"/><Relationship Id="rId15" Type="http://schemas.openxmlformats.org/officeDocument/2006/relationships/chart" Target="../charts/chart77.xml"/><Relationship Id="rId36" Type="http://schemas.openxmlformats.org/officeDocument/2006/relationships/chart" Target="../charts/chart98.xml"/><Relationship Id="rId57" Type="http://schemas.openxmlformats.org/officeDocument/2006/relationships/chart" Target="../charts/chart119.xml"/><Relationship Id="rId106" Type="http://schemas.openxmlformats.org/officeDocument/2006/relationships/chart" Target="../charts/chart168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87.xml"/><Relationship Id="rId13" Type="http://schemas.openxmlformats.org/officeDocument/2006/relationships/chart" Target="../charts/chart192.xml"/><Relationship Id="rId18" Type="http://schemas.openxmlformats.org/officeDocument/2006/relationships/chart" Target="../charts/chart197.xml"/><Relationship Id="rId26" Type="http://schemas.openxmlformats.org/officeDocument/2006/relationships/chart" Target="../charts/chart205.xml"/><Relationship Id="rId3" Type="http://schemas.openxmlformats.org/officeDocument/2006/relationships/chart" Target="../charts/chart182.xml"/><Relationship Id="rId21" Type="http://schemas.openxmlformats.org/officeDocument/2006/relationships/chart" Target="../charts/chart200.xml"/><Relationship Id="rId7" Type="http://schemas.openxmlformats.org/officeDocument/2006/relationships/chart" Target="../charts/chart186.xml"/><Relationship Id="rId12" Type="http://schemas.openxmlformats.org/officeDocument/2006/relationships/chart" Target="../charts/chart191.xml"/><Relationship Id="rId17" Type="http://schemas.openxmlformats.org/officeDocument/2006/relationships/chart" Target="../charts/chart196.xml"/><Relationship Id="rId25" Type="http://schemas.openxmlformats.org/officeDocument/2006/relationships/chart" Target="../charts/chart204.xml"/><Relationship Id="rId2" Type="http://schemas.openxmlformats.org/officeDocument/2006/relationships/chart" Target="../charts/chart181.xml"/><Relationship Id="rId16" Type="http://schemas.openxmlformats.org/officeDocument/2006/relationships/chart" Target="../charts/chart195.xml"/><Relationship Id="rId20" Type="http://schemas.openxmlformats.org/officeDocument/2006/relationships/chart" Target="../charts/chart199.xml"/><Relationship Id="rId29" Type="http://schemas.openxmlformats.org/officeDocument/2006/relationships/chart" Target="../charts/chart208.xml"/><Relationship Id="rId1" Type="http://schemas.openxmlformats.org/officeDocument/2006/relationships/chart" Target="../charts/chart180.xml"/><Relationship Id="rId6" Type="http://schemas.openxmlformats.org/officeDocument/2006/relationships/chart" Target="../charts/chart185.xml"/><Relationship Id="rId11" Type="http://schemas.openxmlformats.org/officeDocument/2006/relationships/chart" Target="../charts/chart190.xml"/><Relationship Id="rId24" Type="http://schemas.openxmlformats.org/officeDocument/2006/relationships/chart" Target="../charts/chart203.xml"/><Relationship Id="rId5" Type="http://schemas.openxmlformats.org/officeDocument/2006/relationships/chart" Target="../charts/chart184.xml"/><Relationship Id="rId15" Type="http://schemas.openxmlformats.org/officeDocument/2006/relationships/chart" Target="../charts/chart194.xml"/><Relationship Id="rId23" Type="http://schemas.openxmlformats.org/officeDocument/2006/relationships/chart" Target="../charts/chart202.xml"/><Relationship Id="rId28" Type="http://schemas.openxmlformats.org/officeDocument/2006/relationships/chart" Target="../charts/chart207.xml"/><Relationship Id="rId10" Type="http://schemas.openxmlformats.org/officeDocument/2006/relationships/chart" Target="../charts/chart189.xml"/><Relationship Id="rId19" Type="http://schemas.openxmlformats.org/officeDocument/2006/relationships/chart" Target="../charts/chart198.xml"/><Relationship Id="rId31" Type="http://schemas.openxmlformats.org/officeDocument/2006/relationships/chart" Target="../charts/chart210.xml"/><Relationship Id="rId4" Type="http://schemas.openxmlformats.org/officeDocument/2006/relationships/chart" Target="../charts/chart183.xml"/><Relationship Id="rId9" Type="http://schemas.openxmlformats.org/officeDocument/2006/relationships/chart" Target="../charts/chart188.xml"/><Relationship Id="rId14" Type="http://schemas.openxmlformats.org/officeDocument/2006/relationships/chart" Target="../charts/chart193.xml"/><Relationship Id="rId22" Type="http://schemas.openxmlformats.org/officeDocument/2006/relationships/chart" Target="../charts/chart201.xml"/><Relationship Id="rId27" Type="http://schemas.openxmlformats.org/officeDocument/2006/relationships/chart" Target="../charts/chart206.xml"/><Relationship Id="rId30" Type="http://schemas.openxmlformats.org/officeDocument/2006/relationships/chart" Target="../charts/chart209.xml"/></Relationships>
</file>

<file path=xl/drawings/_rels/drawing4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223.xml"/><Relationship Id="rId18" Type="http://schemas.openxmlformats.org/officeDocument/2006/relationships/chart" Target="../charts/chart228.xml"/><Relationship Id="rId26" Type="http://schemas.openxmlformats.org/officeDocument/2006/relationships/chart" Target="../charts/chart236.xml"/><Relationship Id="rId39" Type="http://schemas.openxmlformats.org/officeDocument/2006/relationships/chart" Target="../charts/chart249.xml"/><Relationship Id="rId21" Type="http://schemas.openxmlformats.org/officeDocument/2006/relationships/chart" Target="../charts/chart231.xml"/><Relationship Id="rId34" Type="http://schemas.openxmlformats.org/officeDocument/2006/relationships/chart" Target="../charts/chart244.xml"/><Relationship Id="rId42" Type="http://schemas.openxmlformats.org/officeDocument/2006/relationships/chart" Target="../charts/chart252.xml"/><Relationship Id="rId7" Type="http://schemas.openxmlformats.org/officeDocument/2006/relationships/chart" Target="../charts/chart217.xml"/><Relationship Id="rId2" Type="http://schemas.openxmlformats.org/officeDocument/2006/relationships/chart" Target="../charts/chart212.xml"/><Relationship Id="rId16" Type="http://schemas.openxmlformats.org/officeDocument/2006/relationships/chart" Target="../charts/chart226.xml"/><Relationship Id="rId20" Type="http://schemas.openxmlformats.org/officeDocument/2006/relationships/chart" Target="../charts/chart230.xml"/><Relationship Id="rId29" Type="http://schemas.openxmlformats.org/officeDocument/2006/relationships/chart" Target="../charts/chart239.xml"/><Relationship Id="rId41" Type="http://schemas.openxmlformats.org/officeDocument/2006/relationships/chart" Target="../charts/chart251.xml"/><Relationship Id="rId1" Type="http://schemas.openxmlformats.org/officeDocument/2006/relationships/chart" Target="../charts/chart211.xml"/><Relationship Id="rId6" Type="http://schemas.openxmlformats.org/officeDocument/2006/relationships/chart" Target="../charts/chart216.xml"/><Relationship Id="rId11" Type="http://schemas.openxmlformats.org/officeDocument/2006/relationships/chart" Target="../charts/chart221.xml"/><Relationship Id="rId24" Type="http://schemas.openxmlformats.org/officeDocument/2006/relationships/chart" Target="../charts/chart234.xml"/><Relationship Id="rId32" Type="http://schemas.openxmlformats.org/officeDocument/2006/relationships/chart" Target="../charts/chart242.xml"/><Relationship Id="rId37" Type="http://schemas.openxmlformats.org/officeDocument/2006/relationships/chart" Target="../charts/chart247.xml"/><Relationship Id="rId40" Type="http://schemas.openxmlformats.org/officeDocument/2006/relationships/chart" Target="../charts/chart250.xml"/><Relationship Id="rId5" Type="http://schemas.openxmlformats.org/officeDocument/2006/relationships/chart" Target="../charts/chart215.xml"/><Relationship Id="rId15" Type="http://schemas.openxmlformats.org/officeDocument/2006/relationships/chart" Target="../charts/chart225.xml"/><Relationship Id="rId23" Type="http://schemas.openxmlformats.org/officeDocument/2006/relationships/chart" Target="../charts/chart233.xml"/><Relationship Id="rId28" Type="http://schemas.openxmlformats.org/officeDocument/2006/relationships/chart" Target="../charts/chart238.xml"/><Relationship Id="rId36" Type="http://schemas.openxmlformats.org/officeDocument/2006/relationships/chart" Target="../charts/chart246.xml"/><Relationship Id="rId10" Type="http://schemas.openxmlformats.org/officeDocument/2006/relationships/chart" Target="../charts/chart220.xml"/><Relationship Id="rId19" Type="http://schemas.openxmlformats.org/officeDocument/2006/relationships/chart" Target="../charts/chart229.xml"/><Relationship Id="rId31" Type="http://schemas.openxmlformats.org/officeDocument/2006/relationships/chart" Target="../charts/chart241.xml"/><Relationship Id="rId4" Type="http://schemas.openxmlformats.org/officeDocument/2006/relationships/chart" Target="../charts/chart214.xml"/><Relationship Id="rId9" Type="http://schemas.openxmlformats.org/officeDocument/2006/relationships/chart" Target="../charts/chart219.xml"/><Relationship Id="rId14" Type="http://schemas.openxmlformats.org/officeDocument/2006/relationships/chart" Target="../charts/chart224.xml"/><Relationship Id="rId22" Type="http://schemas.openxmlformats.org/officeDocument/2006/relationships/chart" Target="../charts/chart232.xml"/><Relationship Id="rId27" Type="http://schemas.openxmlformats.org/officeDocument/2006/relationships/chart" Target="../charts/chart237.xml"/><Relationship Id="rId30" Type="http://schemas.openxmlformats.org/officeDocument/2006/relationships/chart" Target="../charts/chart240.xml"/><Relationship Id="rId35" Type="http://schemas.openxmlformats.org/officeDocument/2006/relationships/chart" Target="../charts/chart245.xml"/><Relationship Id="rId8" Type="http://schemas.openxmlformats.org/officeDocument/2006/relationships/chart" Target="../charts/chart218.xml"/><Relationship Id="rId3" Type="http://schemas.openxmlformats.org/officeDocument/2006/relationships/chart" Target="../charts/chart213.xml"/><Relationship Id="rId12" Type="http://schemas.openxmlformats.org/officeDocument/2006/relationships/chart" Target="../charts/chart222.xml"/><Relationship Id="rId17" Type="http://schemas.openxmlformats.org/officeDocument/2006/relationships/chart" Target="../charts/chart227.xml"/><Relationship Id="rId25" Type="http://schemas.openxmlformats.org/officeDocument/2006/relationships/chart" Target="../charts/chart235.xml"/><Relationship Id="rId33" Type="http://schemas.openxmlformats.org/officeDocument/2006/relationships/chart" Target="../charts/chart243.xml"/><Relationship Id="rId38" Type="http://schemas.openxmlformats.org/officeDocument/2006/relationships/chart" Target="../charts/chart248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</xdr:row>
      <xdr:rowOff>0</xdr:rowOff>
    </xdr:from>
    <xdr:ext cx="720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8</xdr:col>
      <xdr:colOff>0</xdr:colOff>
      <xdr:row>23</xdr:row>
      <xdr:rowOff>0</xdr:rowOff>
    </xdr:from>
    <xdr:ext cx="7200000" cy="43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8</xdr:col>
      <xdr:colOff>0</xdr:colOff>
      <xdr:row>1</xdr:row>
      <xdr:rowOff>0</xdr:rowOff>
    </xdr:from>
    <xdr:ext cx="7200000" cy="432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8</xdr:col>
      <xdr:colOff>0</xdr:colOff>
      <xdr:row>23</xdr:row>
      <xdr:rowOff>0</xdr:rowOff>
    </xdr:from>
    <xdr:ext cx="7200000" cy="432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8</xdr:col>
      <xdr:colOff>0</xdr:colOff>
      <xdr:row>1</xdr:row>
      <xdr:rowOff>0</xdr:rowOff>
    </xdr:from>
    <xdr:ext cx="7200000" cy="432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8</xdr:col>
      <xdr:colOff>0</xdr:colOff>
      <xdr:row>23</xdr:row>
      <xdr:rowOff>0</xdr:rowOff>
    </xdr:from>
    <xdr:ext cx="7200000" cy="432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8</xdr:col>
      <xdr:colOff>0</xdr:colOff>
      <xdr:row>1</xdr:row>
      <xdr:rowOff>0</xdr:rowOff>
    </xdr:from>
    <xdr:ext cx="7200000" cy="432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8</xdr:col>
      <xdr:colOff>0</xdr:colOff>
      <xdr:row>23</xdr:row>
      <xdr:rowOff>0</xdr:rowOff>
    </xdr:from>
    <xdr:ext cx="7200000" cy="4320000"/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8</xdr:col>
      <xdr:colOff>0</xdr:colOff>
      <xdr:row>1</xdr:row>
      <xdr:rowOff>0</xdr:rowOff>
    </xdr:from>
    <xdr:ext cx="7200000" cy="4320000"/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>
    <xdr:from>
      <xdr:col>8</xdr:col>
      <xdr:colOff>0</xdr:colOff>
      <xdr:row>23</xdr:row>
      <xdr:rowOff>0</xdr:rowOff>
    </xdr:from>
    <xdr:ext cx="7200000" cy="4320000"/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>
    <xdr:from>
      <xdr:col>8</xdr:col>
      <xdr:colOff>0</xdr:colOff>
      <xdr:row>1</xdr:row>
      <xdr:rowOff>0</xdr:rowOff>
    </xdr:from>
    <xdr:ext cx="7200000" cy="4320000"/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>
    <xdr:from>
      <xdr:col>8</xdr:col>
      <xdr:colOff>0</xdr:colOff>
      <xdr:row>23</xdr:row>
      <xdr:rowOff>0</xdr:rowOff>
    </xdr:from>
    <xdr:ext cx="7200000" cy="4320000"/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>
    <xdr:from>
      <xdr:col>8</xdr:col>
      <xdr:colOff>0</xdr:colOff>
      <xdr:row>1</xdr:row>
      <xdr:rowOff>0</xdr:rowOff>
    </xdr:from>
    <xdr:ext cx="7200000" cy="4320000"/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  <xdr:oneCellAnchor>
    <xdr:from>
      <xdr:col>8</xdr:col>
      <xdr:colOff>0</xdr:colOff>
      <xdr:row>23</xdr:row>
      <xdr:rowOff>0</xdr:rowOff>
    </xdr:from>
    <xdr:ext cx="7200000" cy="4320000"/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oneCellAnchor>
  <xdr:oneCellAnchor>
    <xdr:from>
      <xdr:col>8</xdr:col>
      <xdr:colOff>0</xdr:colOff>
      <xdr:row>1</xdr:row>
      <xdr:rowOff>0</xdr:rowOff>
    </xdr:from>
    <xdr:ext cx="7200000" cy="4320000"/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oneCellAnchor>
  <xdr:oneCellAnchor>
    <xdr:from>
      <xdr:col>8</xdr:col>
      <xdr:colOff>0</xdr:colOff>
      <xdr:row>23</xdr:row>
      <xdr:rowOff>0</xdr:rowOff>
    </xdr:from>
    <xdr:ext cx="7200000" cy="4320000"/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oneCellAnchor>
  <xdr:oneCellAnchor>
    <xdr:from>
      <xdr:col>8</xdr:col>
      <xdr:colOff>0</xdr:colOff>
      <xdr:row>1</xdr:row>
      <xdr:rowOff>0</xdr:rowOff>
    </xdr:from>
    <xdr:ext cx="7200000" cy="4320000"/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oneCellAnchor>
  <xdr:oneCellAnchor>
    <xdr:from>
      <xdr:col>8</xdr:col>
      <xdr:colOff>0</xdr:colOff>
      <xdr:row>23</xdr:row>
      <xdr:rowOff>0</xdr:rowOff>
    </xdr:from>
    <xdr:ext cx="7200000" cy="4320000"/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oneCellAnchor>
  <xdr:oneCellAnchor>
    <xdr:from>
      <xdr:col>8</xdr:col>
      <xdr:colOff>0</xdr:colOff>
      <xdr:row>1</xdr:row>
      <xdr:rowOff>0</xdr:rowOff>
    </xdr:from>
    <xdr:ext cx="7200000" cy="4320000"/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oneCellAnchor>
  <xdr:oneCellAnchor>
    <xdr:from>
      <xdr:col>8</xdr:col>
      <xdr:colOff>0</xdr:colOff>
      <xdr:row>23</xdr:row>
      <xdr:rowOff>0</xdr:rowOff>
    </xdr:from>
    <xdr:ext cx="7200000" cy="4320000"/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oneCellAnchor>
  <xdr:oneCellAnchor>
    <xdr:from>
      <xdr:col>8</xdr:col>
      <xdr:colOff>0</xdr:colOff>
      <xdr:row>1</xdr:row>
      <xdr:rowOff>0</xdr:rowOff>
    </xdr:from>
    <xdr:ext cx="7200000" cy="4320000"/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oneCellAnchor>
  <xdr:oneCellAnchor>
    <xdr:from>
      <xdr:col>8</xdr:col>
      <xdr:colOff>0</xdr:colOff>
      <xdr:row>23</xdr:row>
      <xdr:rowOff>0</xdr:rowOff>
    </xdr:from>
    <xdr:ext cx="7200000" cy="4320000"/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oneCellAnchor>
  <xdr:oneCellAnchor>
    <xdr:from>
      <xdr:col>8</xdr:col>
      <xdr:colOff>0</xdr:colOff>
      <xdr:row>1</xdr:row>
      <xdr:rowOff>0</xdr:rowOff>
    </xdr:from>
    <xdr:ext cx="7200000" cy="4320000"/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oneCellAnchor>
  <xdr:oneCellAnchor>
    <xdr:from>
      <xdr:col>8</xdr:col>
      <xdr:colOff>0</xdr:colOff>
      <xdr:row>23</xdr:row>
      <xdr:rowOff>0</xdr:rowOff>
    </xdr:from>
    <xdr:ext cx="7200000" cy="4320000"/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oneCellAnchor>
  <xdr:oneCellAnchor>
    <xdr:from>
      <xdr:col>8</xdr:col>
      <xdr:colOff>0</xdr:colOff>
      <xdr:row>1</xdr:row>
      <xdr:rowOff>0</xdr:rowOff>
    </xdr:from>
    <xdr:ext cx="7200000" cy="4320000"/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00000000-0008-0000-0400-00001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oneCellAnchor>
  <xdr:oneCellAnchor>
    <xdr:from>
      <xdr:col>8</xdr:col>
      <xdr:colOff>0</xdr:colOff>
      <xdr:row>23</xdr:row>
      <xdr:rowOff>0</xdr:rowOff>
    </xdr:from>
    <xdr:ext cx="7200000" cy="4320000"/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00000000-0008-0000-0400-00001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oneCellAnchor>
  <xdr:oneCellAnchor>
    <xdr:from>
      <xdr:col>8</xdr:col>
      <xdr:colOff>0</xdr:colOff>
      <xdr:row>1</xdr:row>
      <xdr:rowOff>0</xdr:rowOff>
    </xdr:from>
    <xdr:ext cx="7200000" cy="4320000"/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00000000-0008-0000-0400-00001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oneCellAnchor>
  <xdr:oneCellAnchor>
    <xdr:from>
      <xdr:col>8</xdr:col>
      <xdr:colOff>0</xdr:colOff>
      <xdr:row>23</xdr:row>
      <xdr:rowOff>0</xdr:rowOff>
    </xdr:from>
    <xdr:ext cx="7200000" cy="4320000"/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00000000-0008-0000-0400-00001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oneCellAnchor>
  <xdr:oneCellAnchor>
    <xdr:from>
      <xdr:col>8</xdr:col>
      <xdr:colOff>0</xdr:colOff>
      <xdr:row>1</xdr:row>
      <xdr:rowOff>0</xdr:rowOff>
    </xdr:from>
    <xdr:ext cx="7200000" cy="4320000"/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00000000-0008-0000-0400-00001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oneCellAnchor>
  <xdr:oneCellAnchor>
    <xdr:from>
      <xdr:col>8</xdr:col>
      <xdr:colOff>0</xdr:colOff>
      <xdr:row>23</xdr:row>
      <xdr:rowOff>0</xdr:rowOff>
    </xdr:from>
    <xdr:ext cx="7200000" cy="4320000"/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00000000-0008-0000-0400-00001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oneCellAnchor>
  <xdr:oneCellAnchor>
    <xdr:from>
      <xdr:col>8</xdr:col>
      <xdr:colOff>0</xdr:colOff>
      <xdr:row>1</xdr:row>
      <xdr:rowOff>0</xdr:rowOff>
    </xdr:from>
    <xdr:ext cx="7200000" cy="4320000"/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00000000-0008-0000-0400-00002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oneCellAnchor>
  <xdr:oneCellAnchor>
    <xdr:from>
      <xdr:col>8</xdr:col>
      <xdr:colOff>0</xdr:colOff>
      <xdr:row>23</xdr:row>
      <xdr:rowOff>0</xdr:rowOff>
    </xdr:from>
    <xdr:ext cx="7200000" cy="4320000"/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00000000-0008-0000-0400-00002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oneCellAnchor>
  <xdr:oneCellAnchor>
    <xdr:from>
      <xdr:col>8</xdr:col>
      <xdr:colOff>0</xdr:colOff>
      <xdr:row>1</xdr:row>
      <xdr:rowOff>0</xdr:rowOff>
    </xdr:from>
    <xdr:ext cx="7200000" cy="4320000"/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00000000-0008-0000-0400-00002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oneCellAnchor>
  <xdr:oneCellAnchor>
    <xdr:from>
      <xdr:col>8</xdr:col>
      <xdr:colOff>0</xdr:colOff>
      <xdr:row>23</xdr:row>
      <xdr:rowOff>0</xdr:rowOff>
    </xdr:from>
    <xdr:ext cx="7200000" cy="4320000"/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00000000-0008-0000-0400-00002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oneCellAnchor>
  <xdr:oneCellAnchor>
    <xdr:from>
      <xdr:col>8</xdr:col>
      <xdr:colOff>0</xdr:colOff>
      <xdr:row>1</xdr:row>
      <xdr:rowOff>0</xdr:rowOff>
    </xdr:from>
    <xdr:ext cx="7200000" cy="4320000"/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00000000-0008-0000-0400-00002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oneCellAnchor>
  <xdr:oneCellAnchor>
    <xdr:from>
      <xdr:col>8</xdr:col>
      <xdr:colOff>0</xdr:colOff>
      <xdr:row>23</xdr:row>
      <xdr:rowOff>0</xdr:rowOff>
    </xdr:from>
    <xdr:ext cx="7200000" cy="4320000"/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00000000-0008-0000-0400-00002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oneCellAnchor>
  <xdr:oneCellAnchor>
    <xdr:from>
      <xdr:col>8</xdr:col>
      <xdr:colOff>0</xdr:colOff>
      <xdr:row>1</xdr:row>
      <xdr:rowOff>0</xdr:rowOff>
    </xdr:from>
    <xdr:ext cx="7200000" cy="4320000"/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00000000-0008-0000-0400-00002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oneCellAnchor>
  <xdr:oneCellAnchor>
    <xdr:from>
      <xdr:col>8</xdr:col>
      <xdr:colOff>0</xdr:colOff>
      <xdr:row>23</xdr:row>
      <xdr:rowOff>0</xdr:rowOff>
    </xdr:from>
    <xdr:ext cx="7200000" cy="4320000"/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oneCellAnchor>
  <xdr:oneCellAnchor>
    <xdr:from>
      <xdr:col>8</xdr:col>
      <xdr:colOff>0</xdr:colOff>
      <xdr:row>1</xdr:row>
      <xdr:rowOff>0</xdr:rowOff>
    </xdr:from>
    <xdr:ext cx="7200000" cy="4320000"/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oneCellAnchor>
  <xdr:oneCellAnchor>
    <xdr:from>
      <xdr:col>8</xdr:col>
      <xdr:colOff>0</xdr:colOff>
      <xdr:row>23</xdr:row>
      <xdr:rowOff>0</xdr:rowOff>
    </xdr:from>
    <xdr:ext cx="7200000" cy="4320000"/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00000000-0008-0000-0400-00002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oneCellAnchor>
  <xdr:oneCellAnchor>
    <xdr:from>
      <xdr:col>8</xdr:col>
      <xdr:colOff>0</xdr:colOff>
      <xdr:row>1</xdr:row>
      <xdr:rowOff>0</xdr:rowOff>
    </xdr:from>
    <xdr:ext cx="7200000" cy="4320000"/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00000000-0008-0000-0400-00002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oneCellAnchor>
  <xdr:oneCellAnchor>
    <xdr:from>
      <xdr:col>8</xdr:col>
      <xdr:colOff>0</xdr:colOff>
      <xdr:row>23</xdr:row>
      <xdr:rowOff>0</xdr:rowOff>
    </xdr:from>
    <xdr:ext cx="7200000" cy="4320000"/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00000000-0008-0000-0400-00002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oneCellAnchor>
  <xdr:oneCellAnchor>
    <xdr:from>
      <xdr:col>8</xdr:col>
      <xdr:colOff>0</xdr:colOff>
      <xdr:row>1</xdr:row>
      <xdr:rowOff>0</xdr:rowOff>
    </xdr:from>
    <xdr:ext cx="7200000" cy="4320000"/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00000000-0008-0000-0400-00002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oneCellAnchor>
  <xdr:oneCellAnchor>
    <xdr:from>
      <xdr:col>8</xdr:col>
      <xdr:colOff>0</xdr:colOff>
      <xdr:row>23</xdr:row>
      <xdr:rowOff>0</xdr:rowOff>
    </xdr:from>
    <xdr:ext cx="7200000" cy="4320000"/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00000000-0008-0000-0400-00002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oneCellAnchor>
  <xdr:oneCellAnchor>
    <xdr:from>
      <xdr:col>8</xdr:col>
      <xdr:colOff>0</xdr:colOff>
      <xdr:row>1</xdr:row>
      <xdr:rowOff>0</xdr:rowOff>
    </xdr:from>
    <xdr:ext cx="7200000" cy="4320000"/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00000000-0008-0000-0400-00002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oneCellAnchor>
  <xdr:oneCellAnchor>
    <xdr:from>
      <xdr:col>8</xdr:col>
      <xdr:colOff>0</xdr:colOff>
      <xdr:row>23</xdr:row>
      <xdr:rowOff>0</xdr:rowOff>
    </xdr:from>
    <xdr:ext cx="7200000" cy="4320000"/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00000000-0008-0000-0400-00002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oneCellAnchor>
  <xdr:oneCellAnchor>
    <xdr:from>
      <xdr:col>8</xdr:col>
      <xdr:colOff>0</xdr:colOff>
      <xdr:row>1</xdr:row>
      <xdr:rowOff>0</xdr:rowOff>
    </xdr:from>
    <xdr:ext cx="7200000" cy="4320000"/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00000000-0008-0000-0400-00003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oneCellAnchor>
  <xdr:oneCellAnchor>
    <xdr:from>
      <xdr:col>8</xdr:col>
      <xdr:colOff>0</xdr:colOff>
      <xdr:row>23</xdr:row>
      <xdr:rowOff>0</xdr:rowOff>
    </xdr:from>
    <xdr:ext cx="7200000" cy="4320000"/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00000000-0008-0000-0400-00003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oneCellAnchor>
  <xdr:oneCellAnchor>
    <xdr:from>
      <xdr:col>8</xdr:col>
      <xdr:colOff>0</xdr:colOff>
      <xdr:row>1</xdr:row>
      <xdr:rowOff>0</xdr:rowOff>
    </xdr:from>
    <xdr:ext cx="7200000" cy="4320000"/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00000000-0008-0000-0400-00003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oneCellAnchor>
  <xdr:oneCellAnchor>
    <xdr:from>
      <xdr:col>8</xdr:col>
      <xdr:colOff>0</xdr:colOff>
      <xdr:row>23</xdr:row>
      <xdr:rowOff>0</xdr:rowOff>
    </xdr:from>
    <xdr:ext cx="7200000" cy="4320000"/>
    <xdr:graphicFrame macro="">
      <xdr:nvGraphicFramePr>
        <xdr:cNvPr id="51" name="Chart 50">
          <a:extLst>
            <a:ext uri="{FF2B5EF4-FFF2-40B4-BE49-F238E27FC236}">
              <a16:creationId xmlns:a16="http://schemas.microsoft.com/office/drawing/2014/main" id="{00000000-0008-0000-0400-00003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oneCellAnchor>
  <xdr:oneCellAnchor>
    <xdr:from>
      <xdr:col>8</xdr:col>
      <xdr:colOff>0</xdr:colOff>
      <xdr:row>1</xdr:row>
      <xdr:rowOff>0</xdr:rowOff>
    </xdr:from>
    <xdr:ext cx="7200000" cy="4320000"/>
    <xdr:graphicFrame macro="">
      <xdr:nvGraphicFramePr>
        <xdr:cNvPr id="52" name="Chart 51">
          <a:extLst>
            <a:ext uri="{FF2B5EF4-FFF2-40B4-BE49-F238E27FC236}">
              <a16:creationId xmlns:a16="http://schemas.microsoft.com/office/drawing/2014/main" id="{00000000-0008-0000-0400-00003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oneCellAnchor>
  <xdr:oneCellAnchor>
    <xdr:from>
      <xdr:col>8</xdr:col>
      <xdr:colOff>0</xdr:colOff>
      <xdr:row>23</xdr:row>
      <xdr:rowOff>0</xdr:rowOff>
    </xdr:from>
    <xdr:ext cx="7200000" cy="4320000"/>
    <xdr:graphicFrame macro="">
      <xdr:nvGraphicFramePr>
        <xdr:cNvPr id="53" name="Chart 52">
          <a:extLst>
            <a:ext uri="{FF2B5EF4-FFF2-40B4-BE49-F238E27FC236}">
              <a16:creationId xmlns:a16="http://schemas.microsoft.com/office/drawing/2014/main" id="{00000000-0008-0000-0400-00003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oneCellAnchor>
  <xdr:oneCellAnchor>
    <xdr:from>
      <xdr:col>8</xdr:col>
      <xdr:colOff>0</xdr:colOff>
      <xdr:row>1</xdr:row>
      <xdr:rowOff>0</xdr:rowOff>
    </xdr:from>
    <xdr:ext cx="7200000" cy="4320000"/>
    <xdr:graphicFrame macro="">
      <xdr:nvGraphicFramePr>
        <xdr:cNvPr id="54" name="Chart 53">
          <a:extLst>
            <a:ext uri="{FF2B5EF4-FFF2-40B4-BE49-F238E27FC236}">
              <a16:creationId xmlns:a16="http://schemas.microsoft.com/office/drawing/2014/main" id="{00000000-0008-0000-0400-00003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xdr:graphicFrame>
    <xdr:clientData/>
  </xdr:oneCellAnchor>
  <xdr:oneCellAnchor>
    <xdr:from>
      <xdr:col>8</xdr:col>
      <xdr:colOff>0</xdr:colOff>
      <xdr:row>23</xdr:row>
      <xdr:rowOff>0</xdr:rowOff>
    </xdr:from>
    <xdr:ext cx="7200000" cy="4320000"/>
    <xdr:graphicFrame macro="">
      <xdr:nvGraphicFramePr>
        <xdr:cNvPr id="55" name="Chart 54">
          <a:extLst>
            <a:ext uri="{FF2B5EF4-FFF2-40B4-BE49-F238E27FC236}">
              <a16:creationId xmlns:a16="http://schemas.microsoft.com/office/drawing/2014/main" id="{00000000-0008-0000-0400-00003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xdr:graphicFrame>
    <xdr:clientData/>
  </xdr:oneCellAnchor>
  <xdr:oneCellAnchor>
    <xdr:from>
      <xdr:col>8</xdr:col>
      <xdr:colOff>0</xdr:colOff>
      <xdr:row>1</xdr:row>
      <xdr:rowOff>0</xdr:rowOff>
    </xdr:from>
    <xdr:ext cx="7200000" cy="4320000"/>
    <xdr:graphicFrame macro="">
      <xdr:nvGraphicFramePr>
        <xdr:cNvPr id="56" name="Chart 55">
          <a:extLst>
            <a:ext uri="{FF2B5EF4-FFF2-40B4-BE49-F238E27FC236}">
              <a16:creationId xmlns:a16="http://schemas.microsoft.com/office/drawing/2014/main" id="{00000000-0008-0000-0400-00003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5"/>
        </a:graphicData>
      </a:graphic>
    </xdr:graphicFrame>
    <xdr:clientData/>
  </xdr:oneCellAnchor>
  <xdr:oneCellAnchor>
    <xdr:from>
      <xdr:col>8</xdr:col>
      <xdr:colOff>0</xdr:colOff>
      <xdr:row>23</xdr:row>
      <xdr:rowOff>0</xdr:rowOff>
    </xdr:from>
    <xdr:ext cx="7200000" cy="4320000"/>
    <xdr:graphicFrame macro="">
      <xdr:nvGraphicFramePr>
        <xdr:cNvPr id="57" name="Chart 56">
          <a:extLst>
            <a:ext uri="{FF2B5EF4-FFF2-40B4-BE49-F238E27FC236}">
              <a16:creationId xmlns:a16="http://schemas.microsoft.com/office/drawing/2014/main" id="{00000000-0008-0000-0400-00003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6"/>
        </a:graphicData>
      </a:graphic>
    </xdr:graphicFrame>
    <xdr:clientData/>
  </xdr:oneCellAnchor>
  <xdr:oneCellAnchor>
    <xdr:from>
      <xdr:col>8</xdr:col>
      <xdr:colOff>0</xdr:colOff>
      <xdr:row>1</xdr:row>
      <xdr:rowOff>0</xdr:rowOff>
    </xdr:from>
    <xdr:ext cx="7200000" cy="4320000"/>
    <xdr:graphicFrame macro="">
      <xdr:nvGraphicFramePr>
        <xdr:cNvPr id="58" name="Chart 57">
          <a:extLst>
            <a:ext uri="{FF2B5EF4-FFF2-40B4-BE49-F238E27FC236}">
              <a16:creationId xmlns:a16="http://schemas.microsoft.com/office/drawing/2014/main" id="{00000000-0008-0000-0400-00003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7"/>
        </a:graphicData>
      </a:graphic>
    </xdr:graphicFrame>
    <xdr:clientData/>
  </xdr:oneCellAnchor>
  <xdr:oneCellAnchor>
    <xdr:from>
      <xdr:col>8</xdr:col>
      <xdr:colOff>0</xdr:colOff>
      <xdr:row>23</xdr:row>
      <xdr:rowOff>0</xdr:rowOff>
    </xdr:from>
    <xdr:ext cx="7200000" cy="4320000"/>
    <xdr:graphicFrame macro="">
      <xdr:nvGraphicFramePr>
        <xdr:cNvPr id="59" name="Chart 58">
          <a:extLst>
            <a:ext uri="{FF2B5EF4-FFF2-40B4-BE49-F238E27FC236}">
              <a16:creationId xmlns:a16="http://schemas.microsoft.com/office/drawing/2014/main" id="{00000000-0008-0000-0400-00003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8"/>
        </a:graphicData>
      </a:graphic>
    </xdr:graphicFrame>
    <xdr:clientData/>
  </xdr:oneCellAnchor>
  <xdr:oneCellAnchor>
    <xdr:from>
      <xdr:col>8</xdr:col>
      <xdr:colOff>0</xdr:colOff>
      <xdr:row>1</xdr:row>
      <xdr:rowOff>0</xdr:rowOff>
    </xdr:from>
    <xdr:ext cx="7200000" cy="4320000"/>
    <xdr:graphicFrame macro="">
      <xdr:nvGraphicFramePr>
        <xdr:cNvPr id="60" name="Chart 59">
          <a:extLst>
            <a:ext uri="{FF2B5EF4-FFF2-40B4-BE49-F238E27FC236}">
              <a16:creationId xmlns:a16="http://schemas.microsoft.com/office/drawing/2014/main" id="{00000000-0008-0000-0400-00003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9"/>
        </a:graphicData>
      </a:graphic>
    </xdr:graphicFrame>
    <xdr:clientData/>
  </xdr:oneCellAnchor>
  <xdr:oneCellAnchor>
    <xdr:from>
      <xdr:col>8</xdr:col>
      <xdr:colOff>0</xdr:colOff>
      <xdr:row>23</xdr:row>
      <xdr:rowOff>0</xdr:rowOff>
    </xdr:from>
    <xdr:ext cx="7200000" cy="4320000"/>
    <xdr:graphicFrame macro="">
      <xdr:nvGraphicFramePr>
        <xdr:cNvPr id="61" name="Chart 60">
          <a:extLst>
            <a:ext uri="{FF2B5EF4-FFF2-40B4-BE49-F238E27FC236}">
              <a16:creationId xmlns:a16="http://schemas.microsoft.com/office/drawing/2014/main" id="{00000000-0008-0000-0400-00003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0"/>
        </a:graphicData>
      </a:graphic>
    </xdr:graphicFrame>
    <xdr:clientData/>
  </xdr:oneCellAnchor>
  <xdr:oneCellAnchor>
    <xdr:from>
      <xdr:col>8</xdr:col>
      <xdr:colOff>0</xdr:colOff>
      <xdr:row>1</xdr:row>
      <xdr:rowOff>0</xdr:rowOff>
    </xdr:from>
    <xdr:ext cx="7200000" cy="4320000"/>
    <xdr:graphicFrame macro="">
      <xdr:nvGraphicFramePr>
        <xdr:cNvPr id="62" name="Chart 61">
          <a:extLst>
            <a:ext uri="{FF2B5EF4-FFF2-40B4-BE49-F238E27FC236}">
              <a16:creationId xmlns:a16="http://schemas.microsoft.com/office/drawing/2014/main" id="{00000000-0008-0000-0400-00003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1"/>
        </a:graphicData>
      </a:graphic>
    </xdr:graphicFrame>
    <xdr:clientData/>
  </xdr:oneCellAnchor>
  <xdr:oneCellAnchor>
    <xdr:from>
      <xdr:col>8</xdr:col>
      <xdr:colOff>0</xdr:colOff>
      <xdr:row>23</xdr:row>
      <xdr:rowOff>0</xdr:rowOff>
    </xdr:from>
    <xdr:ext cx="7200000" cy="4320000"/>
    <xdr:graphicFrame macro="">
      <xdr:nvGraphicFramePr>
        <xdr:cNvPr id="63" name="Chart 62">
          <a:extLst>
            <a:ext uri="{FF2B5EF4-FFF2-40B4-BE49-F238E27FC236}">
              <a16:creationId xmlns:a16="http://schemas.microsoft.com/office/drawing/2014/main" id="{00000000-0008-0000-0400-00003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2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800100</xdr:colOff>
      <xdr:row>5</xdr:row>
      <xdr:rowOff>0</xdr:rowOff>
    </xdr:from>
    <xdr:ext cx="10553700" cy="43688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14</xdr:col>
      <xdr:colOff>787400</xdr:colOff>
      <xdr:row>28</xdr:row>
      <xdr:rowOff>101600</xdr:rowOff>
    </xdr:from>
    <xdr:ext cx="10553700" cy="43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14</xdr:col>
      <xdr:colOff>787400</xdr:colOff>
      <xdr:row>51</xdr:row>
      <xdr:rowOff>88900</xdr:rowOff>
    </xdr:from>
    <xdr:ext cx="10541000" cy="432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14</xdr:col>
      <xdr:colOff>0</xdr:colOff>
      <xdr:row>1</xdr:row>
      <xdr:rowOff>0</xdr:rowOff>
    </xdr:from>
    <xdr:ext cx="7200000" cy="432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14</xdr:col>
      <xdr:colOff>0</xdr:colOff>
      <xdr:row>23</xdr:row>
      <xdr:rowOff>0</xdr:rowOff>
    </xdr:from>
    <xdr:ext cx="7200000" cy="432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14</xdr:col>
      <xdr:colOff>0</xdr:colOff>
      <xdr:row>45</xdr:row>
      <xdr:rowOff>0</xdr:rowOff>
    </xdr:from>
    <xdr:ext cx="7200000" cy="432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14</xdr:col>
      <xdr:colOff>0</xdr:colOff>
      <xdr:row>1</xdr:row>
      <xdr:rowOff>0</xdr:rowOff>
    </xdr:from>
    <xdr:ext cx="7200000" cy="432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14</xdr:col>
      <xdr:colOff>0</xdr:colOff>
      <xdr:row>23</xdr:row>
      <xdr:rowOff>0</xdr:rowOff>
    </xdr:from>
    <xdr:ext cx="7200000" cy="4320000"/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14</xdr:col>
      <xdr:colOff>0</xdr:colOff>
      <xdr:row>45</xdr:row>
      <xdr:rowOff>0</xdr:rowOff>
    </xdr:from>
    <xdr:ext cx="7200000" cy="4320000"/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>
    <xdr:from>
      <xdr:col>12</xdr:col>
      <xdr:colOff>0</xdr:colOff>
      <xdr:row>1</xdr:row>
      <xdr:rowOff>0</xdr:rowOff>
    </xdr:from>
    <xdr:ext cx="7200000" cy="4320000"/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>
    <xdr:from>
      <xdr:col>12</xdr:col>
      <xdr:colOff>0</xdr:colOff>
      <xdr:row>23</xdr:row>
      <xdr:rowOff>0</xdr:rowOff>
    </xdr:from>
    <xdr:ext cx="7200000" cy="4320000"/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>
    <xdr:from>
      <xdr:col>12</xdr:col>
      <xdr:colOff>0</xdr:colOff>
      <xdr:row>45</xdr:row>
      <xdr:rowOff>0</xdr:rowOff>
    </xdr:from>
    <xdr:ext cx="7200000" cy="4320000"/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>
    <xdr:from>
      <xdr:col>12</xdr:col>
      <xdr:colOff>0</xdr:colOff>
      <xdr:row>1</xdr:row>
      <xdr:rowOff>0</xdr:rowOff>
    </xdr:from>
    <xdr:ext cx="7200000" cy="4320000"/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  <xdr:oneCellAnchor>
    <xdr:from>
      <xdr:col>12</xdr:col>
      <xdr:colOff>0</xdr:colOff>
      <xdr:row>23</xdr:row>
      <xdr:rowOff>0</xdr:rowOff>
    </xdr:from>
    <xdr:ext cx="7200000" cy="4320000"/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oneCellAnchor>
  <xdr:oneCellAnchor>
    <xdr:from>
      <xdr:col>12</xdr:col>
      <xdr:colOff>0</xdr:colOff>
      <xdr:row>45</xdr:row>
      <xdr:rowOff>0</xdr:rowOff>
    </xdr:from>
    <xdr:ext cx="7200000" cy="4320000"/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oneCellAnchor>
  <xdr:oneCellAnchor>
    <xdr:from>
      <xdr:col>12</xdr:col>
      <xdr:colOff>0</xdr:colOff>
      <xdr:row>1</xdr:row>
      <xdr:rowOff>0</xdr:rowOff>
    </xdr:from>
    <xdr:ext cx="7200000" cy="4320000"/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oneCellAnchor>
  <xdr:oneCellAnchor>
    <xdr:from>
      <xdr:col>12</xdr:col>
      <xdr:colOff>0</xdr:colOff>
      <xdr:row>23</xdr:row>
      <xdr:rowOff>0</xdr:rowOff>
    </xdr:from>
    <xdr:ext cx="7200000" cy="4320000"/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oneCellAnchor>
  <xdr:oneCellAnchor>
    <xdr:from>
      <xdr:col>12</xdr:col>
      <xdr:colOff>0</xdr:colOff>
      <xdr:row>45</xdr:row>
      <xdr:rowOff>0</xdr:rowOff>
    </xdr:from>
    <xdr:ext cx="7200000" cy="4320000"/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oneCellAnchor>
  <xdr:oneCellAnchor>
    <xdr:from>
      <xdr:col>12</xdr:col>
      <xdr:colOff>0</xdr:colOff>
      <xdr:row>1</xdr:row>
      <xdr:rowOff>0</xdr:rowOff>
    </xdr:from>
    <xdr:ext cx="7200000" cy="4320000"/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00000000-0008-0000-0500-00001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oneCellAnchor>
  <xdr:oneCellAnchor>
    <xdr:from>
      <xdr:col>12</xdr:col>
      <xdr:colOff>0</xdr:colOff>
      <xdr:row>23</xdr:row>
      <xdr:rowOff>0</xdr:rowOff>
    </xdr:from>
    <xdr:ext cx="7200000" cy="4320000"/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00000000-0008-0000-0500-00001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oneCellAnchor>
  <xdr:oneCellAnchor>
    <xdr:from>
      <xdr:col>12</xdr:col>
      <xdr:colOff>0</xdr:colOff>
      <xdr:row>45</xdr:row>
      <xdr:rowOff>0</xdr:rowOff>
    </xdr:from>
    <xdr:ext cx="7200000" cy="4320000"/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00000000-0008-0000-0500-00001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oneCellAnchor>
  <xdr:oneCellAnchor>
    <xdr:from>
      <xdr:col>12</xdr:col>
      <xdr:colOff>0</xdr:colOff>
      <xdr:row>1</xdr:row>
      <xdr:rowOff>0</xdr:rowOff>
    </xdr:from>
    <xdr:ext cx="7200000" cy="4320000"/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00000000-0008-0000-0500-00001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oneCellAnchor>
  <xdr:oneCellAnchor>
    <xdr:from>
      <xdr:col>12</xdr:col>
      <xdr:colOff>0</xdr:colOff>
      <xdr:row>23</xdr:row>
      <xdr:rowOff>0</xdr:rowOff>
    </xdr:from>
    <xdr:ext cx="7200000" cy="4320000"/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00000000-0008-0000-0500-00001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oneCellAnchor>
  <xdr:oneCellAnchor>
    <xdr:from>
      <xdr:col>12</xdr:col>
      <xdr:colOff>0</xdr:colOff>
      <xdr:row>45</xdr:row>
      <xdr:rowOff>0</xdr:rowOff>
    </xdr:from>
    <xdr:ext cx="7200000" cy="4320000"/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00000000-0008-0000-0500-00001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oneCellAnchor>
  <xdr:oneCellAnchor>
    <xdr:from>
      <xdr:col>12</xdr:col>
      <xdr:colOff>0</xdr:colOff>
      <xdr:row>1</xdr:row>
      <xdr:rowOff>0</xdr:rowOff>
    </xdr:from>
    <xdr:ext cx="7200000" cy="4320000"/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00000000-0008-0000-0500-00001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oneCellAnchor>
  <xdr:oneCellAnchor>
    <xdr:from>
      <xdr:col>12</xdr:col>
      <xdr:colOff>0</xdr:colOff>
      <xdr:row>23</xdr:row>
      <xdr:rowOff>0</xdr:rowOff>
    </xdr:from>
    <xdr:ext cx="7200000" cy="4320000"/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00000000-0008-0000-0500-00001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oneCellAnchor>
  <xdr:oneCellAnchor>
    <xdr:from>
      <xdr:col>12</xdr:col>
      <xdr:colOff>0</xdr:colOff>
      <xdr:row>45</xdr:row>
      <xdr:rowOff>0</xdr:rowOff>
    </xdr:from>
    <xdr:ext cx="7200000" cy="4320000"/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00000000-0008-0000-0500-00001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oneCellAnchor>
  <xdr:oneCellAnchor>
    <xdr:from>
      <xdr:col>12</xdr:col>
      <xdr:colOff>0</xdr:colOff>
      <xdr:row>1</xdr:row>
      <xdr:rowOff>0</xdr:rowOff>
    </xdr:from>
    <xdr:ext cx="7200000" cy="4320000"/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00000000-0008-0000-0500-00001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oneCellAnchor>
  <xdr:oneCellAnchor>
    <xdr:from>
      <xdr:col>12</xdr:col>
      <xdr:colOff>0</xdr:colOff>
      <xdr:row>23</xdr:row>
      <xdr:rowOff>0</xdr:rowOff>
    </xdr:from>
    <xdr:ext cx="7200000" cy="4320000"/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00000000-0008-0000-0500-00001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oneCellAnchor>
  <xdr:oneCellAnchor>
    <xdr:from>
      <xdr:col>12</xdr:col>
      <xdr:colOff>0</xdr:colOff>
      <xdr:row>45</xdr:row>
      <xdr:rowOff>0</xdr:rowOff>
    </xdr:from>
    <xdr:ext cx="7200000" cy="4320000"/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00000000-0008-0000-0500-00001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oneCellAnchor>
  <xdr:oneCellAnchor>
    <xdr:from>
      <xdr:col>12</xdr:col>
      <xdr:colOff>0</xdr:colOff>
      <xdr:row>1</xdr:row>
      <xdr:rowOff>0</xdr:rowOff>
    </xdr:from>
    <xdr:ext cx="7200000" cy="4320000"/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00000000-0008-0000-0500-00002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oneCellAnchor>
  <xdr:oneCellAnchor>
    <xdr:from>
      <xdr:col>12</xdr:col>
      <xdr:colOff>0</xdr:colOff>
      <xdr:row>23</xdr:row>
      <xdr:rowOff>0</xdr:rowOff>
    </xdr:from>
    <xdr:ext cx="7200000" cy="4320000"/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00000000-0008-0000-0500-00002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oneCellAnchor>
  <xdr:oneCellAnchor>
    <xdr:from>
      <xdr:col>12</xdr:col>
      <xdr:colOff>0</xdr:colOff>
      <xdr:row>45</xdr:row>
      <xdr:rowOff>0</xdr:rowOff>
    </xdr:from>
    <xdr:ext cx="7200000" cy="4320000"/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00000000-0008-0000-0500-00002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oneCellAnchor>
  <xdr:oneCellAnchor>
    <xdr:from>
      <xdr:col>12</xdr:col>
      <xdr:colOff>0</xdr:colOff>
      <xdr:row>1</xdr:row>
      <xdr:rowOff>0</xdr:rowOff>
    </xdr:from>
    <xdr:ext cx="7200000" cy="4320000"/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00000000-0008-0000-0500-00002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oneCellAnchor>
  <xdr:oneCellAnchor>
    <xdr:from>
      <xdr:col>12</xdr:col>
      <xdr:colOff>0</xdr:colOff>
      <xdr:row>23</xdr:row>
      <xdr:rowOff>0</xdr:rowOff>
    </xdr:from>
    <xdr:ext cx="7200000" cy="4320000"/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00000000-0008-0000-0500-00002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oneCellAnchor>
  <xdr:oneCellAnchor>
    <xdr:from>
      <xdr:col>12</xdr:col>
      <xdr:colOff>0</xdr:colOff>
      <xdr:row>45</xdr:row>
      <xdr:rowOff>0</xdr:rowOff>
    </xdr:from>
    <xdr:ext cx="7200000" cy="4320000"/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00000000-0008-0000-0500-00002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oneCellAnchor>
  <xdr:oneCellAnchor>
    <xdr:from>
      <xdr:col>12</xdr:col>
      <xdr:colOff>0</xdr:colOff>
      <xdr:row>1</xdr:row>
      <xdr:rowOff>0</xdr:rowOff>
    </xdr:from>
    <xdr:ext cx="7200000" cy="4320000"/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00000000-0008-0000-0500-00002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oneCellAnchor>
  <xdr:oneCellAnchor>
    <xdr:from>
      <xdr:col>12</xdr:col>
      <xdr:colOff>0</xdr:colOff>
      <xdr:row>23</xdr:row>
      <xdr:rowOff>0</xdr:rowOff>
    </xdr:from>
    <xdr:ext cx="7200000" cy="4320000"/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00000000-0008-0000-0500-00002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oneCellAnchor>
  <xdr:oneCellAnchor>
    <xdr:from>
      <xdr:col>12</xdr:col>
      <xdr:colOff>0</xdr:colOff>
      <xdr:row>45</xdr:row>
      <xdr:rowOff>0</xdr:rowOff>
    </xdr:from>
    <xdr:ext cx="7200000" cy="4320000"/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00000000-0008-0000-0500-00002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oneCellAnchor>
  <xdr:oneCellAnchor>
    <xdr:from>
      <xdr:col>12</xdr:col>
      <xdr:colOff>0</xdr:colOff>
      <xdr:row>1</xdr:row>
      <xdr:rowOff>0</xdr:rowOff>
    </xdr:from>
    <xdr:ext cx="7200000" cy="4320000"/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00000000-0008-0000-0500-00002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oneCellAnchor>
  <xdr:oneCellAnchor>
    <xdr:from>
      <xdr:col>12</xdr:col>
      <xdr:colOff>0</xdr:colOff>
      <xdr:row>23</xdr:row>
      <xdr:rowOff>0</xdr:rowOff>
    </xdr:from>
    <xdr:ext cx="7200000" cy="4320000"/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00000000-0008-0000-0500-00002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oneCellAnchor>
  <xdr:oneCellAnchor>
    <xdr:from>
      <xdr:col>12</xdr:col>
      <xdr:colOff>0</xdr:colOff>
      <xdr:row>45</xdr:row>
      <xdr:rowOff>0</xdr:rowOff>
    </xdr:from>
    <xdr:ext cx="7200000" cy="4320000"/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00000000-0008-0000-0500-00002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oneCellAnchor>
  <xdr:oneCellAnchor>
    <xdr:from>
      <xdr:col>12</xdr:col>
      <xdr:colOff>0</xdr:colOff>
      <xdr:row>1</xdr:row>
      <xdr:rowOff>0</xdr:rowOff>
    </xdr:from>
    <xdr:ext cx="7200000" cy="4320000"/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00000000-0008-0000-0500-00002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oneCellAnchor>
  <xdr:oneCellAnchor>
    <xdr:from>
      <xdr:col>12</xdr:col>
      <xdr:colOff>0</xdr:colOff>
      <xdr:row>23</xdr:row>
      <xdr:rowOff>0</xdr:rowOff>
    </xdr:from>
    <xdr:ext cx="7200000" cy="4320000"/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00000000-0008-0000-0500-00002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oneCellAnchor>
  <xdr:oneCellAnchor>
    <xdr:from>
      <xdr:col>12</xdr:col>
      <xdr:colOff>0</xdr:colOff>
      <xdr:row>45</xdr:row>
      <xdr:rowOff>0</xdr:rowOff>
    </xdr:from>
    <xdr:ext cx="7200000" cy="4320000"/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00000000-0008-0000-0500-00002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oneCellAnchor>
  <xdr:oneCellAnchor>
    <xdr:from>
      <xdr:col>12</xdr:col>
      <xdr:colOff>0</xdr:colOff>
      <xdr:row>1</xdr:row>
      <xdr:rowOff>0</xdr:rowOff>
    </xdr:from>
    <xdr:ext cx="7200000" cy="4320000"/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00000000-0008-0000-0500-00002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oneCellAnchor>
  <xdr:oneCellAnchor>
    <xdr:from>
      <xdr:col>12</xdr:col>
      <xdr:colOff>0</xdr:colOff>
      <xdr:row>23</xdr:row>
      <xdr:rowOff>0</xdr:rowOff>
    </xdr:from>
    <xdr:ext cx="7200000" cy="4320000"/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00000000-0008-0000-0500-00003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oneCellAnchor>
  <xdr:oneCellAnchor>
    <xdr:from>
      <xdr:col>12</xdr:col>
      <xdr:colOff>0</xdr:colOff>
      <xdr:row>45</xdr:row>
      <xdr:rowOff>0</xdr:rowOff>
    </xdr:from>
    <xdr:ext cx="7200000" cy="4320000"/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00000000-0008-0000-0500-00003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oneCellAnchor>
  <xdr:oneCellAnchor>
    <xdr:from>
      <xdr:col>12</xdr:col>
      <xdr:colOff>0</xdr:colOff>
      <xdr:row>1</xdr:row>
      <xdr:rowOff>0</xdr:rowOff>
    </xdr:from>
    <xdr:ext cx="7200000" cy="4320000"/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00000000-0008-0000-0500-00003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oneCellAnchor>
  <xdr:oneCellAnchor>
    <xdr:from>
      <xdr:col>12</xdr:col>
      <xdr:colOff>0</xdr:colOff>
      <xdr:row>23</xdr:row>
      <xdr:rowOff>0</xdr:rowOff>
    </xdr:from>
    <xdr:ext cx="7200000" cy="4320000"/>
    <xdr:graphicFrame macro="">
      <xdr:nvGraphicFramePr>
        <xdr:cNvPr id="51" name="Chart 50">
          <a:extLst>
            <a:ext uri="{FF2B5EF4-FFF2-40B4-BE49-F238E27FC236}">
              <a16:creationId xmlns:a16="http://schemas.microsoft.com/office/drawing/2014/main" id="{00000000-0008-0000-0500-00003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oneCellAnchor>
  <xdr:oneCellAnchor>
    <xdr:from>
      <xdr:col>12</xdr:col>
      <xdr:colOff>0</xdr:colOff>
      <xdr:row>45</xdr:row>
      <xdr:rowOff>0</xdr:rowOff>
    </xdr:from>
    <xdr:ext cx="7200000" cy="4320000"/>
    <xdr:graphicFrame macro="">
      <xdr:nvGraphicFramePr>
        <xdr:cNvPr id="52" name="Chart 51">
          <a:extLst>
            <a:ext uri="{FF2B5EF4-FFF2-40B4-BE49-F238E27FC236}">
              <a16:creationId xmlns:a16="http://schemas.microsoft.com/office/drawing/2014/main" id="{00000000-0008-0000-0500-00003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oneCellAnchor>
  <xdr:oneCellAnchor>
    <xdr:from>
      <xdr:col>12</xdr:col>
      <xdr:colOff>0</xdr:colOff>
      <xdr:row>1</xdr:row>
      <xdr:rowOff>0</xdr:rowOff>
    </xdr:from>
    <xdr:ext cx="7200000" cy="4320000"/>
    <xdr:graphicFrame macro="">
      <xdr:nvGraphicFramePr>
        <xdr:cNvPr id="53" name="Chart 52">
          <a:extLst>
            <a:ext uri="{FF2B5EF4-FFF2-40B4-BE49-F238E27FC236}">
              <a16:creationId xmlns:a16="http://schemas.microsoft.com/office/drawing/2014/main" id="{00000000-0008-0000-0500-00003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oneCellAnchor>
  <xdr:oneCellAnchor>
    <xdr:from>
      <xdr:col>12</xdr:col>
      <xdr:colOff>0</xdr:colOff>
      <xdr:row>23</xdr:row>
      <xdr:rowOff>0</xdr:rowOff>
    </xdr:from>
    <xdr:ext cx="7200000" cy="4320000"/>
    <xdr:graphicFrame macro="">
      <xdr:nvGraphicFramePr>
        <xdr:cNvPr id="54" name="Chart 53">
          <a:extLst>
            <a:ext uri="{FF2B5EF4-FFF2-40B4-BE49-F238E27FC236}">
              <a16:creationId xmlns:a16="http://schemas.microsoft.com/office/drawing/2014/main" id="{00000000-0008-0000-0500-00003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xdr:graphicFrame>
    <xdr:clientData/>
  </xdr:oneCellAnchor>
  <xdr:oneCellAnchor>
    <xdr:from>
      <xdr:col>12</xdr:col>
      <xdr:colOff>0</xdr:colOff>
      <xdr:row>45</xdr:row>
      <xdr:rowOff>0</xdr:rowOff>
    </xdr:from>
    <xdr:ext cx="7200000" cy="4320000"/>
    <xdr:graphicFrame macro="">
      <xdr:nvGraphicFramePr>
        <xdr:cNvPr id="55" name="Chart 54">
          <a:extLst>
            <a:ext uri="{FF2B5EF4-FFF2-40B4-BE49-F238E27FC236}">
              <a16:creationId xmlns:a16="http://schemas.microsoft.com/office/drawing/2014/main" id="{00000000-0008-0000-0500-00003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xdr:graphicFrame>
    <xdr:clientData/>
  </xdr:oneCellAnchor>
  <xdr:oneCellAnchor>
    <xdr:from>
      <xdr:col>12</xdr:col>
      <xdr:colOff>0</xdr:colOff>
      <xdr:row>1</xdr:row>
      <xdr:rowOff>0</xdr:rowOff>
    </xdr:from>
    <xdr:ext cx="7200000" cy="4320000"/>
    <xdr:graphicFrame macro="">
      <xdr:nvGraphicFramePr>
        <xdr:cNvPr id="56" name="Chart 55">
          <a:extLst>
            <a:ext uri="{FF2B5EF4-FFF2-40B4-BE49-F238E27FC236}">
              <a16:creationId xmlns:a16="http://schemas.microsoft.com/office/drawing/2014/main" id="{00000000-0008-0000-0500-00003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5"/>
        </a:graphicData>
      </a:graphic>
    </xdr:graphicFrame>
    <xdr:clientData/>
  </xdr:oneCellAnchor>
  <xdr:oneCellAnchor>
    <xdr:from>
      <xdr:col>12</xdr:col>
      <xdr:colOff>0</xdr:colOff>
      <xdr:row>23</xdr:row>
      <xdr:rowOff>0</xdr:rowOff>
    </xdr:from>
    <xdr:ext cx="7200000" cy="4320000"/>
    <xdr:graphicFrame macro="">
      <xdr:nvGraphicFramePr>
        <xdr:cNvPr id="57" name="Chart 56">
          <a:extLst>
            <a:ext uri="{FF2B5EF4-FFF2-40B4-BE49-F238E27FC236}">
              <a16:creationId xmlns:a16="http://schemas.microsoft.com/office/drawing/2014/main" id="{00000000-0008-0000-0500-00003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6"/>
        </a:graphicData>
      </a:graphic>
    </xdr:graphicFrame>
    <xdr:clientData/>
  </xdr:oneCellAnchor>
  <xdr:oneCellAnchor>
    <xdr:from>
      <xdr:col>12</xdr:col>
      <xdr:colOff>0</xdr:colOff>
      <xdr:row>45</xdr:row>
      <xdr:rowOff>0</xdr:rowOff>
    </xdr:from>
    <xdr:ext cx="7200000" cy="4320000"/>
    <xdr:graphicFrame macro="">
      <xdr:nvGraphicFramePr>
        <xdr:cNvPr id="58" name="Chart 57">
          <a:extLst>
            <a:ext uri="{FF2B5EF4-FFF2-40B4-BE49-F238E27FC236}">
              <a16:creationId xmlns:a16="http://schemas.microsoft.com/office/drawing/2014/main" id="{00000000-0008-0000-0500-00003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7"/>
        </a:graphicData>
      </a:graphic>
    </xdr:graphicFrame>
    <xdr:clientData/>
  </xdr:oneCellAnchor>
  <xdr:oneCellAnchor>
    <xdr:from>
      <xdr:col>12</xdr:col>
      <xdr:colOff>0</xdr:colOff>
      <xdr:row>1</xdr:row>
      <xdr:rowOff>0</xdr:rowOff>
    </xdr:from>
    <xdr:ext cx="7200000" cy="4320000"/>
    <xdr:graphicFrame macro="">
      <xdr:nvGraphicFramePr>
        <xdr:cNvPr id="59" name="Chart 58">
          <a:extLst>
            <a:ext uri="{FF2B5EF4-FFF2-40B4-BE49-F238E27FC236}">
              <a16:creationId xmlns:a16="http://schemas.microsoft.com/office/drawing/2014/main" id="{00000000-0008-0000-0500-00003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8"/>
        </a:graphicData>
      </a:graphic>
    </xdr:graphicFrame>
    <xdr:clientData/>
  </xdr:oneCellAnchor>
  <xdr:oneCellAnchor>
    <xdr:from>
      <xdr:col>12</xdr:col>
      <xdr:colOff>0</xdr:colOff>
      <xdr:row>23</xdr:row>
      <xdr:rowOff>0</xdr:rowOff>
    </xdr:from>
    <xdr:ext cx="7200000" cy="4320000"/>
    <xdr:graphicFrame macro="">
      <xdr:nvGraphicFramePr>
        <xdr:cNvPr id="60" name="Chart 59">
          <a:extLst>
            <a:ext uri="{FF2B5EF4-FFF2-40B4-BE49-F238E27FC236}">
              <a16:creationId xmlns:a16="http://schemas.microsoft.com/office/drawing/2014/main" id="{00000000-0008-0000-0500-00003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9"/>
        </a:graphicData>
      </a:graphic>
    </xdr:graphicFrame>
    <xdr:clientData/>
  </xdr:oneCellAnchor>
  <xdr:oneCellAnchor>
    <xdr:from>
      <xdr:col>12</xdr:col>
      <xdr:colOff>0</xdr:colOff>
      <xdr:row>45</xdr:row>
      <xdr:rowOff>0</xdr:rowOff>
    </xdr:from>
    <xdr:ext cx="7200000" cy="4320000"/>
    <xdr:graphicFrame macro="">
      <xdr:nvGraphicFramePr>
        <xdr:cNvPr id="61" name="Chart 60">
          <a:extLst>
            <a:ext uri="{FF2B5EF4-FFF2-40B4-BE49-F238E27FC236}">
              <a16:creationId xmlns:a16="http://schemas.microsoft.com/office/drawing/2014/main" id="{00000000-0008-0000-0500-00003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0"/>
        </a:graphicData>
      </a:graphic>
    </xdr:graphicFrame>
    <xdr:clientData/>
  </xdr:oneCellAnchor>
  <xdr:oneCellAnchor>
    <xdr:from>
      <xdr:col>12</xdr:col>
      <xdr:colOff>0</xdr:colOff>
      <xdr:row>1</xdr:row>
      <xdr:rowOff>0</xdr:rowOff>
    </xdr:from>
    <xdr:ext cx="7200000" cy="4320000"/>
    <xdr:graphicFrame macro="">
      <xdr:nvGraphicFramePr>
        <xdr:cNvPr id="62" name="Chart 61">
          <a:extLst>
            <a:ext uri="{FF2B5EF4-FFF2-40B4-BE49-F238E27FC236}">
              <a16:creationId xmlns:a16="http://schemas.microsoft.com/office/drawing/2014/main" id="{00000000-0008-0000-0500-00003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1"/>
        </a:graphicData>
      </a:graphic>
    </xdr:graphicFrame>
    <xdr:clientData/>
  </xdr:oneCellAnchor>
  <xdr:oneCellAnchor>
    <xdr:from>
      <xdr:col>12</xdr:col>
      <xdr:colOff>0</xdr:colOff>
      <xdr:row>23</xdr:row>
      <xdr:rowOff>0</xdr:rowOff>
    </xdr:from>
    <xdr:ext cx="7200000" cy="4320000"/>
    <xdr:graphicFrame macro="">
      <xdr:nvGraphicFramePr>
        <xdr:cNvPr id="63" name="Chart 62">
          <a:extLst>
            <a:ext uri="{FF2B5EF4-FFF2-40B4-BE49-F238E27FC236}">
              <a16:creationId xmlns:a16="http://schemas.microsoft.com/office/drawing/2014/main" id="{00000000-0008-0000-0500-00003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2"/>
        </a:graphicData>
      </a:graphic>
    </xdr:graphicFrame>
    <xdr:clientData/>
  </xdr:oneCellAnchor>
  <xdr:oneCellAnchor>
    <xdr:from>
      <xdr:col>12</xdr:col>
      <xdr:colOff>0</xdr:colOff>
      <xdr:row>45</xdr:row>
      <xdr:rowOff>0</xdr:rowOff>
    </xdr:from>
    <xdr:ext cx="7200000" cy="4320000"/>
    <xdr:graphicFrame macro="">
      <xdr:nvGraphicFramePr>
        <xdr:cNvPr id="64" name="Chart 63">
          <a:extLst>
            <a:ext uri="{FF2B5EF4-FFF2-40B4-BE49-F238E27FC236}">
              <a16:creationId xmlns:a16="http://schemas.microsoft.com/office/drawing/2014/main" id="{00000000-0008-0000-0500-00004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3"/>
        </a:graphicData>
      </a:graphic>
    </xdr:graphicFrame>
    <xdr:clientData/>
  </xdr:oneCellAnchor>
  <xdr:oneCellAnchor>
    <xdr:from>
      <xdr:col>12</xdr:col>
      <xdr:colOff>0</xdr:colOff>
      <xdr:row>1</xdr:row>
      <xdr:rowOff>0</xdr:rowOff>
    </xdr:from>
    <xdr:ext cx="7200000" cy="4320000"/>
    <xdr:graphicFrame macro="">
      <xdr:nvGraphicFramePr>
        <xdr:cNvPr id="65" name="Chart 64">
          <a:extLst>
            <a:ext uri="{FF2B5EF4-FFF2-40B4-BE49-F238E27FC236}">
              <a16:creationId xmlns:a16="http://schemas.microsoft.com/office/drawing/2014/main" id="{00000000-0008-0000-0500-00004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4"/>
        </a:graphicData>
      </a:graphic>
    </xdr:graphicFrame>
    <xdr:clientData/>
  </xdr:oneCellAnchor>
  <xdr:oneCellAnchor>
    <xdr:from>
      <xdr:col>12</xdr:col>
      <xdr:colOff>0</xdr:colOff>
      <xdr:row>23</xdr:row>
      <xdr:rowOff>0</xdr:rowOff>
    </xdr:from>
    <xdr:ext cx="7200000" cy="4320000"/>
    <xdr:graphicFrame macro="">
      <xdr:nvGraphicFramePr>
        <xdr:cNvPr id="66" name="Chart 65">
          <a:extLst>
            <a:ext uri="{FF2B5EF4-FFF2-40B4-BE49-F238E27FC236}">
              <a16:creationId xmlns:a16="http://schemas.microsoft.com/office/drawing/2014/main" id="{00000000-0008-0000-0500-00004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5"/>
        </a:graphicData>
      </a:graphic>
    </xdr:graphicFrame>
    <xdr:clientData/>
  </xdr:oneCellAnchor>
  <xdr:oneCellAnchor>
    <xdr:from>
      <xdr:col>12</xdr:col>
      <xdr:colOff>0</xdr:colOff>
      <xdr:row>45</xdr:row>
      <xdr:rowOff>0</xdr:rowOff>
    </xdr:from>
    <xdr:ext cx="7200000" cy="4320000"/>
    <xdr:graphicFrame macro="">
      <xdr:nvGraphicFramePr>
        <xdr:cNvPr id="67" name="Chart 66">
          <a:extLst>
            <a:ext uri="{FF2B5EF4-FFF2-40B4-BE49-F238E27FC236}">
              <a16:creationId xmlns:a16="http://schemas.microsoft.com/office/drawing/2014/main" id="{00000000-0008-0000-0500-00004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6"/>
        </a:graphicData>
      </a:graphic>
    </xdr:graphicFrame>
    <xdr:clientData/>
  </xdr:oneCellAnchor>
  <xdr:oneCellAnchor>
    <xdr:from>
      <xdr:col>12</xdr:col>
      <xdr:colOff>0</xdr:colOff>
      <xdr:row>1</xdr:row>
      <xdr:rowOff>0</xdr:rowOff>
    </xdr:from>
    <xdr:ext cx="7200000" cy="4320000"/>
    <xdr:graphicFrame macro="">
      <xdr:nvGraphicFramePr>
        <xdr:cNvPr id="68" name="Chart 67">
          <a:extLst>
            <a:ext uri="{FF2B5EF4-FFF2-40B4-BE49-F238E27FC236}">
              <a16:creationId xmlns:a16="http://schemas.microsoft.com/office/drawing/2014/main" id="{00000000-0008-0000-0500-00004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7"/>
        </a:graphicData>
      </a:graphic>
    </xdr:graphicFrame>
    <xdr:clientData/>
  </xdr:oneCellAnchor>
  <xdr:oneCellAnchor>
    <xdr:from>
      <xdr:col>12</xdr:col>
      <xdr:colOff>0</xdr:colOff>
      <xdr:row>23</xdr:row>
      <xdr:rowOff>0</xdr:rowOff>
    </xdr:from>
    <xdr:ext cx="7200000" cy="4320000"/>
    <xdr:graphicFrame macro="">
      <xdr:nvGraphicFramePr>
        <xdr:cNvPr id="69" name="Chart 68">
          <a:extLst>
            <a:ext uri="{FF2B5EF4-FFF2-40B4-BE49-F238E27FC236}">
              <a16:creationId xmlns:a16="http://schemas.microsoft.com/office/drawing/2014/main" id="{00000000-0008-0000-0500-00004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8"/>
        </a:graphicData>
      </a:graphic>
    </xdr:graphicFrame>
    <xdr:clientData/>
  </xdr:oneCellAnchor>
  <xdr:oneCellAnchor>
    <xdr:from>
      <xdr:col>12</xdr:col>
      <xdr:colOff>0</xdr:colOff>
      <xdr:row>45</xdr:row>
      <xdr:rowOff>0</xdr:rowOff>
    </xdr:from>
    <xdr:ext cx="7200000" cy="4320000"/>
    <xdr:graphicFrame macro="">
      <xdr:nvGraphicFramePr>
        <xdr:cNvPr id="70" name="Chart 69">
          <a:extLst>
            <a:ext uri="{FF2B5EF4-FFF2-40B4-BE49-F238E27FC236}">
              <a16:creationId xmlns:a16="http://schemas.microsoft.com/office/drawing/2014/main" id="{00000000-0008-0000-0500-00004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9"/>
        </a:graphicData>
      </a:graphic>
    </xdr:graphicFrame>
    <xdr:clientData/>
  </xdr:oneCellAnchor>
  <xdr:oneCellAnchor>
    <xdr:from>
      <xdr:col>12</xdr:col>
      <xdr:colOff>0</xdr:colOff>
      <xdr:row>1</xdr:row>
      <xdr:rowOff>0</xdr:rowOff>
    </xdr:from>
    <xdr:ext cx="7200000" cy="4320000"/>
    <xdr:graphicFrame macro="">
      <xdr:nvGraphicFramePr>
        <xdr:cNvPr id="71" name="Chart 70">
          <a:extLst>
            <a:ext uri="{FF2B5EF4-FFF2-40B4-BE49-F238E27FC236}">
              <a16:creationId xmlns:a16="http://schemas.microsoft.com/office/drawing/2014/main" id="{00000000-0008-0000-0500-00004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0"/>
        </a:graphicData>
      </a:graphic>
    </xdr:graphicFrame>
    <xdr:clientData/>
  </xdr:oneCellAnchor>
  <xdr:oneCellAnchor>
    <xdr:from>
      <xdr:col>12</xdr:col>
      <xdr:colOff>0</xdr:colOff>
      <xdr:row>23</xdr:row>
      <xdr:rowOff>0</xdr:rowOff>
    </xdr:from>
    <xdr:ext cx="7200000" cy="4320000"/>
    <xdr:graphicFrame macro="">
      <xdr:nvGraphicFramePr>
        <xdr:cNvPr id="72" name="Chart 71">
          <a:extLst>
            <a:ext uri="{FF2B5EF4-FFF2-40B4-BE49-F238E27FC236}">
              <a16:creationId xmlns:a16="http://schemas.microsoft.com/office/drawing/2014/main" id="{00000000-0008-0000-0500-00004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1"/>
        </a:graphicData>
      </a:graphic>
    </xdr:graphicFrame>
    <xdr:clientData/>
  </xdr:oneCellAnchor>
  <xdr:oneCellAnchor>
    <xdr:from>
      <xdr:col>12</xdr:col>
      <xdr:colOff>0</xdr:colOff>
      <xdr:row>45</xdr:row>
      <xdr:rowOff>0</xdr:rowOff>
    </xdr:from>
    <xdr:ext cx="7200000" cy="4320000"/>
    <xdr:graphicFrame macro="">
      <xdr:nvGraphicFramePr>
        <xdr:cNvPr id="73" name="Chart 72">
          <a:extLst>
            <a:ext uri="{FF2B5EF4-FFF2-40B4-BE49-F238E27FC236}">
              <a16:creationId xmlns:a16="http://schemas.microsoft.com/office/drawing/2014/main" id="{00000000-0008-0000-0500-00004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2"/>
        </a:graphicData>
      </a:graphic>
    </xdr:graphicFrame>
    <xdr:clientData/>
  </xdr:oneCellAnchor>
  <xdr:oneCellAnchor>
    <xdr:from>
      <xdr:col>12</xdr:col>
      <xdr:colOff>0</xdr:colOff>
      <xdr:row>1</xdr:row>
      <xdr:rowOff>0</xdr:rowOff>
    </xdr:from>
    <xdr:ext cx="7200000" cy="4320000"/>
    <xdr:graphicFrame macro="">
      <xdr:nvGraphicFramePr>
        <xdr:cNvPr id="74" name="Chart 73">
          <a:extLst>
            <a:ext uri="{FF2B5EF4-FFF2-40B4-BE49-F238E27FC236}">
              <a16:creationId xmlns:a16="http://schemas.microsoft.com/office/drawing/2014/main" id="{00000000-0008-0000-0500-00004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3"/>
        </a:graphicData>
      </a:graphic>
    </xdr:graphicFrame>
    <xdr:clientData/>
  </xdr:oneCellAnchor>
  <xdr:oneCellAnchor>
    <xdr:from>
      <xdr:col>12</xdr:col>
      <xdr:colOff>0</xdr:colOff>
      <xdr:row>23</xdr:row>
      <xdr:rowOff>0</xdr:rowOff>
    </xdr:from>
    <xdr:ext cx="7200000" cy="4320000"/>
    <xdr:graphicFrame macro="">
      <xdr:nvGraphicFramePr>
        <xdr:cNvPr id="75" name="Chart 74">
          <a:extLst>
            <a:ext uri="{FF2B5EF4-FFF2-40B4-BE49-F238E27FC236}">
              <a16:creationId xmlns:a16="http://schemas.microsoft.com/office/drawing/2014/main" id="{00000000-0008-0000-0500-00004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4"/>
        </a:graphicData>
      </a:graphic>
    </xdr:graphicFrame>
    <xdr:clientData/>
  </xdr:oneCellAnchor>
  <xdr:oneCellAnchor>
    <xdr:from>
      <xdr:col>12</xdr:col>
      <xdr:colOff>0</xdr:colOff>
      <xdr:row>45</xdr:row>
      <xdr:rowOff>0</xdr:rowOff>
    </xdr:from>
    <xdr:ext cx="7200000" cy="4320000"/>
    <xdr:graphicFrame macro="">
      <xdr:nvGraphicFramePr>
        <xdr:cNvPr id="76" name="Chart 75">
          <a:extLst>
            <a:ext uri="{FF2B5EF4-FFF2-40B4-BE49-F238E27FC236}">
              <a16:creationId xmlns:a16="http://schemas.microsoft.com/office/drawing/2014/main" id="{00000000-0008-0000-0500-00004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5"/>
        </a:graphicData>
      </a:graphic>
    </xdr:graphicFrame>
    <xdr:clientData/>
  </xdr:oneCellAnchor>
  <xdr:oneCellAnchor>
    <xdr:from>
      <xdr:col>12</xdr:col>
      <xdr:colOff>0</xdr:colOff>
      <xdr:row>1</xdr:row>
      <xdr:rowOff>0</xdr:rowOff>
    </xdr:from>
    <xdr:ext cx="7200000" cy="4320000"/>
    <xdr:graphicFrame macro="">
      <xdr:nvGraphicFramePr>
        <xdr:cNvPr id="77" name="Chart 76">
          <a:extLst>
            <a:ext uri="{FF2B5EF4-FFF2-40B4-BE49-F238E27FC236}">
              <a16:creationId xmlns:a16="http://schemas.microsoft.com/office/drawing/2014/main" id="{00000000-0008-0000-0500-00004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6"/>
        </a:graphicData>
      </a:graphic>
    </xdr:graphicFrame>
    <xdr:clientData/>
  </xdr:oneCellAnchor>
  <xdr:oneCellAnchor>
    <xdr:from>
      <xdr:col>12</xdr:col>
      <xdr:colOff>0</xdr:colOff>
      <xdr:row>23</xdr:row>
      <xdr:rowOff>0</xdr:rowOff>
    </xdr:from>
    <xdr:ext cx="7200000" cy="4320000"/>
    <xdr:graphicFrame macro="">
      <xdr:nvGraphicFramePr>
        <xdr:cNvPr id="78" name="Chart 77">
          <a:extLst>
            <a:ext uri="{FF2B5EF4-FFF2-40B4-BE49-F238E27FC236}">
              <a16:creationId xmlns:a16="http://schemas.microsoft.com/office/drawing/2014/main" id="{00000000-0008-0000-0500-00004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7"/>
        </a:graphicData>
      </a:graphic>
    </xdr:graphicFrame>
    <xdr:clientData/>
  </xdr:oneCellAnchor>
  <xdr:oneCellAnchor>
    <xdr:from>
      <xdr:col>12</xdr:col>
      <xdr:colOff>0</xdr:colOff>
      <xdr:row>45</xdr:row>
      <xdr:rowOff>0</xdr:rowOff>
    </xdr:from>
    <xdr:ext cx="7200000" cy="4320000"/>
    <xdr:graphicFrame macro="">
      <xdr:nvGraphicFramePr>
        <xdr:cNvPr id="79" name="Chart 78">
          <a:extLst>
            <a:ext uri="{FF2B5EF4-FFF2-40B4-BE49-F238E27FC236}">
              <a16:creationId xmlns:a16="http://schemas.microsoft.com/office/drawing/2014/main" id="{00000000-0008-0000-0500-00004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8"/>
        </a:graphicData>
      </a:graphic>
    </xdr:graphicFrame>
    <xdr:clientData/>
  </xdr:oneCellAnchor>
  <xdr:oneCellAnchor>
    <xdr:from>
      <xdr:col>12</xdr:col>
      <xdr:colOff>0</xdr:colOff>
      <xdr:row>1</xdr:row>
      <xdr:rowOff>0</xdr:rowOff>
    </xdr:from>
    <xdr:ext cx="7200000" cy="4320000"/>
    <xdr:graphicFrame macro="">
      <xdr:nvGraphicFramePr>
        <xdr:cNvPr id="80" name="Chart 79">
          <a:extLst>
            <a:ext uri="{FF2B5EF4-FFF2-40B4-BE49-F238E27FC236}">
              <a16:creationId xmlns:a16="http://schemas.microsoft.com/office/drawing/2014/main" id="{00000000-0008-0000-0500-00005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9"/>
        </a:graphicData>
      </a:graphic>
    </xdr:graphicFrame>
    <xdr:clientData/>
  </xdr:oneCellAnchor>
  <xdr:oneCellAnchor>
    <xdr:from>
      <xdr:col>12</xdr:col>
      <xdr:colOff>0</xdr:colOff>
      <xdr:row>23</xdr:row>
      <xdr:rowOff>0</xdr:rowOff>
    </xdr:from>
    <xdr:ext cx="7200000" cy="4320000"/>
    <xdr:graphicFrame macro="">
      <xdr:nvGraphicFramePr>
        <xdr:cNvPr id="81" name="Chart 80">
          <a:extLst>
            <a:ext uri="{FF2B5EF4-FFF2-40B4-BE49-F238E27FC236}">
              <a16:creationId xmlns:a16="http://schemas.microsoft.com/office/drawing/2014/main" id="{00000000-0008-0000-0500-00005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0"/>
        </a:graphicData>
      </a:graphic>
    </xdr:graphicFrame>
    <xdr:clientData/>
  </xdr:oneCellAnchor>
  <xdr:oneCellAnchor>
    <xdr:from>
      <xdr:col>12</xdr:col>
      <xdr:colOff>0</xdr:colOff>
      <xdr:row>45</xdr:row>
      <xdr:rowOff>0</xdr:rowOff>
    </xdr:from>
    <xdr:ext cx="7200000" cy="4320000"/>
    <xdr:graphicFrame macro="">
      <xdr:nvGraphicFramePr>
        <xdr:cNvPr id="82" name="Chart 81">
          <a:extLst>
            <a:ext uri="{FF2B5EF4-FFF2-40B4-BE49-F238E27FC236}">
              <a16:creationId xmlns:a16="http://schemas.microsoft.com/office/drawing/2014/main" id="{00000000-0008-0000-0500-00005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1"/>
        </a:graphicData>
      </a:graphic>
    </xdr:graphicFrame>
    <xdr:clientData/>
  </xdr:oneCellAnchor>
  <xdr:oneCellAnchor>
    <xdr:from>
      <xdr:col>12</xdr:col>
      <xdr:colOff>0</xdr:colOff>
      <xdr:row>1</xdr:row>
      <xdr:rowOff>0</xdr:rowOff>
    </xdr:from>
    <xdr:ext cx="7200000" cy="4320000"/>
    <xdr:graphicFrame macro="">
      <xdr:nvGraphicFramePr>
        <xdr:cNvPr id="83" name="Chart 82">
          <a:extLst>
            <a:ext uri="{FF2B5EF4-FFF2-40B4-BE49-F238E27FC236}">
              <a16:creationId xmlns:a16="http://schemas.microsoft.com/office/drawing/2014/main" id="{00000000-0008-0000-0500-00005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2"/>
        </a:graphicData>
      </a:graphic>
    </xdr:graphicFrame>
    <xdr:clientData/>
  </xdr:oneCellAnchor>
  <xdr:oneCellAnchor>
    <xdr:from>
      <xdr:col>12</xdr:col>
      <xdr:colOff>0</xdr:colOff>
      <xdr:row>23</xdr:row>
      <xdr:rowOff>0</xdr:rowOff>
    </xdr:from>
    <xdr:ext cx="7200000" cy="4320000"/>
    <xdr:graphicFrame macro="">
      <xdr:nvGraphicFramePr>
        <xdr:cNvPr id="84" name="Chart 83">
          <a:extLst>
            <a:ext uri="{FF2B5EF4-FFF2-40B4-BE49-F238E27FC236}">
              <a16:creationId xmlns:a16="http://schemas.microsoft.com/office/drawing/2014/main" id="{00000000-0008-0000-0500-00005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3"/>
        </a:graphicData>
      </a:graphic>
    </xdr:graphicFrame>
    <xdr:clientData/>
  </xdr:oneCellAnchor>
  <xdr:oneCellAnchor>
    <xdr:from>
      <xdr:col>12</xdr:col>
      <xdr:colOff>0</xdr:colOff>
      <xdr:row>45</xdr:row>
      <xdr:rowOff>0</xdr:rowOff>
    </xdr:from>
    <xdr:ext cx="7200000" cy="4320000"/>
    <xdr:graphicFrame macro="">
      <xdr:nvGraphicFramePr>
        <xdr:cNvPr id="85" name="Chart 84">
          <a:extLst>
            <a:ext uri="{FF2B5EF4-FFF2-40B4-BE49-F238E27FC236}">
              <a16:creationId xmlns:a16="http://schemas.microsoft.com/office/drawing/2014/main" id="{00000000-0008-0000-0500-00005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4"/>
        </a:graphicData>
      </a:graphic>
    </xdr:graphicFrame>
    <xdr:clientData/>
  </xdr:oneCellAnchor>
  <xdr:oneCellAnchor>
    <xdr:from>
      <xdr:col>12</xdr:col>
      <xdr:colOff>0</xdr:colOff>
      <xdr:row>1</xdr:row>
      <xdr:rowOff>0</xdr:rowOff>
    </xdr:from>
    <xdr:ext cx="7200000" cy="4320000"/>
    <xdr:graphicFrame macro="">
      <xdr:nvGraphicFramePr>
        <xdr:cNvPr id="86" name="Chart 85">
          <a:extLst>
            <a:ext uri="{FF2B5EF4-FFF2-40B4-BE49-F238E27FC236}">
              <a16:creationId xmlns:a16="http://schemas.microsoft.com/office/drawing/2014/main" id="{00000000-0008-0000-0500-00005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5"/>
        </a:graphicData>
      </a:graphic>
    </xdr:graphicFrame>
    <xdr:clientData/>
  </xdr:oneCellAnchor>
  <xdr:oneCellAnchor>
    <xdr:from>
      <xdr:col>12</xdr:col>
      <xdr:colOff>0</xdr:colOff>
      <xdr:row>23</xdr:row>
      <xdr:rowOff>0</xdr:rowOff>
    </xdr:from>
    <xdr:ext cx="7200000" cy="4320000"/>
    <xdr:graphicFrame macro="">
      <xdr:nvGraphicFramePr>
        <xdr:cNvPr id="87" name="Chart 86">
          <a:extLst>
            <a:ext uri="{FF2B5EF4-FFF2-40B4-BE49-F238E27FC236}">
              <a16:creationId xmlns:a16="http://schemas.microsoft.com/office/drawing/2014/main" id="{00000000-0008-0000-0500-00005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6"/>
        </a:graphicData>
      </a:graphic>
    </xdr:graphicFrame>
    <xdr:clientData/>
  </xdr:oneCellAnchor>
  <xdr:oneCellAnchor>
    <xdr:from>
      <xdr:col>12</xdr:col>
      <xdr:colOff>0</xdr:colOff>
      <xdr:row>45</xdr:row>
      <xdr:rowOff>0</xdr:rowOff>
    </xdr:from>
    <xdr:ext cx="7200000" cy="4320000"/>
    <xdr:graphicFrame macro="">
      <xdr:nvGraphicFramePr>
        <xdr:cNvPr id="88" name="Chart 87">
          <a:extLst>
            <a:ext uri="{FF2B5EF4-FFF2-40B4-BE49-F238E27FC236}">
              <a16:creationId xmlns:a16="http://schemas.microsoft.com/office/drawing/2014/main" id="{00000000-0008-0000-0500-00005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7"/>
        </a:graphicData>
      </a:graphic>
    </xdr:graphicFrame>
    <xdr:clientData/>
  </xdr:oneCellAnchor>
  <xdr:oneCellAnchor>
    <xdr:from>
      <xdr:col>12</xdr:col>
      <xdr:colOff>0</xdr:colOff>
      <xdr:row>1</xdr:row>
      <xdr:rowOff>0</xdr:rowOff>
    </xdr:from>
    <xdr:ext cx="7200000" cy="4320000"/>
    <xdr:graphicFrame macro="">
      <xdr:nvGraphicFramePr>
        <xdr:cNvPr id="89" name="Chart 88">
          <a:extLst>
            <a:ext uri="{FF2B5EF4-FFF2-40B4-BE49-F238E27FC236}">
              <a16:creationId xmlns:a16="http://schemas.microsoft.com/office/drawing/2014/main" id="{00000000-0008-0000-0500-00005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8"/>
        </a:graphicData>
      </a:graphic>
    </xdr:graphicFrame>
    <xdr:clientData/>
  </xdr:oneCellAnchor>
  <xdr:oneCellAnchor>
    <xdr:from>
      <xdr:col>12</xdr:col>
      <xdr:colOff>0</xdr:colOff>
      <xdr:row>23</xdr:row>
      <xdr:rowOff>0</xdr:rowOff>
    </xdr:from>
    <xdr:ext cx="7200000" cy="4320000"/>
    <xdr:graphicFrame macro="">
      <xdr:nvGraphicFramePr>
        <xdr:cNvPr id="90" name="Chart 89">
          <a:extLst>
            <a:ext uri="{FF2B5EF4-FFF2-40B4-BE49-F238E27FC236}">
              <a16:creationId xmlns:a16="http://schemas.microsoft.com/office/drawing/2014/main" id="{00000000-0008-0000-0500-00005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9"/>
        </a:graphicData>
      </a:graphic>
    </xdr:graphicFrame>
    <xdr:clientData/>
  </xdr:oneCellAnchor>
  <xdr:oneCellAnchor>
    <xdr:from>
      <xdr:col>12</xdr:col>
      <xdr:colOff>0</xdr:colOff>
      <xdr:row>45</xdr:row>
      <xdr:rowOff>0</xdr:rowOff>
    </xdr:from>
    <xdr:ext cx="7200000" cy="4320000"/>
    <xdr:graphicFrame macro="">
      <xdr:nvGraphicFramePr>
        <xdr:cNvPr id="91" name="Chart 90">
          <a:extLst>
            <a:ext uri="{FF2B5EF4-FFF2-40B4-BE49-F238E27FC236}">
              <a16:creationId xmlns:a16="http://schemas.microsoft.com/office/drawing/2014/main" id="{00000000-0008-0000-0500-00005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0"/>
        </a:graphicData>
      </a:graphic>
    </xdr:graphicFrame>
    <xdr:clientData/>
  </xdr:oneCellAnchor>
  <xdr:oneCellAnchor>
    <xdr:from>
      <xdr:col>12</xdr:col>
      <xdr:colOff>0</xdr:colOff>
      <xdr:row>1</xdr:row>
      <xdr:rowOff>0</xdr:rowOff>
    </xdr:from>
    <xdr:ext cx="7200000" cy="4320000"/>
    <xdr:graphicFrame macro="">
      <xdr:nvGraphicFramePr>
        <xdr:cNvPr id="92" name="Chart 91">
          <a:extLst>
            <a:ext uri="{FF2B5EF4-FFF2-40B4-BE49-F238E27FC236}">
              <a16:creationId xmlns:a16="http://schemas.microsoft.com/office/drawing/2014/main" id="{00000000-0008-0000-0500-00005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1"/>
        </a:graphicData>
      </a:graphic>
    </xdr:graphicFrame>
    <xdr:clientData/>
  </xdr:oneCellAnchor>
  <xdr:oneCellAnchor>
    <xdr:from>
      <xdr:col>12</xdr:col>
      <xdr:colOff>0</xdr:colOff>
      <xdr:row>23</xdr:row>
      <xdr:rowOff>0</xdr:rowOff>
    </xdr:from>
    <xdr:ext cx="7200000" cy="4320000"/>
    <xdr:graphicFrame macro="">
      <xdr:nvGraphicFramePr>
        <xdr:cNvPr id="93" name="Chart 92">
          <a:extLst>
            <a:ext uri="{FF2B5EF4-FFF2-40B4-BE49-F238E27FC236}">
              <a16:creationId xmlns:a16="http://schemas.microsoft.com/office/drawing/2014/main" id="{00000000-0008-0000-0500-00005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2"/>
        </a:graphicData>
      </a:graphic>
    </xdr:graphicFrame>
    <xdr:clientData/>
  </xdr:oneCellAnchor>
  <xdr:oneCellAnchor>
    <xdr:from>
      <xdr:col>12</xdr:col>
      <xdr:colOff>0</xdr:colOff>
      <xdr:row>45</xdr:row>
      <xdr:rowOff>0</xdr:rowOff>
    </xdr:from>
    <xdr:ext cx="7200000" cy="4320000"/>
    <xdr:graphicFrame macro="">
      <xdr:nvGraphicFramePr>
        <xdr:cNvPr id="94" name="Chart 93">
          <a:extLst>
            <a:ext uri="{FF2B5EF4-FFF2-40B4-BE49-F238E27FC236}">
              <a16:creationId xmlns:a16="http://schemas.microsoft.com/office/drawing/2014/main" id="{00000000-0008-0000-0500-00005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3"/>
        </a:graphicData>
      </a:graphic>
    </xdr:graphicFrame>
    <xdr:clientData/>
  </xdr:oneCellAnchor>
  <xdr:oneCellAnchor>
    <xdr:from>
      <xdr:col>12</xdr:col>
      <xdr:colOff>0</xdr:colOff>
      <xdr:row>1</xdr:row>
      <xdr:rowOff>0</xdr:rowOff>
    </xdr:from>
    <xdr:ext cx="7200000" cy="4320000"/>
    <xdr:graphicFrame macro="">
      <xdr:nvGraphicFramePr>
        <xdr:cNvPr id="95" name="Chart 94">
          <a:extLst>
            <a:ext uri="{FF2B5EF4-FFF2-40B4-BE49-F238E27FC236}">
              <a16:creationId xmlns:a16="http://schemas.microsoft.com/office/drawing/2014/main" id="{00000000-0008-0000-0500-00005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4"/>
        </a:graphicData>
      </a:graphic>
    </xdr:graphicFrame>
    <xdr:clientData/>
  </xdr:oneCellAnchor>
  <xdr:oneCellAnchor>
    <xdr:from>
      <xdr:col>12</xdr:col>
      <xdr:colOff>0</xdr:colOff>
      <xdr:row>23</xdr:row>
      <xdr:rowOff>0</xdr:rowOff>
    </xdr:from>
    <xdr:ext cx="7200000" cy="4320000"/>
    <xdr:graphicFrame macro="">
      <xdr:nvGraphicFramePr>
        <xdr:cNvPr id="96" name="Chart 95">
          <a:extLst>
            <a:ext uri="{FF2B5EF4-FFF2-40B4-BE49-F238E27FC236}">
              <a16:creationId xmlns:a16="http://schemas.microsoft.com/office/drawing/2014/main" id="{00000000-0008-0000-0500-00006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5"/>
        </a:graphicData>
      </a:graphic>
    </xdr:graphicFrame>
    <xdr:clientData/>
  </xdr:oneCellAnchor>
  <xdr:oneCellAnchor>
    <xdr:from>
      <xdr:col>12</xdr:col>
      <xdr:colOff>0</xdr:colOff>
      <xdr:row>45</xdr:row>
      <xdr:rowOff>0</xdr:rowOff>
    </xdr:from>
    <xdr:ext cx="7200000" cy="4320000"/>
    <xdr:graphicFrame macro="">
      <xdr:nvGraphicFramePr>
        <xdr:cNvPr id="97" name="Chart 96">
          <a:extLst>
            <a:ext uri="{FF2B5EF4-FFF2-40B4-BE49-F238E27FC236}">
              <a16:creationId xmlns:a16="http://schemas.microsoft.com/office/drawing/2014/main" id="{00000000-0008-0000-0500-00006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6"/>
        </a:graphicData>
      </a:graphic>
    </xdr:graphicFrame>
    <xdr:clientData/>
  </xdr:oneCellAnchor>
  <xdr:oneCellAnchor>
    <xdr:from>
      <xdr:col>12</xdr:col>
      <xdr:colOff>0</xdr:colOff>
      <xdr:row>1</xdr:row>
      <xdr:rowOff>0</xdr:rowOff>
    </xdr:from>
    <xdr:ext cx="7200000" cy="4320000"/>
    <xdr:graphicFrame macro="">
      <xdr:nvGraphicFramePr>
        <xdr:cNvPr id="98" name="Chart 97">
          <a:extLst>
            <a:ext uri="{FF2B5EF4-FFF2-40B4-BE49-F238E27FC236}">
              <a16:creationId xmlns:a16="http://schemas.microsoft.com/office/drawing/2014/main" id="{00000000-0008-0000-0500-00006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7"/>
        </a:graphicData>
      </a:graphic>
    </xdr:graphicFrame>
    <xdr:clientData/>
  </xdr:oneCellAnchor>
  <xdr:oneCellAnchor>
    <xdr:from>
      <xdr:col>12</xdr:col>
      <xdr:colOff>0</xdr:colOff>
      <xdr:row>23</xdr:row>
      <xdr:rowOff>0</xdr:rowOff>
    </xdr:from>
    <xdr:ext cx="7200000" cy="4320000"/>
    <xdr:graphicFrame macro="">
      <xdr:nvGraphicFramePr>
        <xdr:cNvPr id="99" name="Chart 98">
          <a:extLst>
            <a:ext uri="{FF2B5EF4-FFF2-40B4-BE49-F238E27FC236}">
              <a16:creationId xmlns:a16="http://schemas.microsoft.com/office/drawing/2014/main" id="{00000000-0008-0000-0500-00006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8"/>
        </a:graphicData>
      </a:graphic>
    </xdr:graphicFrame>
    <xdr:clientData/>
  </xdr:oneCellAnchor>
  <xdr:oneCellAnchor>
    <xdr:from>
      <xdr:col>12</xdr:col>
      <xdr:colOff>0</xdr:colOff>
      <xdr:row>45</xdr:row>
      <xdr:rowOff>0</xdr:rowOff>
    </xdr:from>
    <xdr:ext cx="7200000" cy="4320000"/>
    <xdr:graphicFrame macro="">
      <xdr:nvGraphicFramePr>
        <xdr:cNvPr id="100" name="Chart 99">
          <a:extLst>
            <a:ext uri="{FF2B5EF4-FFF2-40B4-BE49-F238E27FC236}">
              <a16:creationId xmlns:a16="http://schemas.microsoft.com/office/drawing/2014/main" id="{00000000-0008-0000-0500-00006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9"/>
        </a:graphicData>
      </a:graphic>
    </xdr:graphicFrame>
    <xdr:clientData/>
  </xdr:oneCellAnchor>
  <xdr:oneCellAnchor>
    <xdr:from>
      <xdr:col>12</xdr:col>
      <xdr:colOff>0</xdr:colOff>
      <xdr:row>1</xdr:row>
      <xdr:rowOff>0</xdr:rowOff>
    </xdr:from>
    <xdr:ext cx="7200000" cy="4320000"/>
    <xdr:graphicFrame macro="">
      <xdr:nvGraphicFramePr>
        <xdr:cNvPr id="101" name="Chart 100">
          <a:extLst>
            <a:ext uri="{FF2B5EF4-FFF2-40B4-BE49-F238E27FC236}">
              <a16:creationId xmlns:a16="http://schemas.microsoft.com/office/drawing/2014/main" id="{00000000-0008-0000-0500-00006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0"/>
        </a:graphicData>
      </a:graphic>
    </xdr:graphicFrame>
    <xdr:clientData/>
  </xdr:oneCellAnchor>
  <xdr:oneCellAnchor>
    <xdr:from>
      <xdr:col>12</xdr:col>
      <xdr:colOff>0</xdr:colOff>
      <xdr:row>23</xdr:row>
      <xdr:rowOff>0</xdr:rowOff>
    </xdr:from>
    <xdr:ext cx="7200000" cy="4320000"/>
    <xdr:graphicFrame macro="">
      <xdr:nvGraphicFramePr>
        <xdr:cNvPr id="102" name="Chart 101">
          <a:extLst>
            <a:ext uri="{FF2B5EF4-FFF2-40B4-BE49-F238E27FC236}">
              <a16:creationId xmlns:a16="http://schemas.microsoft.com/office/drawing/2014/main" id="{00000000-0008-0000-0500-00006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1"/>
        </a:graphicData>
      </a:graphic>
    </xdr:graphicFrame>
    <xdr:clientData/>
  </xdr:oneCellAnchor>
  <xdr:oneCellAnchor>
    <xdr:from>
      <xdr:col>12</xdr:col>
      <xdr:colOff>0</xdr:colOff>
      <xdr:row>45</xdr:row>
      <xdr:rowOff>0</xdr:rowOff>
    </xdr:from>
    <xdr:ext cx="7200000" cy="4320000"/>
    <xdr:graphicFrame macro="">
      <xdr:nvGraphicFramePr>
        <xdr:cNvPr id="103" name="Chart 102">
          <a:extLst>
            <a:ext uri="{FF2B5EF4-FFF2-40B4-BE49-F238E27FC236}">
              <a16:creationId xmlns:a16="http://schemas.microsoft.com/office/drawing/2014/main" id="{00000000-0008-0000-0500-00006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2"/>
        </a:graphicData>
      </a:graphic>
    </xdr:graphicFrame>
    <xdr:clientData/>
  </xdr:oneCellAnchor>
  <xdr:oneCellAnchor>
    <xdr:from>
      <xdr:col>12</xdr:col>
      <xdr:colOff>0</xdr:colOff>
      <xdr:row>1</xdr:row>
      <xdr:rowOff>0</xdr:rowOff>
    </xdr:from>
    <xdr:ext cx="7200000" cy="4320000"/>
    <xdr:graphicFrame macro="">
      <xdr:nvGraphicFramePr>
        <xdr:cNvPr id="104" name="Chart 103">
          <a:extLst>
            <a:ext uri="{FF2B5EF4-FFF2-40B4-BE49-F238E27FC236}">
              <a16:creationId xmlns:a16="http://schemas.microsoft.com/office/drawing/2014/main" id="{00000000-0008-0000-0500-00006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3"/>
        </a:graphicData>
      </a:graphic>
    </xdr:graphicFrame>
    <xdr:clientData/>
  </xdr:oneCellAnchor>
  <xdr:oneCellAnchor>
    <xdr:from>
      <xdr:col>12</xdr:col>
      <xdr:colOff>0</xdr:colOff>
      <xdr:row>23</xdr:row>
      <xdr:rowOff>0</xdr:rowOff>
    </xdr:from>
    <xdr:ext cx="7200000" cy="4320000"/>
    <xdr:graphicFrame macro="">
      <xdr:nvGraphicFramePr>
        <xdr:cNvPr id="105" name="Chart 104">
          <a:extLst>
            <a:ext uri="{FF2B5EF4-FFF2-40B4-BE49-F238E27FC236}">
              <a16:creationId xmlns:a16="http://schemas.microsoft.com/office/drawing/2014/main" id="{00000000-0008-0000-0500-00006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4"/>
        </a:graphicData>
      </a:graphic>
    </xdr:graphicFrame>
    <xdr:clientData/>
  </xdr:oneCellAnchor>
  <xdr:oneCellAnchor>
    <xdr:from>
      <xdr:col>12</xdr:col>
      <xdr:colOff>0</xdr:colOff>
      <xdr:row>45</xdr:row>
      <xdr:rowOff>0</xdr:rowOff>
    </xdr:from>
    <xdr:ext cx="7200000" cy="4320000"/>
    <xdr:graphicFrame macro="">
      <xdr:nvGraphicFramePr>
        <xdr:cNvPr id="106" name="Chart 105">
          <a:extLst>
            <a:ext uri="{FF2B5EF4-FFF2-40B4-BE49-F238E27FC236}">
              <a16:creationId xmlns:a16="http://schemas.microsoft.com/office/drawing/2014/main" id="{00000000-0008-0000-0500-00006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5"/>
        </a:graphicData>
      </a:graphic>
    </xdr:graphicFrame>
    <xdr:clientData/>
  </xdr:oneCellAnchor>
  <xdr:oneCellAnchor>
    <xdr:from>
      <xdr:col>12</xdr:col>
      <xdr:colOff>0</xdr:colOff>
      <xdr:row>1</xdr:row>
      <xdr:rowOff>0</xdr:rowOff>
    </xdr:from>
    <xdr:ext cx="7200000" cy="4320000"/>
    <xdr:graphicFrame macro="">
      <xdr:nvGraphicFramePr>
        <xdr:cNvPr id="107" name="Chart 106">
          <a:extLst>
            <a:ext uri="{FF2B5EF4-FFF2-40B4-BE49-F238E27FC236}">
              <a16:creationId xmlns:a16="http://schemas.microsoft.com/office/drawing/2014/main" id="{00000000-0008-0000-0500-00006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6"/>
        </a:graphicData>
      </a:graphic>
    </xdr:graphicFrame>
    <xdr:clientData/>
  </xdr:oneCellAnchor>
  <xdr:oneCellAnchor>
    <xdr:from>
      <xdr:col>12</xdr:col>
      <xdr:colOff>0</xdr:colOff>
      <xdr:row>23</xdr:row>
      <xdr:rowOff>0</xdr:rowOff>
    </xdr:from>
    <xdr:ext cx="7200000" cy="4320000"/>
    <xdr:graphicFrame macro="">
      <xdr:nvGraphicFramePr>
        <xdr:cNvPr id="108" name="Chart 107">
          <a:extLst>
            <a:ext uri="{FF2B5EF4-FFF2-40B4-BE49-F238E27FC236}">
              <a16:creationId xmlns:a16="http://schemas.microsoft.com/office/drawing/2014/main" id="{00000000-0008-0000-0500-00006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7"/>
        </a:graphicData>
      </a:graphic>
    </xdr:graphicFrame>
    <xdr:clientData/>
  </xdr:oneCellAnchor>
  <xdr:oneCellAnchor>
    <xdr:from>
      <xdr:col>12</xdr:col>
      <xdr:colOff>0</xdr:colOff>
      <xdr:row>45</xdr:row>
      <xdr:rowOff>0</xdr:rowOff>
    </xdr:from>
    <xdr:ext cx="7200000" cy="4320000"/>
    <xdr:graphicFrame macro="">
      <xdr:nvGraphicFramePr>
        <xdr:cNvPr id="109" name="Chart 108">
          <a:extLst>
            <a:ext uri="{FF2B5EF4-FFF2-40B4-BE49-F238E27FC236}">
              <a16:creationId xmlns:a16="http://schemas.microsoft.com/office/drawing/2014/main" id="{00000000-0008-0000-0500-00006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8"/>
        </a:graphicData>
      </a:graphic>
    </xdr:graphicFrame>
    <xdr:clientData/>
  </xdr:oneCellAnchor>
  <xdr:oneCellAnchor>
    <xdr:from>
      <xdr:col>12</xdr:col>
      <xdr:colOff>0</xdr:colOff>
      <xdr:row>1</xdr:row>
      <xdr:rowOff>0</xdr:rowOff>
    </xdr:from>
    <xdr:ext cx="7200000" cy="4320000"/>
    <xdr:graphicFrame macro="">
      <xdr:nvGraphicFramePr>
        <xdr:cNvPr id="110" name="Chart 109">
          <a:extLst>
            <a:ext uri="{FF2B5EF4-FFF2-40B4-BE49-F238E27FC236}">
              <a16:creationId xmlns:a16="http://schemas.microsoft.com/office/drawing/2014/main" id="{00000000-0008-0000-0500-00006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9"/>
        </a:graphicData>
      </a:graphic>
    </xdr:graphicFrame>
    <xdr:clientData/>
  </xdr:oneCellAnchor>
  <xdr:oneCellAnchor>
    <xdr:from>
      <xdr:col>12</xdr:col>
      <xdr:colOff>0</xdr:colOff>
      <xdr:row>23</xdr:row>
      <xdr:rowOff>0</xdr:rowOff>
    </xdr:from>
    <xdr:ext cx="7200000" cy="4320000"/>
    <xdr:graphicFrame macro="">
      <xdr:nvGraphicFramePr>
        <xdr:cNvPr id="111" name="Chart 110">
          <a:extLst>
            <a:ext uri="{FF2B5EF4-FFF2-40B4-BE49-F238E27FC236}">
              <a16:creationId xmlns:a16="http://schemas.microsoft.com/office/drawing/2014/main" id="{00000000-0008-0000-0500-00006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0"/>
        </a:graphicData>
      </a:graphic>
    </xdr:graphicFrame>
    <xdr:clientData/>
  </xdr:oneCellAnchor>
  <xdr:oneCellAnchor>
    <xdr:from>
      <xdr:col>12</xdr:col>
      <xdr:colOff>0</xdr:colOff>
      <xdr:row>45</xdr:row>
      <xdr:rowOff>0</xdr:rowOff>
    </xdr:from>
    <xdr:ext cx="7200000" cy="4320000"/>
    <xdr:graphicFrame macro="">
      <xdr:nvGraphicFramePr>
        <xdr:cNvPr id="112" name="Chart 111">
          <a:extLst>
            <a:ext uri="{FF2B5EF4-FFF2-40B4-BE49-F238E27FC236}">
              <a16:creationId xmlns:a16="http://schemas.microsoft.com/office/drawing/2014/main" id="{00000000-0008-0000-0500-00007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1"/>
        </a:graphicData>
      </a:graphic>
    </xdr:graphicFrame>
    <xdr:clientData/>
  </xdr:oneCellAnchor>
  <xdr:oneCellAnchor>
    <xdr:from>
      <xdr:col>12</xdr:col>
      <xdr:colOff>0</xdr:colOff>
      <xdr:row>1</xdr:row>
      <xdr:rowOff>0</xdr:rowOff>
    </xdr:from>
    <xdr:ext cx="7200000" cy="4320000"/>
    <xdr:graphicFrame macro="">
      <xdr:nvGraphicFramePr>
        <xdr:cNvPr id="113" name="Chart 112">
          <a:extLst>
            <a:ext uri="{FF2B5EF4-FFF2-40B4-BE49-F238E27FC236}">
              <a16:creationId xmlns:a16="http://schemas.microsoft.com/office/drawing/2014/main" id="{00000000-0008-0000-0500-00007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2"/>
        </a:graphicData>
      </a:graphic>
    </xdr:graphicFrame>
    <xdr:clientData/>
  </xdr:oneCellAnchor>
  <xdr:oneCellAnchor>
    <xdr:from>
      <xdr:col>12</xdr:col>
      <xdr:colOff>0</xdr:colOff>
      <xdr:row>23</xdr:row>
      <xdr:rowOff>0</xdr:rowOff>
    </xdr:from>
    <xdr:ext cx="7200000" cy="4320000"/>
    <xdr:graphicFrame macro="">
      <xdr:nvGraphicFramePr>
        <xdr:cNvPr id="114" name="Chart 113">
          <a:extLst>
            <a:ext uri="{FF2B5EF4-FFF2-40B4-BE49-F238E27FC236}">
              <a16:creationId xmlns:a16="http://schemas.microsoft.com/office/drawing/2014/main" id="{00000000-0008-0000-0500-00007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3"/>
        </a:graphicData>
      </a:graphic>
    </xdr:graphicFrame>
    <xdr:clientData/>
  </xdr:oneCellAnchor>
  <xdr:oneCellAnchor>
    <xdr:from>
      <xdr:col>12</xdr:col>
      <xdr:colOff>0</xdr:colOff>
      <xdr:row>45</xdr:row>
      <xdr:rowOff>0</xdr:rowOff>
    </xdr:from>
    <xdr:ext cx="7200000" cy="4320000"/>
    <xdr:graphicFrame macro="">
      <xdr:nvGraphicFramePr>
        <xdr:cNvPr id="115" name="Chart 114">
          <a:extLst>
            <a:ext uri="{FF2B5EF4-FFF2-40B4-BE49-F238E27FC236}">
              <a16:creationId xmlns:a16="http://schemas.microsoft.com/office/drawing/2014/main" id="{00000000-0008-0000-0500-00007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4"/>
        </a:graphicData>
      </a:graphic>
    </xdr:graphicFrame>
    <xdr:clientData/>
  </xdr:oneCellAnchor>
  <xdr:oneCellAnchor>
    <xdr:from>
      <xdr:col>12</xdr:col>
      <xdr:colOff>0</xdr:colOff>
      <xdr:row>1</xdr:row>
      <xdr:rowOff>0</xdr:rowOff>
    </xdr:from>
    <xdr:ext cx="7200000" cy="4320000"/>
    <xdr:graphicFrame macro="">
      <xdr:nvGraphicFramePr>
        <xdr:cNvPr id="116" name="Chart 115">
          <a:extLst>
            <a:ext uri="{FF2B5EF4-FFF2-40B4-BE49-F238E27FC236}">
              <a16:creationId xmlns:a16="http://schemas.microsoft.com/office/drawing/2014/main" id="{00000000-0008-0000-0500-00007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5"/>
        </a:graphicData>
      </a:graphic>
    </xdr:graphicFrame>
    <xdr:clientData/>
  </xdr:oneCellAnchor>
  <xdr:oneCellAnchor>
    <xdr:from>
      <xdr:col>12</xdr:col>
      <xdr:colOff>0</xdr:colOff>
      <xdr:row>23</xdr:row>
      <xdr:rowOff>0</xdr:rowOff>
    </xdr:from>
    <xdr:ext cx="7200000" cy="4320000"/>
    <xdr:graphicFrame macro="">
      <xdr:nvGraphicFramePr>
        <xdr:cNvPr id="117" name="Chart 116">
          <a:extLst>
            <a:ext uri="{FF2B5EF4-FFF2-40B4-BE49-F238E27FC236}">
              <a16:creationId xmlns:a16="http://schemas.microsoft.com/office/drawing/2014/main" id="{00000000-0008-0000-0500-00007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6"/>
        </a:graphicData>
      </a:graphic>
    </xdr:graphicFrame>
    <xdr:clientData/>
  </xdr:oneCellAnchor>
  <xdr:oneCellAnchor>
    <xdr:from>
      <xdr:col>12</xdr:col>
      <xdr:colOff>0</xdr:colOff>
      <xdr:row>45</xdr:row>
      <xdr:rowOff>0</xdr:rowOff>
    </xdr:from>
    <xdr:ext cx="7200000" cy="4320000"/>
    <xdr:graphicFrame macro="">
      <xdr:nvGraphicFramePr>
        <xdr:cNvPr id="118" name="Chart 117">
          <a:extLst>
            <a:ext uri="{FF2B5EF4-FFF2-40B4-BE49-F238E27FC236}">
              <a16:creationId xmlns:a16="http://schemas.microsoft.com/office/drawing/2014/main" id="{00000000-0008-0000-0500-00007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7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0</xdr:colOff>
      <xdr:row>1</xdr:row>
      <xdr:rowOff>0</xdr:rowOff>
    </xdr:from>
    <xdr:ext cx="720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7200000" cy="43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7200000" cy="432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7200000" cy="432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7200000" cy="432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7200000" cy="432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7200000" cy="432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6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7200000" cy="4320000"/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6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7200000" cy="4320000"/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6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7200000" cy="4320000"/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6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7200000" cy="4320000"/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6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7200000" cy="4320000"/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6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7200000" cy="4320000"/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0000000-0008-0000-06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7200000" cy="4320000"/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6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7200000" cy="4320000"/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600-00001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7200000" cy="4320000"/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600-00001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7200000" cy="4320000"/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0000000-0008-0000-0600-00001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7200000" cy="4320000"/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00000000-0008-0000-0600-00001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7200000" cy="4320000"/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00000000-0008-0000-0600-00001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7200000" cy="4320000"/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00000000-0008-0000-0600-00001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7200000" cy="4320000"/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00000000-0008-0000-0600-00001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7200000" cy="4320000"/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00000000-0008-0000-0600-00001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7200000" cy="4320000"/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00000000-0008-0000-0600-00001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7200000" cy="4320000"/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00000000-0008-0000-0600-00001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7200000" cy="4320000"/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00000000-0008-0000-0600-00001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7200000" cy="4320000"/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00000000-0008-0000-0600-00001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7200000" cy="4320000"/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00000000-0008-0000-0600-00001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7200000" cy="4320000"/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00000000-0008-0000-0600-00001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7200000" cy="4320000"/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00000000-0008-0000-0600-00001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7200000" cy="4320000"/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00000000-0008-0000-0600-00001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7200000" cy="4320000"/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00000000-0008-0000-0600-00002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31</xdr:row>
      <xdr:rowOff>0</xdr:rowOff>
    </xdr:from>
    <xdr:ext cx="720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12</xdr:col>
      <xdr:colOff>0</xdr:colOff>
      <xdr:row>31</xdr:row>
      <xdr:rowOff>0</xdr:rowOff>
    </xdr:from>
    <xdr:ext cx="7200000" cy="43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12</xdr:col>
      <xdr:colOff>0</xdr:colOff>
      <xdr:row>31</xdr:row>
      <xdr:rowOff>0</xdr:rowOff>
    </xdr:from>
    <xdr:ext cx="7200000" cy="432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12</xdr:col>
      <xdr:colOff>0</xdr:colOff>
      <xdr:row>31</xdr:row>
      <xdr:rowOff>0</xdr:rowOff>
    </xdr:from>
    <xdr:ext cx="7200000" cy="432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12</xdr:col>
      <xdr:colOff>0</xdr:colOff>
      <xdr:row>31</xdr:row>
      <xdr:rowOff>0</xdr:rowOff>
    </xdr:from>
    <xdr:ext cx="7200000" cy="432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12</xdr:col>
      <xdr:colOff>0</xdr:colOff>
      <xdr:row>31</xdr:row>
      <xdr:rowOff>0</xdr:rowOff>
    </xdr:from>
    <xdr:ext cx="7200000" cy="432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12</xdr:col>
      <xdr:colOff>0</xdr:colOff>
      <xdr:row>31</xdr:row>
      <xdr:rowOff>0</xdr:rowOff>
    </xdr:from>
    <xdr:ext cx="7200000" cy="432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12</xdr:col>
      <xdr:colOff>0</xdr:colOff>
      <xdr:row>31</xdr:row>
      <xdr:rowOff>0</xdr:rowOff>
    </xdr:from>
    <xdr:ext cx="7200000" cy="4320000"/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12</xdr:col>
      <xdr:colOff>0</xdr:colOff>
      <xdr:row>31</xdr:row>
      <xdr:rowOff>0</xdr:rowOff>
    </xdr:from>
    <xdr:ext cx="7200000" cy="4320000"/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7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>
    <xdr:from>
      <xdr:col>12</xdr:col>
      <xdr:colOff>0</xdr:colOff>
      <xdr:row>31</xdr:row>
      <xdr:rowOff>0</xdr:rowOff>
    </xdr:from>
    <xdr:ext cx="7200000" cy="4320000"/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7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>
    <xdr:from>
      <xdr:col>12</xdr:col>
      <xdr:colOff>0</xdr:colOff>
      <xdr:row>31</xdr:row>
      <xdr:rowOff>0</xdr:rowOff>
    </xdr:from>
    <xdr:ext cx="7200000" cy="4320000"/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7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>
    <xdr:from>
      <xdr:col>12</xdr:col>
      <xdr:colOff>0</xdr:colOff>
      <xdr:row>31</xdr:row>
      <xdr:rowOff>0</xdr:rowOff>
    </xdr:from>
    <xdr:ext cx="7200000" cy="4320000"/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7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>
    <xdr:from>
      <xdr:col>16</xdr:col>
      <xdr:colOff>660400</xdr:colOff>
      <xdr:row>1</xdr:row>
      <xdr:rowOff>266700</xdr:rowOff>
    </xdr:from>
    <xdr:ext cx="10800000" cy="5760000"/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0000000-0008-0000-07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  <xdr:oneCellAnchor>
    <xdr:from>
      <xdr:col>12</xdr:col>
      <xdr:colOff>0</xdr:colOff>
      <xdr:row>31</xdr:row>
      <xdr:rowOff>0</xdr:rowOff>
    </xdr:from>
    <xdr:ext cx="7200000" cy="4320000"/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7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oneCellAnchor>
  <xdr:oneCellAnchor>
    <xdr:from>
      <xdr:col>17</xdr:col>
      <xdr:colOff>152400</xdr:colOff>
      <xdr:row>1</xdr:row>
      <xdr:rowOff>241300</xdr:rowOff>
    </xdr:from>
    <xdr:ext cx="10800000" cy="5760000"/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700-00001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oneCellAnchor>
  <xdr:oneCellAnchor>
    <xdr:from>
      <xdr:col>12</xdr:col>
      <xdr:colOff>0</xdr:colOff>
      <xdr:row>31</xdr:row>
      <xdr:rowOff>0</xdr:rowOff>
    </xdr:from>
    <xdr:ext cx="7200000" cy="4320000"/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700-00001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oneCellAnchor>
  <xdr:oneCellAnchor>
    <xdr:from>
      <xdr:col>12</xdr:col>
      <xdr:colOff>0</xdr:colOff>
      <xdr:row>31</xdr:row>
      <xdr:rowOff>0</xdr:rowOff>
    </xdr:from>
    <xdr:ext cx="7200000" cy="4320000"/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00000000-0008-0000-0700-00001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oneCellAnchor>
  <xdr:oneCellAnchor>
    <xdr:from>
      <xdr:col>12</xdr:col>
      <xdr:colOff>0</xdr:colOff>
      <xdr:row>31</xdr:row>
      <xdr:rowOff>0</xdr:rowOff>
    </xdr:from>
    <xdr:ext cx="7200000" cy="4320000"/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00000000-0008-0000-0700-00001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oneCellAnchor>
  <xdr:oneCellAnchor>
    <xdr:from>
      <xdr:col>12</xdr:col>
      <xdr:colOff>0</xdr:colOff>
      <xdr:row>31</xdr:row>
      <xdr:rowOff>0</xdr:rowOff>
    </xdr:from>
    <xdr:ext cx="7200000" cy="4320000"/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00000000-0008-0000-0700-00001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oneCellAnchor>
  <xdr:oneCellAnchor>
    <xdr:from>
      <xdr:col>12</xdr:col>
      <xdr:colOff>0</xdr:colOff>
      <xdr:row>31</xdr:row>
      <xdr:rowOff>0</xdr:rowOff>
    </xdr:from>
    <xdr:ext cx="7200000" cy="4320000"/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00000000-0008-0000-0700-00001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oneCellAnchor>
  <xdr:oneCellAnchor>
    <xdr:from>
      <xdr:col>12</xdr:col>
      <xdr:colOff>0</xdr:colOff>
      <xdr:row>31</xdr:row>
      <xdr:rowOff>0</xdr:rowOff>
    </xdr:from>
    <xdr:ext cx="7200000" cy="4320000"/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00000000-0008-0000-0700-00001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oneCellAnchor>
  <xdr:oneCellAnchor>
    <xdr:from>
      <xdr:col>12</xdr:col>
      <xdr:colOff>0</xdr:colOff>
      <xdr:row>31</xdr:row>
      <xdr:rowOff>0</xdr:rowOff>
    </xdr:from>
    <xdr:ext cx="7200000" cy="4320000"/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00000000-0008-0000-0700-00001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oneCellAnchor>
  <xdr:oneCellAnchor>
    <xdr:from>
      <xdr:col>12</xdr:col>
      <xdr:colOff>0</xdr:colOff>
      <xdr:row>31</xdr:row>
      <xdr:rowOff>0</xdr:rowOff>
    </xdr:from>
    <xdr:ext cx="7200000" cy="4320000"/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00000000-0008-0000-0700-00001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oneCellAnchor>
  <xdr:oneCellAnchor>
    <xdr:from>
      <xdr:col>12</xdr:col>
      <xdr:colOff>0</xdr:colOff>
      <xdr:row>31</xdr:row>
      <xdr:rowOff>0</xdr:rowOff>
    </xdr:from>
    <xdr:ext cx="7200000" cy="4320000"/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00000000-0008-0000-0700-00002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oneCellAnchor>
  <xdr:oneCellAnchor>
    <xdr:from>
      <xdr:col>15</xdr:col>
      <xdr:colOff>965200</xdr:colOff>
      <xdr:row>1</xdr:row>
      <xdr:rowOff>88900</xdr:rowOff>
    </xdr:from>
    <xdr:ext cx="10800000" cy="5760000"/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00000000-0008-0000-0700-00002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oneCellAnchor>
  <xdr:oneCellAnchor>
    <xdr:from>
      <xdr:col>12</xdr:col>
      <xdr:colOff>0</xdr:colOff>
      <xdr:row>31</xdr:row>
      <xdr:rowOff>0</xdr:rowOff>
    </xdr:from>
    <xdr:ext cx="7200000" cy="4320000"/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00000000-0008-0000-0700-00002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oneCellAnchor>
  <xdr:oneCellAnchor>
    <xdr:from>
      <xdr:col>16</xdr:col>
      <xdr:colOff>304800</xdr:colOff>
      <xdr:row>1</xdr:row>
      <xdr:rowOff>50800</xdr:rowOff>
    </xdr:from>
    <xdr:ext cx="10800000" cy="5760000"/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00000000-0008-0000-0700-00002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oneCellAnchor>
  <xdr:oneCellAnchor>
    <xdr:from>
      <xdr:col>12</xdr:col>
      <xdr:colOff>0</xdr:colOff>
      <xdr:row>31</xdr:row>
      <xdr:rowOff>0</xdr:rowOff>
    </xdr:from>
    <xdr:ext cx="7200000" cy="4320000"/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00000000-0008-0000-0700-00002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oneCellAnchor>
  <xdr:oneCellAnchor>
    <xdr:from>
      <xdr:col>16</xdr:col>
      <xdr:colOff>114300</xdr:colOff>
      <xdr:row>1</xdr:row>
      <xdr:rowOff>165100</xdr:rowOff>
    </xdr:from>
    <xdr:ext cx="10800000" cy="5760000"/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00000000-0008-0000-0700-00002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oneCellAnchor>
  <xdr:oneCellAnchor>
    <xdr:from>
      <xdr:col>12</xdr:col>
      <xdr:colOff>0</xdr:colOff>
      <xdr:row>31</xdr:row>
      <xdr:rowOff>0</xdr:rowOff>
    </xdr:from>
    <xdr:ext cx="7200000" cy="4320000"/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00000000-0008-0000-0700-00002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oneCellAnchor>
  <xdr:oneCellAnchor>
    <xdr:from>
      <xdr:col>16</xdr:col>
      <xdr:colOff>317500</xdr:colOff>
      <xdr:row>1</xdr:row>
      <xdr:rowOff>88900</xdr:rowOff>
    </xdr:from>
    <xdr:ext cx="10800000" cy="5760000"/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00000000-0008-0000-0700-00002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oneCellAnchor>
  <xdr:oneCellAnchor>
    <xdr:from>
      <xdr:col>12</xdr:col>
      <xdr:colOff>0</xdr:colOff>
      <xdr:row>31</xdr:row>
      <xdr:rowOff>0</xdr:rowOff>
    </xdr:from>
    <xdr:ext cx="7200000" cy="4320000"/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00000000-0008-0000-0700-00002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oneCellAnchor>
  <xdr:oneCellAnchor>
    <xdr:from>
      <xdr:col>16</xdr:col>
      <xdr:colOff>101600</xdr:colOff>
      <xdr:row>1</xdr:row>
      <xdr:rowOff>50800</xdr:rowOff>
    </xdr:from>
    <xdr:ext cx="10800000" cy="5760000"/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00000000-0008-0000-0700-00002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oneCellAnchor>
  <xdr:oneCellAnchor>
    <xdr:from>
      <xdr:col>12</xdr:col>
      <xdr:colOff>0</xdr:colOff>
      <xdr:row>31</xdr:row>
      <xdr:rowOff>0</xdr:rowOff>
    </xdr:from>
    <xdr:ext cx="7200000" cy="4320000"/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00000000-0008-0000-0700-00002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oneCellAnchor>
  <xdr:oneCellAnchor>
    <xdr:from>
      <xdr:col>17</xdr:col>
      <xdr:colOff>431800</xdr:colOff>
      <xdr:row>1</xdr:row>
      <xdr:rowOff>25400</xdr:rowOff>
    </xdr:from>
    <xdr:ext cx="10800000" cy="5760000"/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00000000-0008-0000-0700-00002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oneCellAnchor>
  <xdr:oneCellAnchor>
    <xdr:from>
      <xdr:col>12</xdr:col>
      <xdr:colOff>0</xdr:colOff>
      <xdr:row>31</xdr:row>
      <xdr:rowOff>0</xdr:rowOff>
    </xdr:from>
    <xdr:ext cx="7200000" cy="4320000"/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00000000-0008-0000-0700-00002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oneCellAnchor>
  <xdr:oneCellAnchor>
    <xdr:from>
      <xdr:col>16</xdr:col>
      <xdr:colOff>622300</xdr:colOff>
      <xdr:row>1</xdr:row>
      <xdr:rowOff>177800</xdr:rowOff>
    </xdr:from>
    <xdr:ext cx="10800000" cy="5760000"/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00000000-0008-0000-0700-00002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oneCellAnchor>
  <xdr:oneCellAnchor>
    <xdr:from>
      <xdr:col>12</xdr:col>
      <xdr:colOff>0</xdr:colOff>
      <xdr:row>31</xdr:row>
      <xdr:rowOff>0</xdr:rowOff>
    </xdr:from>
    <xdr:ext cx="7200000" cy="4320000"/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00000000-0008-0000-0700-00002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oneCellAnchor>
  <xdr:oneCellAnchor>
    <xdr:from>
      <xdr:col>17</xdr:col>
      <xdr:colOff>419100</xdr:colOff>
      <xdr:row>1</xdr:row>
      <xdr:rowOff>241300</xdr:rowOff>
    </xdr:from>
    <xdr:ext cx="10800000" cy="5760000"/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00000000-0008-0000-0700-00003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oneCellAnchor>
  <xdr:oneCellAnchor>
    <xdr:from>
      <xdr:col>12</xdr:col>
      <xdr:colOff>0</xdr:colOff>
      <xdr:row>31</xdr:row>
      <xdr:rowOff>0</xdr:rowOff>
    </xdr:from>
    <xdr:ext cx="7200000" cy="4320000"/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00000000-0008-0000-0700-00003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oneCellAnchor>
  <xdr:oneCellAnchor>
    <xdr:from>
      <xdr:col>16</xdr:col>
      <xdr:colOff>647700</xdr:colOff>
      <xdr:row>1</xdr:row>
      <xdr:rowOff>419100</xdr:rowOff>
    </xdr:from>
    <xdr:ext cx="10800000" cy="5760000"/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00000000-0008-0000-0700-00003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oneCellAnchor>
  <xdr:oneCellAnchor>
    <xdr:from>
      <xdr:col>12</xdr:col>
      <xdr:colOff>0</xdr:colOff>
      <xdr:row>31</xdr:row>
      <xdr:rowOff>0</xdr:rowOff>
    </xdr:from>
    <xdr:ext cx="7200000" cy="4320000"/>
    <xdr:graphicFrame macro="">
      <xdr:nvGraphicFramePr>
        <xdr:cNvPr id="51" name="Chart 50">
          <a:extLst>
            <a:ext uri="{FF2B5EF4-FFF2-40B4-BE49-F238E27FC236}">
              <a16:creationId xmlns:a16="http://schemas.microsoft.com/office/drawing/2014/main" id="{00000000-0008-0000-0700-00003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FEBAD-8330-4244-BC8F-C6B5349902C8}">
  <dimension ref="B1:I32"/>
  <sheetViews>
    <sheetView showGridLines="0" zoomScaleNormal="100" workbookViewId="0">
      <selection activeCell="M10" sqref="M10"/>
    </sheetView>
  </sheetViews>
  <sheetFormatPr baseColWidth="10" defaultRowHeight="15" x14ac:dyDescent="0.2"/>
  <cols>
    <col min="1" max="1" width="2.83203125" style="125" customWidth="1"/>
    <col min="2" max="2" width="4" style="125" customWidth="1"/>
    <col min="3" max="8" width="18" style="125" customWidth="1"/>
    <col min="9" max="9" width="4" style="125" customWidth="1"/>
    <col min="10" max="16384" width="10.83203125" style="125"/>
  </cols>
  <sheetData>
    <row r="1" spans="2:9" ht="20" customHeight="1" x14ac:dyDescent="0.2">
      <c r="B1" s="161"/>
      <c r="C1" s="161"/>
      <c r="D1" s="161"/>
      <c r="E1" s="161"/>
      <c r="F1" s="161"/>
      <c r="G1" s="161"/>
      <c r="H1" s="161"/>
      <c r="I1" s="161"/>
    </row>
    <row r="2" spans="2:9" ht="20" customHeight="1" x14ac:dyDescent="0.2">
      <c r="B2" s="162"/>
      <c r="C2" s="163"/>
      <c r="D2" s="163"/>
      <c r="E2" s="163"/>
      <c r="F2" s="163"/>
      <c r="G2" s="163"/>
      <c r="H2" s="163"/>
      <c r="I2" s="164"/>
    </row>
    <row r="3" spans="2:9" ht="35" x14ac:dyDescent="0.2">
      <c r="B3" s="126"/>
      <c r="C3" s="165" t="s">
        <v>534</v>
      </c>
      <c r="D3" s="166"/>
      <c r="E3" s="166"/>
      <c r="F3" s="166"/>
      <c r="G3" s="166"/>
      <c r="H3" s="166"/>
      <c r="I3" s="127"/>
    </row>
    <row r="4" spans="2:9" ht="26" customHeight="1" x14ac:dyDescent="0.2">
      <c r="B4" s="126"/>
      <c r="C4" s="167" t="s">
        <v>535</v>
      </c>
      <c r="D4" s="166"/>
      <c r="E4" s="166"/>
      <c r="F4" s="166"/>
      <c r="G4" s="166"/>
      <c r="H4" s="166"/>
      <c r="I4" s="127"/>
    </row>
    <row r="5" spans="2:9" ht="25" customHeight="1" x14ac:dyDescent="0.2">
      <c r="B5" s="126"/>
      <c r="C5" s="168" t="s">
        <v>536</v>
      </c>
      <c r="D5" s="166"/>
      <c r="E5" s="166"/>
      <c r="F5" s="166"/>
      <c r="G5" s="166"/>
      <c r="H5" s="166"/>
      <c r="I5" s="127"/>
    </row>
    <row r="6" spans="2:9" ht="25" customHeight="1" x14ac:dyDescent="0.2">
      <c r="B6" s="158"/>
      <c r="C6" s="159"/>
      <c r="D6" s="159"/>
      <c r="E6" s="159"/>
      <c r="F6" s="159"/>
      <c r="G6" s="159"/>
      <c r="H6" s="159"/>
      <c r="I6" s="160"/>
    </row>
    <row r="7" spans="2:9" ht="25" customHeight="1" x14ac:dyDescent="0.2">
      <c r="B7" s="128"/>
      <c r="C7" s="169" t="s">
        <v>537</v>
      </c>
      <c r="D7" s="170"/>
      <c r="E7" s="170"/>
      <c r="F7" s="170"/>
      <c r="G7" s="170"/>
      <c r="H7" s="171"/>
      <c r="I7" s="132"/>
    </row>
    <row r="8" spans="2:9" ht="25" customHeight="1" x14ac:dyDescent="0.2">
      <c r="B8" s="172"/>
      <c r="C8" s="173"/>
      <c r="D8" s="173"/>
      <c r="E8" s="173"/>
      <c r="F8" s="173"/>
      <c r="G8" s="173"/>
      <c r="H8" s="173"/>
      <c r="I8" s="174"/>
    </row>
    <row r="9" spans="2:9" ht="25" customHeight="1" x14ac:dyDescent="0.2">
      <c r="B9" s="128"/>
      <c r="C9" s="175" t="s">
        <v>538</v>
      </c>
      <c r="D9" s="176"/>
      <c r="E9" s="177" t="s">
        <v>535</v>
      </c>
      <c r="F9" s="178"/>
      <c r="G9" s="178"/>
      <c r="H9" s="179"/>
      <c r="I9" s="132"/>
    </row>
    <row r="10" spans="2:9" ht="25" customHeight="1" x14ac:dyDescent="0.2">
      <c r="B10" s="128"/>
      <c r="C10" s="180" t="s">
        <v>539</v>
      </c>
      <c r="D10" s="181"/>
      <c r="E10" s="182" t="s">
        <v>536</v>
      </c>
      <c r="F10" s="183"/>
      <c r="G10" s="183"/>
      <c r="H10" s="184"/>
      <c r="I10" s="132"/>
    </row>
    <row r="11" spans="2:9" ht="25" customHeight="1" x14ac:dyDescent="0.2">
      <c r="B11" s="128"/>
      <c r="C11" s="180" t="s">
        <v>540</v>
      </c>
      <c r="D11" s="181"/>
      <c r="E11" s="182" t="s">
        <v>541</v>
      </c>
      <c r="F11" s="183"/>
      <c r="G11" s="183"/>
      <c r="H11" s="184"/>
      <c r="I11" s="132"/>
    </row>
    <row r="12" spans="2:9" ht="25" customHeight="1" x14ac:dyDescent="0.2">
      <c r="B12" s="128"/>
      <c r="C12" s="180" t="s">
        <v>542</v>
      </c>
      <c r="D12" s="181"/>
      <c r="E12" s="182" t="s">
        <v>543</v>
      </c>
      <c r="F12" s="183"/>
      <c r="G12" s="183"/>
      <c r="H12" s="184"/>
      <c r="I12" s="132"/>
    </row>
    <row r="13" spans="2:9" ht="25" customHeight="1" x14ac:dyDescent="0.2">
      <c r="B13" s="128"/>
      <c r="C13" s="180" t="s">
        <v>544</v>
      </c>
      <c r="D13" s="181"/>
      <c r="E13" s="182" t="s">
        <v>545</v>
      </c>
      <c r="F13" s="183"/>
      <c r="G13" s="183"/>
      <c r="H13" s="184"/>
      <c r="I13" s="132"/>
    </row>
    <row r="14" spans="2:9" ht="25" customHeight="1" x14ac:dyDescent="0.2">
      <c r="B14" s="128"/>
      <c r="C14" s="180" t="s">
        <v>546</v>
      </c>
      <c r="D14" s="181"/>
      <c r="E14" s="182" t="s">
        <v>547</v>
      </c>
      <c r="F14" s="183"/>
      <c r="G14" s="183"/>
      <c r="H14" s="184"/>
      <c r="I14" s="132"/>
    </row>
    <row r="15" spans="2:9" ht="25" customHeight="1" x14ac:dyDescent="0.2">
      <c r="B15" s="128"/>
      <c r="C15" s="186" t="s">
        <v>548</v>
      </c>
      <c r="D15" s="187"/>
      <c r="E15" s="188" t="s">
        <v>549</v>
      </c>
      <c r="F15" s="189"/>
      <c r="G15" s="189"/>
      <c r="H15" s="190"/>
      <c r="I15" s="132"/>
    </row>
    <row r="16" spans="2:9" ht="25" customHeight="1" x14ac:dyDescent="0.2">
      <c r="B16" s="191"/>
      <c r="C16" s="192"/>
      <c r="D16" s="192"/>
      <c r="E16" s="192"/>
      <c r="F16" s="192"/>
      <c r="G16" s="192"/>
      <c r="H16" s="192"/>
      <c r="I16" s="193"/>
    </row>
    <row r="17" spans="2:9" ht="25" customHeight="1" x14ac:dyDescent="0.2">
      <c r="B17" s="128"/>
      <c r="C17" s="185" t="s">
        <v>550</v>
      </c>
      <c r="D17" s="170"/>
      <c r="E17" s="170"/>
      <c r="F17" s="170"/>
      <c r="G17" s="170"/>
      <c r="H17" s="171"/>
      <c r="I17" s="132"/>
    </row>
    <row r="18" spans="2:9" ht="25" customHeight="1" x14ac:dyDescent="0.2">
      <c r="B18" s="172"/>
      <c r="C18" s="173"/>
      <c r="D18" s="173"/>
      <c r="E18" s="173"/>
      <c r="F18" s="173"/>
      <c r="G18" s="173"/>
      <c r="H18" s="173"/>
      <c r="I18" s="174"/>
    </row>
    <row r="19" spans="2:9" ht="25" customHeight="1" x14ac:dyDescent="0.2">
      <c r="B19" s="128"/>
      <c r="C19" s="175" t="s">
        <v>551</v>
      </c>
      <c r="D19" s="176"/>
      <c r="E19" s="177" t="s">
        <v>552</v>
      </c>
      <c r="F19" s="178"/>
      <c r="G19" s="178"/>
      <c r="H19" s="179"/>
      <c r="I19" s="132"/>
    </row>
    <row r="20" spans="2:9" ht="25" customHeight="1" x14ac:dyDescent="0.2">
      <c r="B20" s="128"/>
      <c r="C20" s="180" t="s">
        <v>553</v>
      </c>
      <c r="D20" s="181"/>
      <c r="E20" s="182" t="s">
        <v>554</v>
      </c>
      <c r="F20" s="183"/>
      <c r="G20" s="183"/>
      <c r="H20" s="184"/>
      <c r="I20" s="132"/>
    </row>
    <row r="21" spans="2:9" ht="25" customHeight="1" x14ac:dyDescent="0.2">
      <c r="B21" s="128"/>
      <c r="C21" s="180" t="s">
        <v>555</v>
      </c>
      <c r="D21" s="181"/>
      <c r="E21" s="182" t="s">
        <v>556</v>
      </c>
      <c r="F21" s="183"/>
      <c r="G21" s="183"/>
      <c r="H21" s="184"/>
      <c r="I21" s="132"/>
    </row>
    <row r="22" spans="2:9" ht="25" customHeight="1" x14ac:dyDescent="0.2">
      <c r="B22" s="128"/>
      <c r="C22" s="186" t="s">
        <v>557</v>
      </c>
      <c r="D22" s="187"/>
      <c r="E22" s="188" t="s">
        <v>558</v>
      </c>
      <c r="F22" s="189"/>
      <c r="G22" s="189"/>
      <c r="H22" s="190"/>
      <c r="I22" s="132"/>
    </row>
    <row r="23" spans="2:9" ht="25" customHeight="1" x14ac:dyDescent="0.2">
      <c r="B23" s="191"/>
      <c r="C23" s="192"/>
      <c r="D23" s="192"/>
      <c r="E23" s="192"/>
      <c r="F23" s="192"/>
      <c r="G23" s="192"/>
      <c r="H23" s="192"/>
      <c r="I23" s="193"/>
    </row>
    <row r="24" spans="2:9" ht="25" customHeight="1" x14ac:dyDescent="0.2">
      <c r="B24" s="128"/>
      <c r="C24" s="185" t="s">
        <v>559</v>
      </c>
      <c r="D24" s="170"/>
      <c r="E24" s="170"/>
      <c r="F24" s="170"/>
      <c r="G24" s="170"/>
      <c r="H24" s="171"/>
      <c r="I24" s="132"/>
    </row>
    <row r="25" spans="2:9" ht="25" customHeight="1" x14ac:dyDescent="0.2">
      <c r="B25" s="172"/>
      <c r="C25" s="173"/>
      <c r="D25" s="173"/>
      <c r="E25" s="173"/>
      <c r="F25" s="173"/>
      <c r="G25" s="173"/>
      <c r="H25" s="173"/>
      <c r="I25" s="174"/>
    </row>
    <row r="26" spans="2:9" ht="25" customHeight="1" x14ac:dyDescent="0.2">
      <c r="B26" s="128"/>
      <c r="C26" s="175" t="s">
        <v>560</v>
      </c>
      <c r="D26" s="176"/>
      <c r="E26" s="177" t="s">
        <v>561</v>
      </c>
      <c r="F26" s="178"/>
      <c r="G26" s="178"/>
      <c r="H26" s="179"/>
      <c r="I26" s="132"/>
    </row>
    <row r="27" spans="2:9" ht="25" customHeight="1" x14ac:dyDescent="0.2">
      <c r="B27" s="128"/>
      <c r="C27" s="180" t="s">
        <v>562</v>
      </c>
      <c r="D27" s="181"/>
      <c r="E27" s="182" t="s">
        <v>563</v>
      </c>
      <c r="F27" s="183"/>
      <c r="G27" s="183"/>
      <c r="H27" s="184"/>
      <c r="I27" s="132"/>
    </row>
    <row r="28" spans="2:9" ht="25" customHeight="1" x14ac:dyDescent="0.2">
      <c r="B28" s="128"/>
      <c r="C28" s="180" t="s">
        <v>564</v>
      </c>
      <c r="D28" s="181"/>
      <c r="E28" s="182" t="s">
        <v>565</v>
      </c>
      <c r="F28" s="183"/>
      <c r="G28" s="183"/>
      <c r="H28" s="184"/>
      <c r="I28" s="132"/>
    </row>
    <row r="29" spans="2:9" ht="25" customHeight="1" x14ac:dyDescent="0.2">
      <c r="B29" s="128"/>
      <c r="C29" s="186" t="s">
        <v>566</v>
      </c>
      <c r="D29" s="187"/>
      <c r="E29" s="188" t="s">
        <v>567</v>
      </c>
      <c r="F29" s="189"/>
      <c r="G29" s="189"/>
      <c r="H29" s="190"/>
      <c r="I29" s="132"/>
    </row>
    <row r="30" spans="2:9" ht="18" customHeight="1" x14ac:dyDescent="0.2">
      <c r="B30" s="158"/>
      <c r="C30" s="159"/>
      <c r="D30" s="159"/>
      <c r="E30" s="159"/>
      <c r="F30" s="159"/>
      <c r="G30" s="159"/>
      <c r="H30" s="159"/>
      <c r="I30" s="160"/>
    </row>
    <row r="31" spans="2:9" ht="44" customHeight="1" x14ac:dyDescent="0.2">
      <c r="B31" s="194" t="s">
        <v>568</v>
      </c>
      <c r="C31" s="192"/>
      <c r="D31" s="192"/>
      <c r="E31" s="192"/>
      <c r="F31" s="192"/>
      <c r="G31" s="192"/>
      <c r="H31" s="192"/>
      <c r="I31" s="193"/>
    </row>
    <row r="32" spans="2:9" ht="16" customHeight="1" x14ac:dyDescent="0.2">
      <c r="B32" s="141"/>
      <c r="C32" s="142"/>
      <c r="D32" s="142"/>
      <c r="E32" s="142"/>
      <c r="F32" s="142"/>
      <c r="G32" s="142"/>
      <c r="H32" s="142"/>
      <c r="I32" s="143"/>
    </row>
  </sheetData>
  <mergeCells count="46">
    <mergeCell ref="B30:I30"/>
    <mergeCell ref="B31:I31"/>
    <mergeCell ref="C27:D27"/>
    <mergeCell ref="E27:H27"/>
    <mergeCell ref="C28:D28"/>
    <mergeCell ref="E28:H28"/>
    <mergeCell ref="C29:D29"/>
    <mergeCell ref="E29:H29"/>
    <mergeCell ref="C26:D26"/>
    <mergeCell ref="E26:H26"/>
    <mergeCell ref="B18:I18"/>
    <mergeCell ref="C19:D19"/>
    <mergeCell ref="E19:H19"/>
    <mergeCell ref="C20:D20"/>
    <mergeCell ref="E20:H20"/>
    <mergeCell ref="C21:D21"/>
    <mergeCell ref="E21:H21"/>
    <mergeCell ref="C22:D22"/>
    <mergeCell ref="E22:H22"/>
    <mergeCell ref="B23:I23"/>
    <mergeCell ref="C24:H24"/>
    <mergeCell ref="B25:I25"/>
    <mergeCell ref="C17:H17"/>
    <mergeCell ref="C11:D11"/>
    <mergeCell ref="E11:H11"/>
    <mergeCell ref="C12:D12"/>
    <mergeCell ref="E12:H12"/>
    <mergeCell ref="C13:D13"/>
    <mergeCell ref="E13:H13"/>
    <mergeCell ref="C14:D14"/>
    <mergeCell ref="E14:H14"/>
    <mergeCell ref="C15:D15"/>
    <mergeCell ref="E15:H15"/>
    <mergeCell ref="B16:I16"/>
    <mergeCell ref="C7:H7"/>
    <mergeCell ref="B8:I8"/>
    <mergeCell ref="C9:D9"/>
    <mergeCell ref="E9:H9"/>
    <mergeCell ref="C10:D10"/>
    <mergeCell ref="E10:H10"/>
    <mergeCell ref="B6:I6"/>
    <mergeCell ref="B1:I1"/>
    <mergeCell ref="B2:I2"/>
    <mergeCell ref="C3:H3"/>
    <mergeCell ref="C4:H4"/>
    <mergeCell ref="C5:H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5226D-9FA9-7E41-9760-59EE3C7E6D5B}">
  <dimension ref="B1:H21"/>
  <sheetViews>
    <sheetView showGridLines="0" workbookViewId="0">
      <selection activeCell="L10" sqref="L10"/>
    </sheetView>
  </sheetViews>
  <sheetFormatPr baseColWidth="10" defaultRowHeight="15" x14ac:dyDescent="0.2"/>
  <cols>
    <col min="1" max="1" width="2.83203125" style="125" customWidth="1"/>
    <col min="2" max="2" width="4" style="125" customWidth="1"/>
    <col min="3" max="5" width="35.83203125" style="125" customWidth="1"/>
    <col min="6" max="6" width="36.5" style="125" customWidth="1"/>
    <col min="7" max="7" width="35.83203125" style="125" customWidth="1"/>
    <col min="8" max="8" width="4" style="125" customWidth="1"/>
    <col min="9" max="16384" width="10.83203125" style="125"/>
  </cols>
  <sheetData>
    <row r="1" spans="2:8" ht="20" customHeight="1" x14ac:dyDescent="0.2">
      <c r="B1" s="161"/>
      <c r="C1" s="161"/>
      <c r="D1" s="161"/>
      <c r="E1" s="161"/>
      <c r="F1" s="161"/>
      <c r="G1" s="161"/>
      <c r="H1" s="161"/>
    </row>
    <row r="2" spans="2:8" ht="20" customHeight="1" x14ac:dyDescent="0.2">
      <c r="B2" s="162"/>
      <c r="C2" s="163"/>
      <c r="D2" s="163"/>
      <c r="E2" s="163"/>
      <c r="F2" s="163"/>
      <c r="G2" s="163"/>
      <c r="H2" s="164"/>
    </row>
    <row r="3" spans="2:8" ht="35" x14ac:dyDescent="0.2">
      <c r="B3" s="126"/>
      <c r="C3" s="165" t="s">
        <v>494</v>
      </c>
      <c r="D3" s="166"/>
      <c r="E3" s="166"/>
      <c r="F3" s="166"/>
      <c r="G3" s="166"/>
      <c r="H3" s="127"/>
    </row>
    <row r="4" spans="2:8" ht="25" customHeight="1" x14ac:dyDescent="0.2">
      <c r="B4" s="158"/>
      <c r="C4" s="159"/>
      <c r="D4" s="159"/>
      <c r="E4" s="159"/>
      <c r="F4" s="159"/>
      <c r="G4" s="159"/>
      <c r="H4" s="160"/>
    </row>
    <row r="5" spans="2:8" ht="25" customHeight="1" x14ac:dyDescent="0.2">
      <c r="B5" s="128"/>
      <c r="C5" s="129" t="s">
        <v>495</v>
      </c>
      <c r="D5" s="130" t="s">
        <v>496</v>
      </c>
      <c r="E5" s="130" t="s">
        <v>497</v>
      </c>
      <c r="F5" s="130" t="s">
        <v>498</v>
      </c>
      <c r="G5" s="131" t="s">
        <v>499</v>
      </c>
      <c r="H5" s="132"/>
    </row>
    <row r="6" spans="2:8" ht="25" customHeight="1" x14ac:dyDescent="0.2">
      <c r="B6" s="172"/>
      <c r="C6" s="173"/>
      <c r="D6" s="173"/>
      <c r="E6" s="173"/>
      <c r="F6" s="173"/>
      <c r="G6" s="173"/>
      <c r="H6" s="174"/>
    </row>
    <row r="7" spans="2:8" ht="25" customHeight="1" x14ac:dyDescent="0.2">
      <c r="B7" s="128"/>
      <c r="C7" s="135">
        <v>1</v>
      </c>
      <c r="D7" s="136" t="s">
        <v>500</v>
      </c>
      <c r="E7" s="136" t="s">
        <v>501</v>
      </c>
      <c r="F7" s="136" t="s">
        <v>448</v>
      </c>
      <c r="G7" s="137" t="s">
        <v>448</v>
      </c>
      <c r="H7" s="132"/>
    </row>
    <row r="8" spans="2:8" ht="25" customHeight="1" x14ac:dyDescent="0.2">
      <c r="B8" s="128"/>
      <c r="C8" s="138">
        <v>2</v>
      </c>
      <c r="D8" s="136" t="s">
        <v>494</v>
      </c>
      <c r="E8" s="139" t="s">
        <v>502</v>
      </c>
      <c r="F8" s="139" t="s">
        <v>448</v>
      </c>
      <c r="G8" s="140" t="s">
        <v>448</v>
      </c>
      <c r="H8" s="132"/>
    </row>
    <row r="9" spans="2:8" ht="25" customHeight="1" x14ac:dyDescent="0.2">
      <c r="B9" s="128"/>
      <c r="C9" s="138">
        <v>3</v>
      </c>
      <c r="D9" s="139" t="s">
        <v>503</v>
      </c>
      <c r="E9" s="139" t="s">
        <v>504</v>
      </c>
      <c r="F9" s="139" t="s">
        <v>448</v>
      </c>
      <c r="G9" s="140" t="s">
        <v>505</v>
      </c>
      <c r="H9" s="132"/>
    </row>
    <row r="10" spans="2:8" ht="25" customHeight="1" x14ac:dyDescent="0.2">
      <c r="B10" s="128"/>
      <c r="C10" s="138">
        <v>4</v>
      </c>
      <c r="D10" s="139" t="s">
        <v>506</v>
      </c>
      <c r="E10" s="139" t="s">
        <v>507</v>
      </c>
      <c r="F10" s="139" t="s">
        <v>448</v>
      </c>
      <c r="G10" s="140" t="s">
        <v>508</v>
      </c>
      <c r="H10" s="132"/>
    </row>
    <row r="11" spans="2:8" ht="25" customHeight="1" x14ac:dyDescent="0.2">
      <c r="B11" s="128"/>
      <c r="C11" s="138">
        <v>5</v>
      </c>
      <c r="D11" s="139" t="s">
        <v>89</v>
      </c>
      <c r="E11" s="139" t="s">
        <v>509</v>
      </c>
      <c r="F11" s="139" t="s">
        <v>510</v>
      </c>
      <c r="G11" s="140" t="s">
        <v>511</v>
      </c>
      <c r="H11" s="132"/>
    </row>
    <row r="12" spans="2:8" ht="25" customHeight="1" x14ac:dyDescent="0.2">
      <c r="B12" s="128"/>
      <c r="C12" s="138">
        <v>6</v>
      </c>
      <c r="D12" s="139" t="s">
        <v>512</v>
      </c>
      <c r="E12" s="139" t="s">
        <v>513</v>
      </c>
      <c r="F12" s="139" t="s">
        <v>514</v>
      </c>
      <c r="G12" s="140" t="s">
        <v>511</v>
      </c>
      <c r="H12" s="132"/>
    </row>
    <row r="13" spans="2:8" ht="25" customHeight="1" x14ac:dyDescent="0.2">
      <c r="B13" s="128"/>
      <c r="C13" s="138">
        <v>7</v>
      </c>
      <c r="D13" s="139" t="s">
        <v>511</v>
      </c>
      <c r="E13" s="139" t="s">
        <v>515</v>
      </c>
      <c r="F13" s="139" t="s">
        <v>516</v>
      </c>
      <c r="G13" s="140" t="s">
        <v>517</v>
      </c>
      <c r="H13" s="132"/>
    </row>
    <row r="14" spans="2:8" ht="25" customHeight="1" x14ac:dyDescent="0.2">
      <c r="B14" s="128"/>
      <c r="C14" s="138">
        <v>8</v>
      </c>
      <c r="D14" s="139" t="s">
        <v>517</v>
      </c>
      <c r="E14" s="139" t="s">
        <v>518</v>
      </c>
      <c r="F14" s="139" t="s">
        <v>519</v>
      </c>
      <c r="G14" s="140" t="s">
        <v>520</v>
      </c>
      <c r="H14" s="132"/>
    </row>
    <row r="15" spans="2:8" ht="25" customHeight="1" x14ac:dyDescent="0.2">
      <c r="B15" s="133"/>
      <c r="C15" s="138">
        <v>9</v>
      </c>
      <c r="D15" s="139" t="s">
        <v>521</v>
      </c>
      <c r="E15" s="139" t="s">
        <v>522</v>
      </c>
      <c r="F15" s="139" t="s">
        <v>506</v>
      </c>
      <c r="G15" s="140" t="s">
        <v>520</v>
      </c>
      <c r="H15" s="134"/>
    </row>
    <row r="16" spans="2:8" ht="25" customHeight="1" x14ac:dyDescent="0.2">
      <c r="B16" s="128"/>
      <c r="C16" s="138">
        <v>10</v>
      </c>
      <c r="D16" s="139" t="s">
        <v>520</v>
      </c>
      <c r="E16" s="139" t="s">
        <v>523</v>
      </c>
      <c r="F16" s="139" t="s">
        <v>524</v>
      </c>
      <c r="G16" s="140" t="s">
        <v>525</v>
      </c>
      <c r="H16" s="132"/>
    </row>
    <row r="17" spans="2:8" ht="25" customHeight="1" x14ac:dyDescent="0.2">
      <c r="B17" s="128"/>
      <c r="C17" s="138">
        <v>11</v>
      </c>
      <c r="D17" s="139" t="s">
        <v>525</v>
      </c>
      <c r="E17" s="139" t="s">
        <v>526</v>
      </c>
      <c r="F17" s="139" t="s">
        <v>527</v>
      </c>
      <c r="G17" s="140" t="s">
        <v>528</v>
      </c>
      <c r="H17" s="132"/>
    </row>
    <row r="18" spans="2:8" ht="25" customHeight="1" x14ac:dyDescent="0.2">
      <c r="B18" s="128"/>
      <c r="C18" s="138">
        <v>12</v>
      </c>
      <c r="D18" s="139" t="s">
        <v>529</v>
      </c>
      <c r="E18" s="139" t="s">
        <v>530</v>
      </c>
      <c r="F18" s="139" t="s">
        <v>531</v>
      </c>
      <c r="G18" s="140" t="s">
        <v>528</v>
      </c>
      <c r="H18" s="132"/>
    </row>
    <row r="19" spans="2:8" ht="25" customHeight="1" x14ac:dyDescent="0.2">
      <c r="B19" s="128"/>
      <c r="C19" s="138">
        <v>13</v>
      </c>
      <c r="D19" s="139" t="s">
        <v>528</v>
      </c>
      <c r="E19" s="139" t="s">
        <v>532</v>
      </c>
      <c r="F19" s="139" t="s">
        <v>533</v>
      </c>
      <c r="G19" s="140" t="s">
        <v>448</v>
      </c>
      <c r="H19" s="132"/>
    </row>
    <row r="20" spans="2:8" ht="25" customHeight="1" x14ac:dyDescent="0.2">
      <c r="B20" s="158"/>
      <c r="C20" s="159"/>
      <c r="D20" s="159"/>
      <c r="E20" s="159"/>
      <c r="F20" s="159"/>
      <c r="G20" s="159"/>
      <c r="H20" s="160"/>
    </row>
    <row r="21" spans="2:8" ht="16" customHeight="1" x14ac:dyDescent="0.2">
      <c r="B21" s="141"/>
      <c r="C21" s="142"/>
      <c r="D21" s="142"/>
      <c r="E21" s="142"/>
      <c r="F21" s="142"/>
      <c r="G21" s="142"/>
      <c r="H21" s="143"/>
    </row>
  </sheetData>
  <mergeCells count="6">
    <mergeCell ref="B20:H20"/>
    <mergeCell ref="B1:H1"/>
    <mergeCell ref="B2:H2"/>
    <mergeCell ref="C3:G3"/>
    <mergeCell ref="B4:H4"/>
    <mergeCell ref="B6:H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K57"/>
  <sheetViews>
    <sheetView showGridLines="0" zoomScale="70" zoomScaleNormal="70" workbookViewId="0">
      <selection activeCell="E2" sqref="E2"/>
    </sheetView>
  </sheetViews>
  <sheetFormatPr baseColWidth="10" defaultColWidth="8.83203125" defaultRowHeight="15" x14ac:dyDescent="0.2"/>
  <cols>
    <col min="1" max="1" width="2.83203125" style="2" customWidth="1"/>
    <col min="2" max="2" width="5.83203125" style="19" customWidth="1"/>
    <col min="3" max="3" width="30.5" style="2" customWidth="1"/>
    <col min="4" max="4" width="12" style="2" customWidth="1"/>
    <col min="5" max="5" width="13.83203125" style="2" customWidth="1"/>
    <col min="6" max="6" width="80" style="7" customWidth="1"/>
    <col min="7" max="7" width="18" style="2" customWidth="1"/>
    <col min="8" max="8" width="14" style="2" customWidth="1"/>
    <col min="9" max="9" width="28.33203125" style="2" customWidth="1"/>
    <col min="10" max="10" width="65.33203125" style="7" customWidth="1"/>
    <col min="11" max="11" width="165" style="7" customWidth="1"/>
    <col min="12" max="28" width="8.83203125" style="2" customWidth="1"/>
    <col min="29" max="16384" width="8.83203125" style="2"/>
  </cols>
  <sheetData>
    <row r="1" spans="2:11" ht="16" customHeight="1" x14ac:dyDescent="0.2">
      <c r="B1" s="5"/>
    </row>
    <row r="2" spans="2:11" ht="45" customHeight="1" x14ac:dyDescent="0.2">
      <c r="B2" s="6" t="s">
        <v>79</v>
      </c>
      <c r="C2" s="8"/>
      <c r="D2" s="8"/>
      <c r="E2" s="8"/>
      <c r="F2" s="8"/>
      <c r="G2" s="8"/>
      <c r="H2" s="8"/>
      <c r="I2" s="8"/>
      <c r="J2" s="8"/>
      <c r="K2" s="9"/>
    </row>
    <row r="3" spans="2:11" ht="16" customHeight="1" x14ac:dyDescent="0.2">
      <c r="B3" s="5"/>
    </row>
    <row r="4" spans="2:11" ht="16" customHeight="1" x14ac:dyDescent="0.2">
      <c r="B4" s="13" t="s">
        <v>80</v>
      </c>
      <c r="C4" s="10" t="s">
        <v>81</v>
      </c>
      <c r="D4" s="11" t="s">
        <v>8</v>
      </c>
      <c r="E4" s="11" t="s">
        <v>82</v>
      </c>
      <c r="F4" s="10" t="s">
        <v>83</v>
      </c>
      <c r="G4" s="11" t="s">
        <v>84</v>
      </c>
      <c r="H4" s="11" t="s">
        <v>85</v>
      </c>
      <c r="I4" s="11" t="s">
        <v>86</v>
      </c>
      <c r="J4" s="10" t="s">
        <v>87</v>
      </c>
      <c r="K4" s="12" t="s">
        <v>88</v>
      </c>
    </row>
    <row r="5" spans="2:11" ht="16" customHeight="1" x14ac:dyDescent="0.2"/>
    <row r="6" spans="2:11" ht="16" customHeight="1" x14ac:dyDescent="0.2">
      <c r="B6" s="14">
        <v>1</v>
      </c>
      <c r="C6" s="15" t="s">
        <v>89</v>
      </c>
      <c r="D6" s="16"/>
      <c r="E6" s="16"/>
      <c r="F6" s="17"/>
      <c r="G6" s="16"/>
      <c r="H6" s="16"/>
      <c r="I6" s="16"/>
      <c r="J6" s="17"/>
      <c r="K6" s="18"/>
    </row>
    <row r="7" spans="2:11" ht="16" customHeight="1" x14ac:dyDescent="0.2">
      <c r="C7" s="20"/>
      <c r="D7" s="21"/>
      <c r="E7" s="21"/>
      <c r="F7" s="22"/>
      <c r="G7" s="21"/>
      <c r="H7" s="21"/>
      <c r="I7" s="21"/>
      <c r="J7" s="22"/>
      <c r="K7" s="22"/>
    </row>
    <row r="8" spans="2:11" ht="16" customHeight="1" x14ac:dyDescent="0.2">
      <c r="C8" s="20" t="s">
        <v>90</v>
      </c>
      <c r="D8" s="21" t="s">
        <v>10</v>
      </c>
      <c r="E8" s="21" t="s">
        <v>91</v>
      </c>
      <c r="F8" s="22" t="s">
        <v>92</v>
      </c>
      <c r="G8" s="21" t="s">
        <v>93</v>
      </c>
      <c r="H8" s="21" t="s">
        <v>94</v>
      </c>
      <c r="I8" s="21" t="s">
        <v>95</v>
      </c>
      <c r="J8" s="22" t="s">
        <v>96</v>
      </c>
      <c r="K8" s="22" t="s">
        <v>573</v>
      </c>
    </row>
    <row r="9" spans="2:11" ht="16" customHeight="1" x14ac:dyDescent="0.2">
      <c r="C9" s="20"/>
      <c r="D9" s="21"/>
      <c r="E9" s="21"/>
      <c r="F9" s="22"/>
      <c r="G9" s="21"/>
      <c r="H9" s="21"/>
      <c r="I9" s="21"/>
      <c r="J9" s="22"/>
      <c r="K9" s="22"/>
    </row>
    <row r="10" spans="2:11" ht="16" customHeight="1" x14ac:dyDescent="0.2">
      <c r="B10" s="14">
        <v>2</v>
      </c>
      <c r="C10" s="15" t="s">
        <v>97</v>
      </c>
      <c r="D10" s="16"/>
      <c r="E10" s="16"/>
      <c r="F10" s="17"/>
      <c r="G10" s="16"/>
      <c r="H10" s="16"/>
      <c r="I10" s="16"/>
      <c r="J10" s="17"/>
      <c r="K10" s="18"/>
    </row>
    <row r="11" spans="2:11" ht="16" customHeight="1" x14ac:dyDescent="0.2">
      <c r="C11" s="20"/>
      <c r="D11" s="21"/>
      <c r="E11" s="21"/>
      <c r="F11" s="22"/>
      <c r="G11" s="21"/>
      <c r="H11" s="21"/>
      <c r="I11" s="21"/>
      <c r="J11" s="22"/>
      <c r="K11" s="22"/>
    </row>
    <row r="12" spans="2:11" ht="16" customHeight="1" x14ac:dyDescent="0.2">
      <c r="C12" s="20" t="s">
        <v>98</v>
      </c>
      <c r="D12" s="21" t="s">
        <v>99</v>
      </c>
      <c r="E12" s="21" t="s">
        <v>91</v>
      </c>
      <c r="F12" s="22" t="s">
        <v>100</v>
      </c>
      <c r="G12" s="21" t="s">
        <v>93</v>
      </c>
      <c r="H12" s="21" t="s">
        <v>94</v>
      </c>
      <c r="I12" s="21" t="s">
        <v>95</v>
      </c>
      <c r="J12" s="22" t="s">
        <v>101</v>
      </c>
      <c r="K12" s="22" t="s">
        <v>573</v>
      </c>
    </row>
    <row r="13" spans="2:11" ht="16" customHeight="1" x14ac:dyDescent="0.2">
      <c r="B13" s="2"/>
      <c r="C13" s="20" t="s">
        <v>102</v>
      </c>
      <c r="D13" s="21" t="s">
        <v>99</v>
      </c>
      <c r="E13" s="21" t="s">
        <v>91</v>
      </c>
      <c r="F13" s="22" t="s">
        <v>100</v>
      </c>
      <c r="G13" s="21" t="s">
        <v>93</v>
      </c>
      <c r="H13" s="21" t="s">
        <v>94</v>
      </c>
      <c r="I13" s="21" t="s">
        <v>95</v>
      </c>
      <c r="J13" s="22" t="s">
        <v>101</v>
      </c>
      <c r="K13" s="22" t="s">
        <v>573</v>
      </c>
    </row>
    <row r="14" spans="2:11" ht="16" customHeight="1" x14ac:dyDescent="0.2">
      <c r="B14" s="2"/>
      <c r="C14" s="20"/>
      <c r="D14" s="21"/>
      <c r="E14" s="21"/>
      <c r="F14" s="22"/>
      <c r="G14" s="21"/>
      <c r="H14" s="21"/>
      <c r="I14" s="21"/>
      <c r="J14" s="22"/>
      <c r="K14" s="22"/>
    </row>
    <row r="15" spans="2:11" ht="16" customHeight="1" x14ac:dyDescent="0.2">
      <c r="B15" s="14">
        <v>3</v>
      </c>
      <c r="C15" s="15" t="s">
        <v>103</v>
      </c>
      <c r="D15" s="16"/>
      <c r="E15" s="16"/>
      <c r="F15" s="17"/>
      <c r="G15" s="16"/>
      <c r="H15" s="16"/>
      <c r="I15" s="16"/>
      <c r="J15" s="17"/>
      <c r="K15" s="18"/>
    </row>
    <row r="16" spans="2:11" ht="16" customHeight="1" x14ac:dyDescent="0.2">
      <c r="C16" s="20"/>
      <c r="D16" s="21"/>
      <c r="E16" s="21"/>
      <c r="F16" s="22"/>
      <c r="G16" s="21"/>
      <c r="H16" s="21"/>
      <c r="I16" s="21"/>
      <c r="J16" s="22"/>
      <c r="K16" s="22"/>
    </row>
    <row r="17" spans="2:11" ht="16" customHeight="1" x14ac:dyDescent="0.2">
      <c r="C17" s="20" t="s">
        <v>104</v>
      </c>
      <c r="D17" s="21" t="s">
        <v>105</v>
      </c>
      <c r="E17" s="21" t="s">
        <v>106</v>
      </c>
      <c r="F17" s="22" t="s">
        <v>100</v>
      </c>
      <c r="G17" s="21" t="s">
        <v>107</v>
      </c>
      <c r="H17" s="21" t="s">
        <v>94</v>
      </c>
      <c r="I17" s="21" t="s">
        <v>95</v>
      </c>
      <c r="J17" s="22" t="s">
        <v>108</v>
      </c>
      <c r="K17" s="22" t="s">
        <v>109</v>
      </c>
    </row>
    <row r="18" spans="2:11" ht="16" customHeight="1" x14ac:dyDescent="0.2">
      <c r="C18" s="20" t="s">
        <v>110</v>
      </c>
      <c r="D18" s="21" t="s">
        <v>10</v>
      </c>
      <c r="E18" s="21" t="s">
        <v>106</v>
      </c>
      <c r="F18" s="22" t="s">
        <v>100</v>
      </c>
      <c r="G18" s="21" t="s">
        <v>107</v>
      </c>
      <c r="H18" s="21" t="s">
        <v>94</v>
      </c>
      <c r="I18" s="21" t="s">
        <v>95</v>
      </c>
      <c r="J18" s="22" t="s">
        <v>111</v>
      </c>
      <c r="K18" s="22" t="s">
        <v>112</v>
      </c>
    </row>
    <row r="19" spans="2:11" ht="16" customHeight="1" x14ac:dyDescent="0.2">
      <c r="C19" s="20" t="s">
        <v>113</v>
      </c>
      <c r="D19" s="21" t="s">
        <v>114</v>
      </c>
      <c r="E19" s="21" t="s">
        <v>106</v>
      </c>
      <c r="F19" s="22" t="s">
        <v>100</v>
      </c>
      <c r="G19" s="21" t="s">
        <v>107</v>
      </c>
      <c r="H19" s="21" t="s">
        <v>94</v>
      </c>
      <c r="I19" s="21" t="s">
        <v>95</v>
      </c>
      <c r="J19" s="22" t="s">
        <v>115</v>
      </c>
      <c r="K19" s="22" t="s">
        <v>116</v>
      </c>
    </row>
    <row r="20" spans="2:11" ht="16" customHeight="1" x14ac:dyDescent="0.2">
      <c r="C20" s="20"/>
      <c r="D20" s="21"/>
      <c r="E20" s="21"/>
      <c r="F20" s="22"/>
      <c r="G20" s="21"/>
      <c r="H20" s="21"/>
      <c r="I20" s="21"/>
      <c r="J20" s="22"/>
      <c r="K20" s="22"/>
    </row>
    <row r="21" spans="2:11" ht="16" customHeight="1" x14ac:dyDescent="0.2">
      <c r="B21" s="14">
        <v>4</v>
      </c>
      <c r="C21" s="15" t="s">
        <v>117</v>
      </c>
      <c r="D21" s="16"/>
      <c r="E21" s="16"/>
      <c r="F21" s="17"/>
      <c r="G21" s="16"/>
      <c r="H21" s="16"/>
      <c r="I21" s="16"/>
      <c r="J21" s="17"/>
      <c r="K21" s="18"/>
    </row>
    <row r="22" spans="2:11" ht="16" customHeight="1" x14ac:dyDescent="0.2">
      <c r="B22" s="2"/>
      <c r="C22" s="20"/>
      <c r="D22" s="21"/>
      <c r="E22" s="23"/>
      <c r="F22" s="22"/>
      <c r="G22" s="21"/>
      <c r="H22" s="21"/>
      <c r="I22" s="21"/>
      <c r="J22" s="22"/>
      <c r="K22" s="22"/>
    </row>
    <row r="23" spans="2:11" ht="16" customHeight="1" x14ac:dyDescent="0.2">
      <c r="C23" s="20" t="s">
        <v>118</v>
      </c>
      <c r="D23" s="21" t="s">
        <v>105</v>
      </c>
      <c r="E23" s="23">
        <v>2.2499999999999999E-2</v>
      </c>
      <c r="F23" s="22" t="s">
        <v>119</v>
      </c>
      <c r="G23" s="21" t="s">
        <v>120</v>
      </c>
      <c r="H23" s="21" t="s">
        <v>121</v>
      </c>
      <c r="I23" s="21">
        <v>2026</v>
      </c>
      <c r="J23" s="22" t="s">
        <v>122</v>
      </c>
      <c r="K23" s="22" t="s">
        <v>123</v>
      </c>
    </row>
    <row r="24" spans="2:11" ht="16" customHeight="1" x14ac:dyDescent="0.2">
      <c r="B24" s="2"/>
      <c r="C24" s="20" t="s">
        <v>124</v>
      </c>
      <c r="D24" s="21" t="s">
        <v>105</v>
      </c>
      <c r="E24" s="23">
        <v>4.2299999999999997E-2</v>
      </c>
      <c r="F24" s="22" t="s">
        <v>125</v>
      </c>
      <c r="G24" s="21" t="s">
        <v>126</v>
      </c>
      <c r="H24" s="21" t="s">
        <v>121</v>
      </c>
      <c r="I24" s="21">
        <v>2026</v>
      </c>
      <c r="J24" s="22" t="s">
        <v>122</v>
      </c>
      <c r="K24" s="22"/>
    </row>
    <row r="25" spans="2:11" ht="16" customHeight="1" x14ac:dyDescent="0.2">
      <c r="B25" s="2"/>
      <c r="C25" s="20"/>
      <c r="D25" s="21"/>
      <c r="E25" s="23"/>
      <c r="F25" s="22"/>
      <c r="G25" s="21"/>
      <c r="H25" s="21"/>
      <c r="I25" s="24"/>
      <c r="J25" s="22"/>
      <c r="K25" s="22"/>
    </row>
    <row r="26" spans="2:11" ht="16" customHeight="1" x14ac:dyDescent="0.2">
      <c r="C26" s="20" t="s">
        <v>127</v>
      </c>
      <c r="D26" s="21" t="s">
        <v>91</v>
      </c>
      <c r="E26" s="21">
        <v>0.46</v>
      </c>
      <c r="F26" s="22" t="s">
        <v>128</v>
      </c>
      <c r="G26" s="21" t="s">
        <v>126</v>
      </c>
      <c r="H26" s="21" t="s">
        <v>129</v>
      </c>
      <c r="I26" s="21">
        <v>2026</v>
      </c>
      <c r="J26" s="22" t="s">
        <v>130</v>
      </c>
      <c r="K26" s="22"/>
    </row>
    <row r="27" spans="2:11" ht="16" customHeight="1" x14ac:dyDescent="0.2">
      <c r="C27" s="20" t="s">
        <v>131</v>
      </c>
      <c r="D27" s="21" t="s">
        <v>91</v>
      </c>
      <c r="E27" s="21">
        <v>0.56999999999999995</v>
      </c>
      <c r="F27" s="22" t="s">
        <v>132</v>
      </c>
      <c r="G27" s="21" t="s">
        <v>126</v>
      </c>
      <c r="H27" s="21" t="s">
        <v>129</v>
      </c>
      <c r="I27" s="21">
        <v>2026</v>
      </c>
      <c r="J27" s="22" t="s">
        <v>133</v>
      </c>
      <c r="K27" s="22"/>
    </row>
    <row r="28" spans="2:11" ht="16" customHeight="1" x14ac:dyDescent="0.2">
      <c r="C28" s="20"/>
      <c r="D28" s="21"/>
      <c r="E28" s="21"/>
      <c r="F28" s="22"/>
      <c r="G28" s="21"/>
      <c r="H28" s="21"/>
      <c r="I28" s="24"/>
      <c r="J28" s="22"/>
      <c r="K28" s="22"/>
    </row>
    <row r="29" spans="2:11" ht="16" customHeight="1" x14ac:dyDescent="0.2">
      <c r="C29" s="20" t="s">
        <v>134</v>
      </c>
      <c r="D29" s="21" t="s">
        <v>135</v>
      </c>
      <c r="E29" s="23">
        <v>1.7500000000000002E-2</v>
      </c>
      <c r="F29" s="22" t="s">
        <v>136</v>
      </c>
      <c r="G29" s="21" t="s">
        <v>120</v>
      </c>
      <c r="H29" s="21" t="s">
        <v>137</v>
      </c>
      <c r="I29" s="21">
        <v>2023</v>
      </c>
      <c r="J29" s="22" t="s">
        <v>138</v>
      </c>
      <c r="K29" s="22" t="s">
        <v>139</v>
      </c>
    </row>
    <row r="30" spans="2:11" ht="16" customHeight="1" x14ac:dyDescent="0.2">
      <c r="B30" s="2"/>
      <c r="C30" s="20" t="s">
        <v>140</v>
      </c>
      <c r="D30" s="21" t="s">
        <v>135</v>
      </c>
      <c r="E30" s="23">
        <v>3.2500000000000001E-2</v>
      </c>
      <c r="F30" s="22" t="s">
        <v>136</v>
      </c>
      <c r="G30" s="21" t="s">
        <v>120</v>
      </c>
      <c r="H30" s="21" t="s">
        <v>137</v>
      </c>
      <c r="I30" s="21">
        <v>2023</v>
      </c>
      <c r="J30" s="22" t="s">
        <v>141</v>
      </c>
      <c r="K30" s="22" t="s">
        <v>139</v>
      </c>
    </row>
    <row r="31" spans="2:11" ht="16" customHeight="1" x14ac:dyDescent="0.2">
      <c r="B31" s="2"/>
      <c r="C31" s="20"/>
      <c r="D31" s="21"/>
      <c r="E31" s="23"/>
      <c r="F31" s="22"/>
      <c r="G31" s="21"/>
      <c r="H31" s="21"/>
      <c r="I31" s="21"/>
      <c r="J31" s="22"/>
      <c r="K31" s="22"/>
    </row>
    <row r="32" spans="2:11" ht="16" customHeight="1" x14ac:dyDescent="0.2">
      <c r="B32" s="2"/>
      <c r="C32" s="20" t="s">
        <v>142</v>
      </c>
      <c r="D32" s="21" t="s">
        <v>105</v>
      </c>
      <c r="E32" s="25">
        <v>0.25</v>
      </c>
      <c r="F32" s="22" t="s">
        <v>143</v>
      </c>
      <c r="G32" s="21" t="s">
        <v>120</v>
      </c>
      <c r="H32" s="21" t="s">
        <v>137</v>
      </c>
      <c r="I32" s="21">
        <v>2020</v>
      </c>
      <c r="J32" s="22" t="s">
        <v>144</v>
      </c>
      <c r="K32" s="22" t="s">
        <v>145</v>
      </c>
    </row>
    <row r="33" spans="2:11" ht="16" customHeight="1" x14ac:dyDescent="0.2">
      <c r="B33" s="2"/>
      <c r="C33" s="20" t="s">
        <v>146</v>
      </c>
      <c r="D33" s="21" t="s">
        <v>105</v>
      </c>
      <c r="E33" s="25">
        <v>0.45</v>
      </c>
      <c r="F33" s="22" t="s">
        <v>143</v>
      </c>
      <c r="G33" s="21" t="s">
        <v>120</v>
      </c>
      <c r="H33" s="21" t="s">
        <v>137</v>
      </c>
      <c r="I33" s="21">
        <v>2020</v>
      </c>
      <c r="J33" s="22" t="s">
        <v>147</v>
      </c>
      <c r="K33" s="22" t="s">
        <v>145</v>
      </c>
    </row>
    <row r="34" spans="2:11" ht="16" customHeight="1" x14ac:dyDescent="0.2">
      <c r="B34" s="2"/>
      <c r="C34" s="20"/>
      <c r="D34" s="21"/>
      <c r="E34" s="23"/>
      <c r="F34" s="22"/>
      <c r="G34" s="21"/>
      <c r="H34" s="21"/>
      <c r="I34" s="21"/>
      <c r="J34" s="22"/>
      <c r="K34" s="22"/>
    </row>
    <row r="35" spans="2:11" ht="16" customHeight="1" x14ac:dyDescent="0.2">
      <c r="C35" s="20" t="s">
        <v>148</v>
      </c>
      <c r="D35" s="21" t="s">
        <v>105</v>
      </c>
      <c r="E35" s="25">
        <v>0.22</v>
      </c>
      <c r="F35" s="22" t="s">
        <v>149</v>
      </c>
      <c r="G35" s="21" t="s">
        <v>120</v>
      </c>
      <c r="H35" s="21" t="s">
        <v>121</v>
      </c>
      <c r="I35" s="21">
        <v>2026</v>
      </c>
      <c r="J35" s="22" t="s">
        <v>150</v>
      </c>
      <c r="K35" s="22"/>
    </row>
    <row r="36" spans="2:11" ht="16" customHeight="1" x14ac:dyDescent="0.2">
      <c r="B36" s="2"/>
      <c r="C36" s="20"/>
      <c r="D36" s="21"/>
      <c r="E36" s="23"/>
      <c r="F36" s="22"/>
      <c r="G36" s="21"/>
      <c r="H36" s="21"/>
      <c r="I36" s="21"/>
      <c r="J36" s="22"/>
      <c r="K36" s="22"/>
    </row>
    <row r="37" spans="2:11" ht="16" customHeight="1" x14ac:dyDescent="0.2">
      <c r="B37" s="14">
        <v>5</v>
      </c>
      <c r="C37" s="15" t="s">
        <v>151</v>
      </c>
      <c r="D37" s="16"/>
      <c r="E37" s="16"/>
      <c r="F37" s="17"/>
      <c r="G37" s="16"/>
      <c r="H37" s="16"/>
      <c r="I37" s="16"/>
      <c r="J37" s="17"/>
      <c r="K37" s="18"/>
    </row>
    <row r="38" spans="2:11" ht="16" customHeight="1" x14ac:dyDescent="0.2">
      <c r="B38" s="26"/>
      <c r="C38" s="27"/>
      <c r="D38" s="28"/>
      <c r="E38" s="28"/>
      <c r="F38" s="29"/>
      <c r="G38" s="28"/>
      <c r="H38" s="28"/>
      <c r="I38" s="28"/>
      <c r="J38" s="29"/>
      <c r="K38" s="29"/>
    </row>
    <row r="39" spans="2:11" ht="16" customHeight="1" x14ac:dyDescent="0.2">
      <c r="C39" s="20" t="s">
        <v>152</v>
      </c>
      <c r="D39" s="21" t="s">
        <v>153</v>
      </c>
      <c r="E39" s="65">
        <v>500</v>
      </c>
      <c r="F39" s="22" t="s">
        <v>570</v>
      </c>
      <c r="G39" s="21" t="s">
        <v>126</v>
      </c>
      <c r="H39" s="21" t="s">
        <v>137</v>
      </c>
      <c r="I39" s="21">
        <v>2024</v>
      </c>
      <c r="J39" s="22" t="s">
        <v>154</v>
      </c>
      <c r="K39" s="22" t="s">
        <v>572</v>
      </c>
    </row>
    <row r="40" spans="2:11" ht="16" customHeight="1" x14ac:dyDescent="0.2">
      <c r="C40" s="20" t="s">
        <v>155</v>
      </c>
      <c r="D40" s="21" t="s">
        <v>156</v>
      </c>
      <c r="E40" s="21">
        <v>9</v>
      </c>
      <c r="F40" s="22" t="s">
        <v>157</v>
      </c>
      <c r="G40" s="21" t="s">
        <v>126</v>
      </c>
      <c r="H40" s="21" t="s">
        <v>137</v>
      </c>
      <c r="I40" s="21">
        <v>2024</v>
      </c>
      <c r="J40" s="22" t="s">
        <v>154</v>
      </c>
      <c r="K40" s="22"/>
    </row>
    <row r="41" spans="2:11" ht="16" customHeight="1" x14ac:dyDescent="0.2">
      <c r="C41" s="20" t="s">
        <v>158</v>
      </c>
      <c r="D41" s="21" t="s">
        <v>105</v>
      </c>
      <c r="E41" s="75">
        <v>0.02</v>
      </c>
      <c r="F41" s="22" t="s">
        <v>159</v>
      </c>
      <c r="G41" s="21"/>
      <c r="H41" s="21"/>
      <c r="I41" s="21">
        <v>2025</v>
      </c>
      <c r="J41" s="22" t="s">
        <v>154</v>
      </c>
      <c r="K41" s="22" t="s">
        <v>160</v>
      </c>
    </row>
    <row r="42" spans="2:11" ht="16" customHeight="1" x14ac:dyDescent="0.2">
      <c r="C42" s="20"/>
      <c r="D42" s="21"/>
      <c r="E42" s="21"/>
      <c r="F42" s="22"/>
      <c r="G42" s="21"/>
      <c r="H42" s="21"/>
      <c r="I42" s="21"/>
      <c r="J42" s="22"/>
      <c r="K42" s="22"/>
    </row>
    <row r="43" spans="2:11" ht="16" customHeight="1" x14ac:dyDescent="0.2">
      <c r="B43" s="2"/>
      <c r="C43" s="20" t="s">
        <v>161</v>
      </c>
      <c r="D43" s="21" t="s">
        <v>10</v>
      </c>
      <c r="E43" s="21">
        <v>45</v>
      </c>
      <c r="F43" s="22" t="s">
        <v>162</v>
      </c>
      <c r="G43" s="21" t="s">
        <v>120</v>
      </c>
      <c r="H43" s="21" t="s">
        <v>163</v>
      </c>
      <c r="I43" s="21">
        <v>2025</v>
      </c>
      <c r="J43" s="22" t="s">
        <v>164</v>
      </c>
      <c r="K43" s="22"/>
    </row>
    <row r="44" spans="2:11" ht="16" customHeight="1" x14ac:dyDescent="0.2">
      <c r="C44" s="20" t="s">
        <v>165</v>
      </c>
      <c r="D44" s="21" t="s">
        <v>166</v>
      </c>
      <c r="E44" s="21">
        <v>50</v>
      </c>
      <c r="F44" s="22" t="s">
        <v>167</v>
      </c>
      <c r="G44" s="21" t="s">
        <v>120</v>
      </c>
      <c r="H44" s="21" t="s">
        <v>121</v>
      </c>
      <c r="I44" s="21">
        <v>2025</v>
      </c>
      <c r="J44" s="22" t="s">
        <v>168</v>
      </c>
      <c r="K44" s="22" t="s">
        <v>169</v>
      </c>
    </row>
    <row r="45" spans="2:11" ht="16" customHeight="1" x14ac:dyDescent="0.2">
      <c r="C45" s="20" t="s">
        <v>170</v>
      </c>
      <c r="D45" s="21" t="s">
        <v>171</v>
      </c>
      <c r="E45" s="21">
        <v>25</v>
      </c>
      <c r="F45" s="22" t="s">
        <v>172</v>
      </c>
      <c r="G45" s="21" t="s">
        <v>120</v>
      </c>
      <c r="H45" s="21" t="s">
        <v>121</v>
      </c>
      <c r="I45" s="21">
        <v>2025</v>
      </c>
      <c r="J45" s="22" t="s">
        <v>173</v>
      </c>
      <c r="K45" s="22" t="s">
        <v>174</v>
      </c>
    </row>
    <row r="46" spans="2:11" ht="16" customHeight="1" x14ac:dyDescent="0.2">
      <c r="C46" s="20" t="s">
        <v>175</v>
      </c>
      <c r="D46" s="21" t="s">
        <v>171</v>
      </c>
      <c r="E46" s="21">
        <v>10</v>
      </c>
      <c r="F46" s="22" t="s">
        <v>176</v>
      </c>
      <c r="G46" s="21" t="s">
        <v>120</v>
      </c>
      <c r="H46" s="21" t="s">
        <v>121</v>
      </c>
      <c r="I46" s="21">
        <v>2024</v>
      </c>
      <c r="J46" s="22" t="s">
        <v>177</v>
      </c>
      <c r="K46" s="22" t="s">
        <v>178</v>
      </c>
    </row>
    <row r="47" spans="2:11" ht="16" customHeight="1" x14ac:dyDescent="0.2">
      <c r="C47" s="20"/>
      <c r="D47" s="21"/>
      <c r="E47" s="21"/>
      <c r="F47" s="22"/>
      <c r="G47" s="21"/>
      <c r="H47" s="21"/>
      <c r="I47" s="21"/>
      <c r="J47" s="22"/>
      <c r="K47" s="22"/>
    </row>
    <row r="48" spans="2:11" ht="16" customHeight="1" x14ac:dyDescent="0.2">
      <c r="C48" s="20" t="s">
        <v>179</v>
      </c>
      <c r="D48" s="21" t="s">
        <v>180</v>
      </c>
      <c r="E48" s="71">
        <v>5.0000000000000001E-3</v>
      </c>
      <c r="F48" s="22" t="s">
        <v>181</v>
      </c>
      <c r="G48" s="21" t="s">
        <v>120</v>
      </c>
      <c r="H48" s="21" t="s">
        <v>129</v>
      </c>
      <c r="I48" s="21">
        <v>2025</v>
      </c>
      <c r="J48" s="22" t="s">
        <v>182</v>
      </c>
      <c r="K48" s="22"/>
    </row>
    <row r="49" spans="2:11" ht="16" customHeight="1" x14ac:dyDescent="0.2">
      <c r="C49" s="20" t="s">
        <v>183</v>
      </c>
      <c r="D49" s="21" t="s">
        <v>105</v>
      </c>
      <c r="E49" s="25">
        <v>0.13</v>
      </c>
      <c r="F49" s="22" t="s">
        <v>186</v>
      </c>
      <c r="G49" s="21" t="s">
        <v>120</v>
      </c>
      <c r="H49" s="21" t="s">
        <v>571</v>
      </c>
      <c r="I49" s="21">
        <v>2024</v>
      </c>
      <c r="J49" s="22" t="s">
        <v>168</v>
      </c>
      <c r="K49" s="22" t="s">
        <v>184</v>
      </c>
    </row>
    <row r="50" spans="2:11" ht="16" customHeight="1" x14ac:dyDescent="0.2">
      <c r="C50" s="20" t="s">
        <v>185</v>
      </c>
      <c r="D50" s="21" t="s">
        <v>105</v>
      </c>
      <c r="E50" s="25">
        <v>0.97</v>
      </c>
      <c r="F50" s="22" t="s">
        <v>186</v>
      </c>
      <c r="G50" s="21" t="s">
        <v>120</v>
      </c>
      <c r="H50" s="21" t="s">
        <v>129</v>
      </c>
      <c r="I50" s="21">
        <v>2025</v>
      </c>
      <c r="J50" s="22" t="s">
        <v>182</v>
      </c>
      <c r="K50" s="7" t="s">
        <v>187</v>
      </c>
    </row>
    <row r="51" spans="2:11" ht="16" customHeight="1" x14ac:dyDescent="0.2">
      <c r="C51" s="20" t="s">
        <v>188</v>
      </c>
      <c r="D51" s="21" t="s">
        <v>105</v>
      </c>
      <c r="E51" s="25">
        <v>0.03</v>
      </c>
      <c r="F51" s="22" t="s">
        <v>189</v>
      </c>
      <c r="G51" s="21" t="s">
        <v>120</v>
      </c>
      <c r="H51" s="21" t="s">
        <v>129</v>
      </c>
      <c r="I51" s="21">
        <v>2025</v>
      </c>
      <c r="J51" s="22" t="s">
        <v>182</v>
      </c>
      <c r="K51" s="22" t="s">
        <v>190</v>
      </c>
    </row>
    <row r="52" spans="2:11" ht="16" customHeight="1" x14ac:dyDescent="0.2">
      <c r="C52" s="41" t="s">
        <v>191</v>
      </c>
      <c r="D52" s="21" t="s">
        <v>114</v>
      </c>
      <c r="E52" s="65">
        <v>1</v>
      </c>
      <c r="F52" s="22" t="s">
        <v>186</v>
      </c>
      <c r="G52" s="21" t="s">
        <v>120</v>
      </c>
      <c r="H52" s="21" t="s">
        <v>129</v>
      </c>
      <c r="I52" s="21">
        <v>2024</v>
      </c>
      <c r="J52" s="22" t="s">
        <v>182</v>
      </c>
      <c r="K52" s="22" t="s">
        <v>192</v>
      </c>
    </row>
    <row r="53" spans="2:11" ht="16" customHeight="1" x14ac:dyDescent="0.2"/>
    <row r="54" spans="2:11" ht="16" customHeight="1" x14ac:dyDescent="0.2">
      <c r="B54" s="14"/>
      <c r="C54" s="15" t="s">
        <v>193</v>
      </c>
      <c r="D54" s="16"/>
      <c r="E54" s="16"/>
      <c r="F54" s="17"/>
      <c r="G54" s="16"/>
      <c r="H54" s="16"/>
      <c r="I54" s="16"/>
      <c r="J54" s="17"/>
      <c r="K54" s="18"/>
    </row>
    <row r="57" spans="2:11" x14ac:dyDescent="0.2">
      <c r="B57" s="2"/>
    </row>
  </sheetData>
  <pageMargins left="0.75" right="0.75" top="1" bottom="1" header="0.5" footer="0.5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G52"/>
  <sheetViews>
    <sheetView showGridLines="0" workbookViewId="0">
      <selection activeCell="E18" sqref="E18"/>
    </sheetView>
  </sheetViews>
  <sheetFormatPr baseColWidth="10" defaultRowHeight="16" x14ac:dyDescent="0.2"/>
  <cols>
    <col min="1" max="1" width="2.83203125" customWidth="1"/>
    <col min="2" max="2" width="2.83203125" style="3" customWidth="1"/>
    <col min="3" max="3" width="34.83203125" customWidth="1"/>
    <col min="4" max="5" width="13.83203125" style="3" customWidth="1"/>
    <col min="6" max="6" width="2.83203125" style="37" customWidth="1"/>
    <col min="7" max="7" width="90.83203125" style="4" customWidth="1"/>
  </cols>
  <sheetData>
    <row r="1" spans="2:7" s="2" customFormat="1" x14ac:dyDescent="0.2">
      <c r="B1" s="5"/>
      <c r="F1" s="36"/>
    </row>
    <row r="2" spans="2:7" s="2" customFormat="1" ht="45" customHeight="1" x14ac:dyDescent="0.2">
      <c r="B2" s="6" t="s">
        <v>194</v>
      </c>
      <c r="C2" s="8"/>
      <c r="D2" s="8"/>
      <c r="E2" s="8"/>
      <c r="F2" s="8"/>
      <c r="G2" s="9"/>
    </row>
    <row r="3" spans="2:7" s="41" customFormat="1" ht="15" customHeight="1" x14ac:dyDescent="0.2">
      <c r="B3" s="35"/>
      <c r="D3" s="35"/>
      <c r="E3" s="35"/>
      <c r="F3" s="44"/>
      <c r="G3" s="42"/>
    </row>
    <row r="4" spans="2:7" s="41" customFormat="1" ht="16" customHeight="1" x14ac:dyDescent="0.2">
      <c r="B4" s="30" t="s">
        <v>80</v>
      </c>
      <c r="C4" s="31" t="s">
        <v>81</v>
      </c>
      <c r="D4" s="32" t="s">
        <v>8</v>
      </c>
      <c r="E4" s="32" t="s">
        <v>82</v>
      </c>
      <c r="F4" s="8"/>
      <c r="G4" s="73" t="s">
        <v>88</v>
      </c>
    </row>
    <row r="5" spans="2:7" s="41" customFormat="1" ht="15" customHeight="1" x14ac:dyDescent="0.2">
      <c r="B5" s="35"/>
      <c r="D5" s="35"/>
      <c r="E5" s="35"/>
      <c r="F5" s="44"/>
      <c r="G5" s="42"/>
    </row>
    <row r="6" spans="2:7" s="41" customFormat="1" ht="15" customHeight="1" x14ac:dyDescent="0.2">
      <c r="B6" s="30">
        <v>1</v>
      </c>
      <c r="C6" s="31" t="s">
        <v>195</v>
      </c>
      <c r="D6" s="32"/>
      <c r="E6" s="32"/>
      <c r="F6" s="8"/>
      <c r="G6" s="73"/>
    </row>
    <row r="7" spans="2:7" s="41" customFormat="1" ht="15" customHeight="1" x14ac:dyDescent="0.2">
      <c r="B7" s="35"/>
      <c r="D7" s="35"/>
      <c r="E7" s="35"/>
      <c r="F7" s="44"/>
      <c r="G7" s="42"/>
    </row>
    <row r="8" spans="2:7" s="41" customFormat="1" ht="15" customHeight="1" x14ac:dyDescent="0.2">
      <c r="B8" s="35"/>
      <c r="C8" s="41" t="s">
        <v>196</v>
      </c>
      <c r="D8" s="35" t="s">
        <v>86</v>
      </c>
      <c r="E8" s="57">
        <v>46023</v>
      </c>
      <c r="F8" s="44"/>
      <c r="G8" s="42"/>
    </row>
    <row r="9" spans="2:7" s="41" customFormat="1" ht="15" customHeight="1" x14ac:dyDescent="0.2">
      <c r="B9" s="35"/>
      <c r="C9" s="41" t="s">
        <v>197</v>
      </c>
      <c r="D9" s="35" t="s">
        <v>86</v>
      </c>
      <c r="E9" s="57">
        <v>47484</v>
      </c>
      <c r="F9" s="44"/>
      <c r="G9" s="42"/>
    </row>
    <row r="10" spans="2:7" s="41" customFormat="1" ht="15" customHeight="1" x14ac:dyDescent="0.2">
      <c r="B10" s="35"/>
      <c r="C10" s="41" t="s">
        <v>198</v>
      </c>
      <c r="D10" s="35" t="s">
        <v>86</v>
      </c>
      <c r="E10" s="57">
        <v>48214</v>
      </c>
      <c r="F10" s="44"/>
      <c r="G10" s="42"/>
    </row>
    <row r="11" spans="2:7" s="41" customFormat="1" x14ac:dyDescent="0.2">
      <c r="B11" s="35"/>
      <c r="C11" s="41" t="s">
        <v>199</v>
      </c>
      <c r="D11" s="35" t="s">
        <v>200</v>
      </c>
      <c r="E11" s="35">
        <f>'Data Log'!E45*12</f>
        <v>300</v>
      </c>
      <c r="F11" s="44"/>
      <c r="G11" s="51" t="s">
        <v>201</v>
      </c>
    </row>
    <row r="12" spans="2:7" s="41" customFormat="1" ht="15" customHeight="1" x14ac:dyDescent="0.2">
      <c r="B12" s="35"/>
      <c r="D12" s="35"/>
      <c r="E12" s="35"/>
      <c r="F12" s="42"/>
      <c r="G12" s="42"/>
    </row>
    <row r="13" spans="2:7" s="41" customFormat="1" ht="15" customHeight="1" x14ac:dyDescent="0.2">
      <c r="B13" s="30">
        <v>2</v>
      </c>
      <c r="C13" s="31" t="s">
        <v>202</v>
      </c>
      <c r="D13" s="32"/>
      <c r="E13" s="32"/>
      <c r="F13" s="56"/>
      <c r="G13" s="73"/>
    </row>
    <row r="14" spans="2:7" s="41" customFormat="1" ht="15" customHeight="1" x14ac:dyDescent="0.2">
      <c r="B14" s="35"/>
      <c r="D14" s="35"/>
      <c r="E14" s="35"/>
      <c r="F14" s="44"/>
      <c r="G14" s="42"/>
    </row>
    <row r="15" spans="2:7" s="41" customFormat="1" x14ac:dyDescent="0.2">
      <c r="B15" s="35"/>
      <c r="C15" s="41" t="s">
        <v>203</v>
      </c>
      <c r="D15" s="35" t="s">
        <v>204</v>
      </c>
      <c r="E15" s="64">
        <f>+'Data Log'!E44</f>
        <v>50</v>
      </c>
      <c r="F15" s="44"/>
      <c r="G15" s="51" t="s">
        <v>201</v>
      </c>
    </row>
    <row r="16" spans="2:7" s="41" customFormat="1" ht="15" customHeight="1" x14ac:dyDescent="0.2">
      <c r="B16" s="35"/>
      <c r="C16" s="41" t="s">
        <v>205</v>
      </c>
      <c r="D16" s="35"/>
      <c r="E16" s="146">
        <f>+E15*1000*E18*8760/12/1000</f>
        <v>4464.5704999999989</v>
      </c>
      <c r="F16" s="44"/>
      <c r="G16" s="67" t="s">
        <v>569</v>
      </c>
    </row>
    <row r="17" spans="2:7" s="41" customFormat="1" ht="15" customHeight="1" x14ac:dyDescent="0.2">
      <c r="B17" s="35"/>
      <c r="D17" s="35"/>
      <c r="E17" s="35"/>
      <c r="F17" s="44"/>
      <c r="G17" s="42"/>
    </row>
    <row r="18" spans="2:7" s="41" customFormat="1" ht="15" customHeight="1" x14ac:dyDescent="0.2">
      <c r="B18" s="35"/>
      <c r="C18" s="41" t="s">
        <v>206</v>
      </c>
      <c r="D18" s="35" t="s">
        <v>105</v>
      </c>
      <c r="E18" s="147">
        <f>'Data Log'!E49*(1-Assumptions!E22)*E25</f>
        <v>0.12231699999999998</v>
      </c>
      <c r="F18" s="44"/>
      <c r="G18" s="67" t="s">
        <v>207</v>
      </c>
    </row>
    <row r="19" spans="2:7" s="41" customFormat="1" ht="15" customHeight="1" x14ac:dyDescent="0.2">
      <c r="B19" s="35"/>
      <c r="C19" s="41" t="s">
        <v>208</v>
      </c>
      <c r="D19" s="35" t="s">
        <v>105</v>
      </c>
      <c r="E19" s="53"/>
      <c r="F19" s="44"/>
      <c r="G19" s="67" t="s">
        <v>209</v>
      </c>
    </row>
    <row r="20" spans="2:7" s="41" customFormat="1" ht="15" customHeight="1" x14ac:dyDescent="0.2">
      <c r="B20" s="35"/>
      <c r="C20" s="41" t="s">
        <v>210</v>
      </c>
      <c r="D20" s="35" t="s">
        <v>105</v>
      </c>
      <c r="E20" s="53"/>
      <c r="F20" s="44"/>
      <c r="G20" s="67" t="s">
        <v>209</v>
      </c>
    </row>
    <row r="21" spans="2:7" s="41" customFormat="1" ht="15" customHeight="1" x14ac:dyDescent="0.2">
      <c r="B21" s="35"/>
      <c r="D21" s="35"/>
      <c r="E21" s="35"/>
      <c r="F21" s="44"/>
      <c r="G21" s="42"/>
    </row>
    <row r="22" spans="2:7" s="41" customFormat="1" x14ac:dyDescent="0.2">
      <c r="B22" s="35"/>
      <c r="C22" s="41" t="s">
        <v>188</v>
      </c>
      <c r="D22" s="35" t="s">
        <v>105</v>
      </c>
      <c r="E22" s="70">
        <f>+'Data Log'!E51</f>
        <v>0.03</v>
      </c>
      <c r="F22" s="42"/>
      <c r="G22" s="51" t="s">
        <v>201</v>
      </c>
    </row>
    <row r="23" spans="2:7" s="41" customFormat="1" x14ac:dyDescent="0.2">
      <c r="B23" s="35"/>
      <c r="C23" s="41" t="s">
        <v>211</v>
      </c>
      <c r="D23" s="21" t="s">
        <v>180</v>
      </c>
      <c r="E23" s="69">
        <f>+'Data Log'!E48</f>
        <v>5.0000000000000001E-3</v>
      </c>
      <c r="F23" s="44"/>
      <c r="G23" s="51" t="s">
        <v>201</v>
      </c>
    </row>
    <row r="24" spans="2:7" s="41" customFormat="1" x14ac:dyDescent="0.2">
      <c r="B24" s="35"/>
      <c r="C24" s="41" t="s">
        <v>191</v>
      </c>
      <c r="D24" s="35" t="s">
        <v>114</v>
      </c>
      <c r="E24" s="66">
        <f>+'Data Log'!E52</f>
        <v>1</v>
      </c>
      <c r="F24" s="44"/>
      <c r="G24" s="51" t="s">
        <v>201</v>
      </c>
    </row>
    <row r="25" spans="2:7" s="41" customFormat="1" x14ac:dyDescent="0.2">
      <c r="B25" s="35"/>
      <c r="C25" s="41" t="s">
        <v>212</v>
      </c>
      <c r="D25" s="35" t="s">
        <v>105</v>
      </c>
      <c r="E25" s="68">
        <f>+'Data Log'!E50</f>
        <v>0.97</v>
      </c>
      <c r="F25" s="44"/>
      <c r="G25" s="51" t="s">
        <v>201</v>
      </c>
    </row>
    <row r="26" spans="2:7" s="41" customFormat="1" ht="15" customHeight="1" x14ac:dyDescent="0.2">
      <c r="B26" s="35"/>
      <c r="D26" s="35"/>
      <c r="E26" s="35"/>
      <c r="F26" s="44"/>
      <c r="G26" s="42"/>
    </row>
    <row r="27" spans="2:7" s="41" customFormat="1" ht="15" customHeight="1" x14ac:dyDescent="0.2">
      <c r="B27" s="30">
        <v>3</v>
      </c>
      <c r="C27" s="31" t="s">
        <v>213</v>
      </c>
      <c r="D27" s="32"/>
      <c r="E27" s="32"/>
      <c r="F27" s="56"/>
      <c r="G27" s="73"/>
    </row>
    <row r="28" spans="2:7" s="41" customFormat="1" ht="15" customHeight="1" x14ac:dyDescent="0.2">
      <c r="B28" s="35"/>
      <c r="D28" s="35"/>
      <c r="E28" s="35"/>
      <c r="F28" s="44"/>
      <c r="G28" s="42"/>
    </row>
    <row r="29" spans="2:7" s="41" customFormat="1" ht="15" customHeight="1" x14ac:dyDescent="0.2">
      <c r="B29" s="35"/>
      <c r="C29" s="58" t="s">
        <v>214</v>
      </c>
      <c r="D29" s="35"/>
      <c r="E29" s="35"/>
      <c r="F29" s="44"/>
      <c r="G29" s="42"/>
    </row>
    <row r="30" spans="2:7" s="41" customFormat="1" ht="15" customHeight="1" x14ac:dyDescent="0.2">
      <c r="B30" s="35"/>
      <c r="D30" s="35"/>
      <c r="E30" s="35"/>
      <c r="F30" s="44"/>
      <c r="G30" s="42"/>
    </row>
    <row r="31" spans="2:7" s="41" customFormat="1" x14ac:dyDescent="0.2">
      <c r="B31" s="35"/>
      <c r="C31" s="41" t="s">
        <v>152</v>
      </c>
      <c r="D31" s="35" t="s">
        <v>215</v>
      </c>
      <c r="E31" s="144">
        <f>'Data Log'!E39*0.92*E15</f>
        <v>23000</v>
      </c>
      <c r="F31" s="44"/>
      <c r="G31" s="51" t="s">
        <v>201</v>
      </c>
    </row>
    <row r="32" spans="2:7" s="41" customFormat="1" ht="15" customHeight="1" x14ac:dyDescent="0.2">
      <c r="B32" s="35"/>
      <c r="D32" s="35"/>
      <c r="E32" s="35"/>
      <c r="F32" s="44"/>
      <c r="G32" s="42"/>
    </row>
    <row r="33" spans="2:7" s="41" customFormat="1" ht="15" customHeight="1" x14ac:dyDescent="0.2">
      <c r="B33" s="35"/>
      <c r="C33" s="59" t="s">
        <v>216</v>
      </c>
      <c r="D33" s="35"/>
      <c r="E33" s="35"/>
      <c r="F33" s="35"/>
      <c r="G33" s="42"/>
    </row>
    <row r="34" spans="2:7" s="41" customFormat="1" ht="15" customHeight="1" x14ac:dyDescent="0.2">
      <c r="B34" s="35"/>
      <c r="D34" s="35"/>
      <c r="E34" s="35"/>
      <c r="F34" s="44"/>
      <c r="G34" s="42"/>
    </row>
    <row r="35" spans="2:7" s="41" customFormat="1" x14ac:dyDescent="0.2">
      <c r="B35" s="35"/>
      <c r="C35" s="41" t="s">
        <v>217</v>
      </c>
      <c r="D35" s="35" t="s">
        <v>215</v>
      </c>
      <c r="E35" s="145">
        <f>+'Data Log'!E40*E15*0.92</f>
        <v>414</v>
      </c>
      <c r="F35" s="44"/>
      <c r="G35" s="51" t="s">
        <v>201</v>
      </c>
    </row>
    <row r="36" spans="2:7" s="41" customFormat="1" x14ac:dyDescent="0.2">
      <c r="B36" s="35"/>
      <c r="C36" s="41" t="s">
        <v>158</v>
      </c>
      <c r="D36" s="35" t="s">
        <v>180</v>
      </c>
      <c r="E36" s="75">
        <f>+'Data Log'!E41</f>
        <v>0.02</v>
      </c>
      <c r="F36" s="44"/>
      <c r="G36" s="51" t="s">
        <v>201</v>
      </c>
    </row>
    <row r="37" spans="2:7" s="41" customFormat="1" ht="15" customHeight="1" x14ac:dyDescent="0.2">
      <c r="B37" s="35"/>
      <c r="D37" s="35"/>
      <c r="E37" s="35"/>
      <c r="F37" s="44"/>
      <c r="G37" s="42"/>
    </row>
    <row r="38" spans="2:7" s="41" customFormat="1" ht="15" customHeight="1" x14ac:dyDescent="0.2">
      <c r="B38" s="30">
        <v>4</v>
      </c>
      <c r="C38" s="31" t="s">
        <v>218</v>
      </c>
      <c r="D38" s="32"/>
      <c r="E38" s="32"/>
      <c r="F38" s="8"/>
      <c r="G38" s="73"/>
    </row>
    <row r="39" spans="2:7" s="41" customFormat="1" ht="15" customHeight="1" x14ac:dyDescent="0.2">
      <c r="B39" s="35"/>
      <c r="D39" s="35"/>
      <c r="E39" s="35"/>
      <c r="F39" s="44"/>
      <c r="G39" s="42"/>
    </row>
    <row r="40" spans="2:7" s="41" customFormat="1" x14ac:dyDescent="0.2">
      <c r="B40" s="35"/>
      <c r="C40" s="41" t="s">
        <v>219</v>
      </c>
      <c r="D40" s="35" t="s">
        <v>10</v>
      </c>
      <c r="E40" s="64">
        <f>+'Data Log'!E43</f>
        <v>45</v>
      </c>
      <c r="F40" s="44"/>
      <c r="G40" s="51" t="s">
        <v>201</v>
      </c>
    </row>
    <row r="41" spans="2:7" s="41" customFormat="1" x14ac:dyDescent="0.2">
      <c r="B41" s="35"/>
      <c r="C41" s="41" t="s">
        <v>220</v>
      </c>
      <c r="D41" s="35" t="s">
        <v>171</v>
      </c>
      <c r="E41" s="64">
        <f>+'Data Log'!E46</f>
        <v>10</v>
      </c>
      <c r="F41" s="44"/>
      <c r="G41" s="51" t="s">
        <v>201</v>
      </c>
    </row>
    <row r="42" spans="2:7" s="41" customFormat="1" ht="15" customHeight="1" x14ac:dyDescent="0.2">
      <c r="B42" s="35"/>
      <c r="D42" s="35"/>
      <c r="E42" s="35"/>
      <c r="F42" s="44"/>
      <c r="G42" s="42"/>
    </row>
    <row r="43" spans="2:7" s="41" customFormat="1" ht="15" customHeight="1" x14ac:dyDescent="0.2">
      <c r="B43" s="35"/>
      <c r="C43" s="41" t="s">
        <v>221</v>
      </c>
      <c r="D43" s="35" t="s">
        <v>10</v>
      </c>
      <c r="E43" s="60"/>
      <c r="F43" s="44"/>
      <c r="G43" s="67" t="s">
        <v>209</v>
      </c>
    </row>
    <row r="44" spans="2:7" s="41" customFormat="1" ht="15" customHeight="1" x14ac:dyDescent="0.2">
      <c r="B44" s="35"/>
      <c r="D44" s="35"/>
      <c r="E44" s="35"/>
      <c r="F44" s="44"/>
      <c r="G44" s="42"/>
    </row>
    <row r="45" spans="2:7" s="41" customFormat="1" ht="15" customHeight="1" x14ac:dyDescent="0.2">
      <c r="B45" s="30">
        <v>5</v>
      </c>
      <c r="C45" s="31" t="s">
        <v>222</v>
      </c>
      <c r="D45" s="32"/>
      <c r="E45" s="32"/>
      <c r="F45" s="56"/>
      <c r="G45" s="73"/>
    </row>
    <row r="46" spans="2:7" s="41" customFormat="1" x14ac:dyDescent="0.2">
      <c r="B46" s="35"/>
      <c r="D46" s="35"/>
      <c r="E46" s="35"/>
      <c r="F46" s="37"/>
      <c r="G46" s="42"/>
    </row>
    <row r="47" spans="2:7" s="41" customFormat="1" x14ac:dyDescent="0.2">
      <c r="B47" s="35"/>
      <c r="C47" s="41" t="s">
        <v>223</v>
      </c>
      <c r="D47" s="35" t="s">
        <v>105</v>
      </c>
      <c r="E47" s="68">
        <f>+'Data Log'!E35</f>
        <v>0.22</v>
      </c>
      <c r="F47" s="37"/>
      <c r="G47" s="42"/>
    </row>
    <row r="48" spans="2:7" s="41" customFormat="1" x14ac:dyDescent="0.2">
      <c r="B48" s="35"/>
      <c r="D48" s="35"/>
      <c r="E48" s="35"/>
      <c r="F48" s="37"/>
      <c r="G48" s="42"/>
    </row>
    <row r="49" spans="2:7" s="41" customFormat="1" ht="15" customHeight="1" x14ac:dyDescent="0.2">
      <c r="B49" s="30"/>
      <c r="C49" s="31" t="s">
        <v>193</v>
      </c>
      <c r="D49" s="32"/>
      <c r="E49" s="32"/>
      <c r="F49" s="56"/>
      <c r="G49" s="73"/>
    </row>
    <row r="50" spans="2:7" s="41" customFormat="1" x14ac:dyDescent="0.2">
      <c r="B50" s="35"/>
      <c r="D50" s="35"/>
      <c r="E50" s="35"/>
      <c r="F50" s="37"/>
      <c r="G50" s="42"/>
    </row>
    <row r="51" spans="2:7" s="41" customFormat="1" x14ac:dyDescent="0.2">
      <c r="B51" s="35"/>
      <c r="D51" s="35"/>
      <c r="E51" s="35"/>
      <c r="F51" s="37"/>
      <c r="G51" s="42"/>
    </row>
    <row r="52" spans="2:7" s="41" customFormat="1" x14ac:dyDescent="0.2">
      <c r="B52" s="35"/>
      <c r="D52" s="35"/>
      <c r="E52" s="35"/>
      <c r="F52" s="37"/>
      <c r="G52" s="4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89"/>
  <sheetViews>
    <sheetView showGridLines="0" workbookViewId="0">
      <selection activeCell="P4" sqref="P4"/>
    </sheetView>
  </sheetViews>
  <sheetFormatPr baseColWidth="10" defaultRowHeight="16" x14ac:dyDescent="0.2"/>
  <cols>
    <col min="1" max="1" width="7.83203125" bestFit="1" customWidth="1"/>
    <col min="2" max="2" width="31.83203125" style="1" bestFit="1" customWidth="1"/>
    <col min="3" max="3" width="35.1640625" style="1" bestFit="1" customWidth="1"/>
    <col min="4" max="4" width="32.5" style="1" bestFit="1" customWidth="1"/>
    <col min="5" max="5" width="33.33203125" style="1" bestFit="1" customWidth="1"/>
    <col min="6" max="6" width="32.5" style="1" bestFit="1" customWidth="1"/>
    <col min="7" max="7" width="33.33203125" style="1" bestFit="1" customWidth="1"/>
    <col min="8" max="10" width="10.83203125" style="1" customWidth="1"/>
  </cols>
  <sheetData>
    <row r="1" spans="1:7" s="2" customFormat="1" x14ac:dyDescent="0.2">
      <c r="A1" t="s">
        <v>264</v>
      </c>
      <c r="B1" t="s">
        <v>265</v>
      </c>
      <c r="C1" t="s">
        <v>266</v>
      </c>
      <c r="D1" t="s">
        <v>267</v>
      </c>
      <c r="E1" t="s">
        <v>268</v>
      </c>
      <c r="F1" t="s">
        <v>269</v>
      </c>
      <c r="G1" t="s">
        <v>270</v>
      </c>
    </row>
    <row r="2" spans="1:7" s="2" customFormat="1" ht="45" customHeight="1" x14ac:dyDescent="0.2">
      <c r="A2" t="s">
        <v>271</v>
      </c>
      <c r="B2">
        <v>50.295645161290317</v>
      </c>
      <c r="C2">
        <v>51.655026881720417</v>
      </c>
      <c r="D2">
        <v>75.530384024577572</v>
      </c>
      <c r="E2">
        <v>-25.234738863287252</v>
      </c>
      <c r="F2">
        <v>74.231822196620584</v>
      </c>
      <c r="G2">
        <v>-22.57679531490016</v>
      </c>
    </row>
    <row r="3" spans="1:7" x14ac:dyDescent="0.2">
      <c r="A3" t="s">
        <v>272</v>
      </c>
      <c r="B3">
        <v>42.813958333333332</v>
      </c>
      <c r="C3">
        <v>43.932946428571427</v>
      </c>
      <c r="D3">
        <v>72.914186605676733</v>
      </c>
      <c r="E3">
        <v>-30.100228272343401</v>
      </c>
      <c r="F3">
        <v>70.128020466807413</v>
      </c>
      <c r="G3">
        <v>-26.19507403823599</v>
      </c>
    </row>
    <row r="4" spans="1:7" s="33" customFormat="1" x14ac:dyDescent="0.2">
      <c r="A4" t="s">
        <v>273</v>
      </c>
      <c r="B4">
        <v>33.608259109311753</v>
      </c>
      <c r="C4">
        <v>35.667354925775967</v>
      </c>
      <c r="D4">
        <v>82.507617935670552</v>
      </c>
      <c r="E4">
        <v>-48.899358826358807</v>
      </c>
      <c r="F4">
        <v>80.579396028922346</v>
      </c>
      <c r="G4">
        <v>-44.912041103146372</v>
      </c>
    </row>
    <row r="5" spans="1:7" s="33" customFormat="1" x14ac:dyDescent="0.2">
      <c r="A5" t="s">
        <v>274</v>
      </c>
      <c r="B5">
        <v>39.068416666666657</v>
      </c>
      <c r="C5">
        <v>39.892097222222233</v>
      </c>
      <c r="D5">
        <v>70.829001984126947</v>
      </c>
      <c r="E5">
        <v>-31.760585317460279</v>
      </c>
      <c r="F5">
        <v>68.268172619047618</v>
      </c>
      <c r="G5">
        <v>-28.376075396825389</v>
      </c>
    </row>
    <row r="6" spans="1:7" s="33" customFormat="1" x14ac:dyDescent="0.2">
      <c r="A6" t="s">
        <v>275</v>
      </c>
      <c r="B6">
        <v>37.429516129032258</v>
      </c>
      <c r="C6">
        <v>38.151397849462363</v>
      </c>
      <c r="D6">
        <v>68.052165898617531</v>
      </c>
      <c r="E6">
        <v>-30.622649769585269</v>
      </c>
      <c r="F6">
        <v>66.059996159754235</v>
      </c>
      <c r="G6">
        <v>-27.908598310291872</v>
      </c>
    </row>
    <row r="7" spans="1:7" s="33" customFormat="1" x14ac:dyDescent="0.2">
      <c r="A7" t="s">
        <v>276</v>
      </c>
      <c r="B7">
        <v>32.879222222222232</v>
      </c>
      <c r="C7">
        <v>33.622236111111107</v>
      </c>
      <c r="D7">
        <v>80.33409523809523</v>
      </c>
      <c r="E7">
        <v>-47.454873015873012</v>
      </c>
      <c r="F7">
        <v>80.70399404761902</v>
      </c>
      <c r="G7">
        <v>-47.081757936507913</v>
      </c>
    </row>
    <row r="8" spans="1:7" s="33" customFormat="1" x14ac:dyDescent="0.2">
      <c r="A8" t="s">
        <v>277</v>
      </c>
      <c r="B8">
        <v>38.817311827956978</v>
      </c>
      <c r="C8">
        <v>39.000174731182803</v>
      </c>
      <c r="D8">
        <v>89.731125192012286</v>
      </c>
      <c r="E8">
        <v>-50.913813364055301</v>
      </c>
      <c r="F8">
        <v>83.978131720430113</v>
      </c>
      <c r="G8">
        <v>-44.977956989247318</v>
      </c>
    </row>
    <row r="9" spans="1:7" s="33" customFormat="1" x14ac:dyDescent="0.2">
      <c r="A9" t="s">
        <v>278</v>
      </c>
      <c r="B9">
        <v>37.865698924731177</v>
      </c>
      <c r="C9">
        <v>39.493172043010752</v>
      </c>
      <c r="D9">
        <v>120.61982526881719</v>
      </c>
      <c r="E9">
        <v>-82.754126344086018</v>
      </c>
      <c r="F9">
        <v>121.2532661290323</v>
      </c>
      <c r="G9">
        <v>-81.760094086021496</v>
      </c>
    </row>
    <row r="10" spans="1:7" s="33" customFormat="1" x14ac:dyDescent="0.2">
      <c r="A10" t="s">
        <v>279</v>
      </c>
      <c r="B10">
        <v>35.378861111111107</v>
      </c>
      <c r="C10">
        <v>37.321347222222222</v>
      </c>
      <c r="D10">
        <v>110.1355753968254</v>
      </c>
      <c r="E10">
        <v>-74.756714285714281</v>
      </c>
      <c r="F10">
        <v>109.8175337301587</v>
      </c>
      <c r="G10">
        <v>-72.496186507936471</v>
      </c>
    </row>
    <row r="11" spans="1:7" s="33" customFormat="1" x14ac:dyDescent="0.2">
      <c r="A11" t="s">
        <v>280</v>
      </c>
      <c r="B11">
        <v>38.347402422611033</v>
      </c>
      <c r="C11">
        <v>41.599353970390311</v>
      </c>
      <c r="D11">
        <v>76.225888771390103</v>
      </c>
      <c r="E11">
        <v>-37.87848634877907</v>
      </c>
      <c r="F11">
        <v>75.426141126706398</v>
      </c>
      <c r="G11">
        <v>-33.826787156316087</v>
      </c>
    </row>
    <row r="12" spans="1:7" s="33" customFormat="1" x14ac:dyDescent="0.2">
      <c r="A12" t="s">
        <v>281</v>
      </c>
      <c r="B12">
        <v>41.745069444444447</v>
      </c>
      <c r="C12">
        <v>42.696444444444452</v>
      </c>
      <c r="D12">
        <v>89.133429067460298</v>
      </c>
      <c r="E12">
        <v>-47.388359623015852</v>
      </c>
      <c r="F12">
        <v>90.044280257936492</v>
      </c>
      <c r="G12">
        <v>-47.347835813492047</v>
      </c>
    </row>
    <row r="13" spans="1:7" s="33" customFormat="1" x14ac:dyDescent="0.2">
      <c r="A13" t="s">
        <v>282</v>
      </c>
      <c r="B13">
        <v>34.04197580645161</v>
      </c>
      <c r="C13">
        <v>35.34711021505376</v>
      </c>
      <c r="D13">
        <v>107.3322091013825</v>
      </c>
      <c r="E13">
        <v>-73.290233294930886</v>
      </c>
      <c r="F13">
        <v>108.60633784562209</v>
      </c>
      <c r="G13">
        <v>-73.259227630568361</v>
      </c>
    </row>
    <row r="14" spans="1:7" s="33" customFormat="1" x14ac:dyDescent="0.2">
      <c r="A14" t="s">
        <v>283</v>
      </c>
      <c r="B14">
        <v>24.99454301075269</v>
      </c>
      <c r="C14">
        <v>27.385241935483869</v>
      </c>
      <c r="D14">
        <v>75.530384024577572</v>
      </c>
      <c r="E14">
        <v>-50.535841013824893</v>
      </c>
      <c r="F14">
        <v>74.231822196620584</v>
      </c>
      <c r="G14">
        <v>-46.846580261136722</v>
      </c>
    </row>
    <row r="15" spans="1:7" s="33" customFormat="1" x14ac:dyDescent="0.2">
      <c r="A15" t="s">
        <v>284</v>
      </c>
      <c r="B15">
        <v>17.585071839080459</v>
      </c>
      <c r="C15">
        <v>18.816997126436782</v>
      </c>
      <c r="D15">
        <v>72.914186605676733</v>
      </c>
      <c r="E15">
        <v>-55.329114766596277</v>
      </c>
      <c r="F15">
        <v>70.128020466807413</v>
      </c>
      <c r="G15">
        <v>-51.311023340370632</v>
      </c>
    </row>
    <row r="16" spans="1:7" s="33" customFormat="1" x14ac:dyDescent="0.2">
      <c r="A16" t="s">
        <v>285</v>
      </c>
      <c r="B16">
        <v>18.301727395411611</v>
      </c>
      <c r="C16">
        <v>20.05249662618084</v>
      </c>
      <c r="D16">
        <v>82.507617935670552</v>
      </c>
      <c r="E16">
        <v>-64.205890540258949</v>
      </c>
      <c r="F16">
        <v>80.579396028922346</v>
      </c>
      <c r="G16">
        <v>-60.526899402741513</v>
      </c>
    </row>
    <row r="17" spans="1:7" s="33" customFormat="1" x14ac:dyDescent="0.2">
      <c r="A17" t="s">
        <v>286</v>
      </c>
      <c r="B17">
        <v>14.533777777777781</v>
      </c>
      <c r="C17">
        <v>17.354861111111109</v>
      </c>
      <c r="D17">
        <v>70.829001984126947</v>
      </c>
      <c r="E17">
        <v>-56.295224206349168</v>
      </c>
      <c r="F17">
        <v>68.268172619047618</v>
      </c>
      <c r="G17">
        <v>-50.913311507936513</v>
      </c>
    </row>
    <row r="18" spans="1:7" s="33" customFormat="1" x14ac:dyDescent="0.2">
      <c r="A18" t="s">
        <v>287</v>
      </c>
      <c r="B18">
        <v>16.053991935483872</v>
      </c>
      <c r="C18">
        <v>19.04407258064516</v>
      </c>
      <c r="D18">
        <v>68.052165898617531</v>
      </c>
      <c r="E18">
        <v>-51.998173963133659</v>
      </c>
      <c r="F18">
        <v>66.059996159754235</v>
      </c>
      <c r="G18">
        <v>-47.015923579109071</v>
      </c>
    </row>
    <row r="19" spans="1:7" s="33" customFormat="1" x14ac:dyDescent="0.2">
      <c r="A19" t="s">
        <v>288</v>
      </c>
      <c r="B19">
        <v>26.276277777777771</v>
      </c>
      <c r="C19">
        <v>29.82329166666667</v>
      </c>
      <c r="D19">
        <v>80.33409523809523</v>
      </c>
      <c r="E19">
        <v>-54.057817460317452</v>
      </c>
      <c r="F19">
        <v>80.70399404761902</v>
      </c>
      <c r="G19">
        <v>-50.880702380952357</v>
      </c>
    </row>
    <row r="20" spans="1:7" s="33" customFormat="1" x14ac:dyDescent="0.2">
      <c r="A20" t="s">
        <v>289</v>
      </c>
      <c r="B20">
        <v>24.61956989247312</v>
      </c>
      <c r="C20">
        <v>25.886680107526882</v>
      </c>
      <c r="D20">
        <v>89.731125192012286</v>
      </c>
      <c r="E20">
        <v>-65.111555299539162</v>
      </c>
      <c r="F20">
        <v>83.978131720430113</v>
      </c>
      <c r="G20">
        <v>-58.091451612903242</v>
      </c>
    </row>
    <row r="21" spans="1:7" s="33" customFormat="1" x14ac:dyDescent="0.2">
      <c r="A21" t="s">
        <v>290</v>
      </c>
      <c r="B21">
        <v>34.539287634408602</v>
      </c>
      <c r="C21">
        <v>40.923817204301074</v>
      </c>
      <c r="D21">
        <v>120.61982526881719</v>
      </c>
      <c r="E21">
        <v>-86.080537634408586</v>
      </c>
      <c r="F21">
        <v>121.2532661290323</v>
      </c>
      <c r="G21">
        <v>-80.329448924731182</v>
      </c>
    </row>
    <row r="22" spans="1:7" s="33" customFormat="1" x14ac:dyDescent="0.2">
      <c r="A22" t="s">
        <v>291</v>
      </c>
      <c r="B22">
        <v>38.535041666666658</v>
      </c>
      <c r="C22">
        <v>39.51423611111111</v>
      </c>
      <c r="D22">
        <v>110.1355753968254</v>
      </c>
      <c r="E22">
        <v>-71.60053373015873</v>
      </c>
      <c r="F22">
        <v>109.8175337301587</v>
      </c>
      <c r="G22">
        <v>-70.303297619047584</v>
      </c>
    </row>
    <row r="23" spans="1:7" s="33" customFormat="1" x14ac:dyDescent="0.2">
      <c r="A23" t="s">
        <v>292</v>
      </c>
      <c r="B23">
        <v>25.814751009421261</v>
      </c>
      <c r="C23">
        <v>26.933512786002691</v>
      </c>
      <c r="D23">
        <v>76.225888771390103</v>
      </c>
      <c r="E23">
        <v>-50.411137761968838</v>
      </c>
      <c r="F23">
        <v>75.426141126706398</v>
      </c>
      <c r="G23">
        <v>-48.492628340703703</v>
      </c>
    </row>
    <row r="24" spans="1:7" s="33" customFormat="1" x14ac:dyDescent="0.2">
      <c r="A24" t="s">
        <v>293</v>
      </c>
      <c r="B24">
        <v>23.754583333333329</v>
      </c>
      <c r="C24">
        <v>35.711347222222223</v>
      </c>
      <c r="D24">
        <v>89.133429067460298</v>
      </c>
      <c r="E24">
        <v>-65.378845734126969</v>
      </c>
      <c r="F24">
        <v>90.044280257936492</v>
      </c>
      <c r="G24">
        <v>-54.332933035714269</v>
      </c>
    </row>
    <row r="25" spans="1:7" s="33" customFormat="1" x14ac:dyDescent="0.2">
      <c r="A25" t="s">
        <v>294</v>
      </c>
      <c r="B25">
        <v>34.511129032258061</v>
      </c>
      <c r="C25">
        <v>39.257150537634409</v>
      </c>
      <c r="D25">
        <v>107.3322091013825</v>
      </c>
      <c r="E25">
        <v>-72.821080069124434</v>
      </c>
      <c r="F25">
        <v>108.60633784562209</v>
      </c>
      <c r="G25">
        <v>-69.349187307987705</v>
      </c>
    </row>
    <row r="26" spans="1:7" s="33" customFormat="1" x14ac:dyDescent="0.2">
      <c r="A26" t="s">
        <v>295</v>
      </c>
      <c r="B26">
        <v>50.205107526881719</v>
      </c>
      <c r="C26">
        <v>50.858951612903233</v>
      </c>
      <c r="D26">
        <v>75.530384024577572</v>
      </c>
      <c r="E26">
        <v>-25.32527649769585</v>
      </c>
      <c r="F26">
        <v>74.231822196620584</v>
      </c>
      <c r="G26">
        <v>-23.372870583717361</v>
      </c>
    </row>
    <row r="27" spans="1:7" s="33" customFormat="1" x14ac:dyDescent="0.2">
      <c r="A27" t="s">
        <v>296</v>
      </c>
      <c r="B27">
        <v>47.261502976190478</v>
      </c>
      <c r="C27">
        <v>54.54806547619048</v>
      </c>
      <c r="D27">
        <v>72.914186605676733</v>
      </c>
      <c r="E27">
        <v>-25.652683629486251</v>
      </c>
      <c r="F27">
        <v>70.128020466807413</v>
      </c>
      <c r="G27">
        <v>-15.57995499061693</v>
      </c>
    </row>
    <row r="28" spans="1:7" s="33" customFormat="1" x14ac:dyDescent="0.2">
      <c r="A28" t="s">
        <v>297</v>
      </c>
      <c r="B28">
        <v>45.129446693657208</v>
      </c>
      <c r="C28">
        <v>46.732213225371119</v>
      </c>
      <c r="D28">
        <v>82.507617935670552</v>
      </c>
      <c r="E28">
        <v>-37.378171242013337</v>
      </c>
      <c r="F28">
        <v>80.579396028922346</v>
      </c>
      <c r="G28">
        <v>-33.847182803551227</v>
      </c>
    </row>
    <row r="29" spans="1:7" s="33" customFormat="1" x14ac:dyDescent="0.2">
      <c r="A29" t="s">
        <v>298</v>
      </c>
      <c r="B29">
        <v>47.967111111111109</v>
      </c>
      <c r="C29">
        <v>47.862958333333339</v>
      </c>
      <c r="D29">
        <v>70.829001984126947</v>
      </c>
      <c r="E29">
        <v>-22.861890873015842</v>
      </c>
      <c r="F29">
        <v>68.268172619047618</v>
      </c>
      <c r="G29">
        <v>-20.40521428571428</v>
      </c>
    </row>
    <row r="30" spans="1:7" s="33" customFormat="1" x14ac:dyDescent="0.2">
      <c r="A30" t="s">
        <v>299</v>
      </c>
      <c r="B30">
        <v>54.30756720430108</v>
      </c>
      <c r="C30">
        <v>55.208803763440862</v>
      </c>
      <c r="D30">
        <v>68.052165898617531</v>
      </c>
      <c r="E30">
        <v>-13.74459869431645</v>
      </c>
      <c r="F30">
        <v>66.059996159754235</v>
      </c>
      <c r="G30">
        <v>-10.85119239631338</v>
      </c>
    </row>
    <row r="31" spans="1:7" s="33" customFormat="1" x14ac:dyDescent="0.2">
      <c r="A31" t="s">
        <v>300</v>
      </c>
      <c r="B31">
        <v>73.71981944444444</v>
      </c>
      <c r="C31">
        <v>73.58690277777778</v>
      </c>
      <c r="D31">
        <v>80.33409523809523</v>
      </c>
      <c r="E31">
        <v>-6.6142757936507914</v>
      </c>
      <c r="F31">
        <v>80.70399404761902</v>
      </c>
      <c r="G31">
        <v>-7.1170912698412394</v>
      </c>
    </row>
    <row r="32" spans="1:7" s="33" customFormat="1" x14ac:dyDescent="0.2">
      <c r="A32" t="s">
        <v>301</v>
      </c>
      <c r="B32">
        <v>79.999247311827958</v>
      </c>
      <c r="C32">
        <v>81.44088709677419</v>
      </c>
      <c r="D32">
        <v>89.731125192012286</v>
      </c>
      <c r="E32">
        <v>-9.731877880184328</v>
      </c>
      <c r="F32">
        <v>83.978131720430113</v>
      </c>
      <c r="G32">
        <v>-2.5372446236559232</v>
      </c>
    </row>
    <row r="33" spans="1:7" s="33" customFormat="1" x14ac:dyDescent="0.2">
      <c r="A33" t="s">
        <v>302</v>
      </c>
      <c r="B33">
        <v>82.788763440860208</v>
      </c>
      <c r="C33">
        <v>84.363548387096785</v>
      </c>
      <c r="D33">
        <v>120.61982526881719</v>
      </c>
      <c r="E33">
        <v>-37.831061827956987</v>
      </c>
      <c r="F33">
        <v>121.2532661290323</v>
      </c>
      <c r="G33">
        <v>-36.88971774193547</v>
      </c>
    </row>
    <row r="34" spans="1:7" s="33" customFormat="1" x14ac:dyDescent="0.2">
      <c r="A34" t="s">
        <v>303</v>
      </c>
      <c r="B34">
        <v>125.3637638888889</v>
      </c>
      <c r="C34">
        <v>123.9021111111111</v>
      </c>
      <c r="D34">
        <v>110.1355753968254</v>
      </c>
      <c r="E34">
        <v>15.228188492063509</v>
      </c>
      <c r="F34">
        <v>109.8175337301587</v>
      </c>
      <c r="G34">
        <v>14.08457738095241</v>
      </c>
    </row>
    <row r="35" spans="1:7" s="33" customFormat="1" x14ac:dyDescent="0.2">
      <c r="A35" t="s">
        <v>304</v>
      </c>
      <c r="B35">
        <v>117.0398115746972</v>
      </c>
      <c r="C35">
        <v>106.9322745625841</v>
      </c>
      <c r="D35">
        <v>76.225888771390103</v>
      </c>
      <c r="E35">
        <v>40.813922803307079</v>
      </c>
      <c r="F35">
        <v>75.426141126706398</v>
      </c>
      <c r="G35">
        <v>31.506133435877711</v>
      </c>
    </row>
    <row r="36" spans="1:7" s="33" customFormat="1" x14ac:dyDescent="0.2">
      <c r="A36" t="s">
        <v>305</v>
      </c>
      <c r="B36">
        <v>141.79758333333331</v>
      </c>
      <c r="C36">
        <v>136.38005555555549</v>
      </c>
      <c r="D36">
        <v>89.133429067460298</v>
      </c>
      <c r="E36">
        <v>52.664154265873037</v>
      </c>
      <c r="F36">
        <v>90.044280257936492</v>
      </c>
      <c r="G36">
        <v>46.335775297619051</v>
      </c>
    </row>
    <row r="37" spans="1:7" s="33" customFormat="1" x14ac:dyDescent="0.2">
      <c r="A37" t="s">
        <v>306</v>
      </c>
      <c r="B37">
        <v>189.34932795698921</v>
      </c>
      <c r="C37">
        <v>191.06861559139779</v>
      </c>
      <c r="D37">
        <v>107.3322091013825</v>
      </c>
      <c r="E37">
        <v>82.017118855606753</v>
      </c>
      <c r="F37">
        <v>108.60633784562209</v>
      </c>
      <c r="G37">
        <v>82.462277745775722</v>
      </c>
    </row>
    <row r="38" spans="1:7" s="33" customFormat="1" x14ac:dyDescent="0.2">
      <c r="A38" t="s">
        <v>307</v>
      </c>
      <c r="B38">
        <v>117.9946505376344</v>
      </c>
      <c r="C38">
        <v>111.62209677419349</v>
      </c>
      <c r="D38">
        <v>75.530384024577572</v>
      </c>
      <c r="E38">
        <v>42.464266513056842</v>
      </c>
      <c r="F38">
        <v>74.231822196620584</v>
      </c>
      <c r="G38">
        <v>37.390274577572953</v>
      </c>
    </row>
    <row r="39" spans="1:7" s="33" customFormat="1" x14ac:dyDescent="0.2">
      <c r="A39" t="s">
        <v>308</v>
      </c>
      <c r="B39">
        <v>113.120744047619</v>
      </c>
      <c r="C39">
        <v>100.2914136904762</v>
      </c>
      <c r="D39">
        <v>72.914186605676733</v>
      </c>
      <c r="E39">
        <v>40.206557441942309</v>
      </c>
      <c r="F39">
        <v>70.128020466807413</v>
      </c>
      <c r="G39">
        <v>30.163393223668781</v>
      </c>
    </row>
    <row r="40" spans="1:7" s="33" customFormat="1" x14ac:dyDescent="0.2">
      <c r="A40" t="s">
        <v>309</v>
      </c>
      <c r="B40">
        <v>235.8248448043185</v>
      </c>
      <c r="C40">
        <v>227.92036437246961</v>
      </c>
      <c r="D40">
        <v>82.507617935670552</v>
      </c>
      <c r="E40">
        <v>153.31722686864791</v>
      </c>
      <c r="F40">
        <v>80.579396028922346</v>
      </c>
      <c r="G40">
        <v>147.3409683435473</v>
      </c>
    </row>
    <row r="41" spans="1:7" s="33" customFormat="1" x14ac:dyDescent="0.2">
      <c r="A41" t="s">
        <v>310</v>
      </c>
      <c r="B41">
        <v>163.63747222222219</v>
      </c>
      <c r="C41">
        <v>152.83280555555561</v>
      </c>
      <c r="D41">
        <v>70.829001984126947</v>
      </c>
      <c r="E41">
        <v>92.808470238095268</v>
      </c>
      <c r="F41">
        <v>68.268172619047618</v>
      </c>
      <c r="G41">
        <v>84.564632936507934</v>
      </c>
    </row>
    <row r="42" spans="1:7" s="33" customFormat="1" x14ac:dyDescent="0.2">
      <c r="A42" t="s">
        <v>311</v>
      </c>
      <c r="B42">
        <v>171.85803763440859</v>
      </c>
      <c r="C42">
        <v>162.65841397849459</v>
      </c>
      <c r="D42">
        <v>68.052165898617531</v>
      </c>
      <c r="E42">
        <v>103.8058717357911</v>
      </c>
      <c r="F42">
        <v>66.059996159754235</v>
      </c>
      <c r="G42">
        <v>96.598417818740387</v>
      </c>
    </row>
    <row r="43" spans="1:7" s="33" customFormat="1" x14ac:dyDescent="0.2">
      <c r="A43" t="s">
        <v>312</v>
      </c>
      <c r="B43">
        <v>214.43025</v>
      </c>
      <c r="C43">
        <v>213.2331388888889</v>
      </c>
      <c r="D43">
        <v>80.33409523809523</v>
      </c>
      <c r="E43">
        <v>134.09615476190481</v>
      </c>
      <c r="F43">
        <v>80.70399404761902</v>
      </c>
      <c r="G43">
        <v>132.52914484126981</v>
      </c>
    </row>
    <row r="44" spans="1:7" s="33" customFormat="1" x14ac:dyDescent="0.2">
      <c r="A44" t="s">
        <v>313</v>
      </c>
      <c r="B44">
        <v>275.03817204301072</v>
      </c>
      <c r="C44">
        <v>233.47774193548389</v>
      </c>
      <c r="D44">
        <v>89.731125192012286</v>
      </c>
      <c r="E44">
        <v>185.3070468509984</v>
      </c>
      <c r="F44">
        <v>83.978131720430113</v>
      </c>
      <c r="G44">
        <v>149.49961021505371</v>
      </c>
    </row>
    <row r="45" spans="1:7" s="33" customFormat="1" x14ac:dyDescent="0.2">
      <c r="A45" t="s">
        <v>314</v>
      </c>
      <c r="B45">
        <v>456.75034946236559</v>
      </c>
      <c r="C45">
        <v>449.7688306451613</v>
      </c>
      <c r="D45">
        <v>120.61982526881719</v>
      </c>
      <c r="E45">
        <v>336.13052419354841</v>
      </c>
      <c r="F45">
        <v>121.2532661290323</v>
      </c>
      <c r="G45">
        <v>328.51556451612907</v>
      </c>
    </row>
    <row r="46" spans="1:7" s="33" customFormat="1" x14ac:dyDescent="0.2">
      <c r="A46" t="s">
        <v>315</v>
      </c>
      <c r="B46">
        <v>342.81965277777778</v>
      </c>
      <c r="C46">
        <v>328.80015277777778</v>
      </c>
      <c r="D46">
        <v>110.1355753968254</v>
      </c>
      <c r="E46">
        <v>232.6840773809524</v>
      </c>
      <c r="F46">
        <v>109.8175337301587</v>
      </c>
      <c r="G46">
        <v>218.9826190476191</v>
      </c>
    </row>
    <row r="47" spans="1:7" s="33" customFormat="1" x14ac:dyDescent="0.2">
      <c r="A47" t="s">
        <v>316</v>
      </c>
      <c r="B47">
        <v>137.13172274562581</v>
      </c>
      <c r="C47">
        <v>136.89783310901751</v>
      </c>
      <c r="D47">
        <v>76.225888771390103</v>
      </c>
      <c r="E47">
        <v>60.905833974235733</v>
      </c>
      <c r="F47">
        <v>75.426141126706398</v>
      </c>
      <c r="G47">
        <v>61.471691982311093</v>
      </c>
    </row>
    <row r="48" spans="1:7" s="33" customFormat="1" x14ac:dyDescent="0.2">
      <c r="A48" t="s">
        <v>317</v>
      </c>
      <c r="B48">
        <v>139.7042083333333</v>
      </c>
      <c r="C48">
        <v>145.05780555555549</v>
      </c>
      <c r="D48">
        <v>89.133429067460298</v>
      </c>
      <c r="E48">
        <v>50.570779265873028</v>
      </c>
      <c r="F48">
        <v>90.044280257936492</v>
      </c>
      <c r="G48">
        <v>55.013525297619047</v>
      </c>
    </row>
    <row r="49" spans="1:7" s="33" customFormat="1" x14ac:dyDescent="0.2">
      <c r="A49" t="s">
        <v>318</v>
      </c>
      <c r="B49">
        <v>249.66561827956991</v>
      </c>
      <c r="C49">
        <v>248.88206989247311</v>
      </c>
      <c r="D49">
        <v>107.3322091013825</v>
      </c>
      <c r="E49">
        <v>142.3334091781874</v>
      </c>
      <c r="F49">
        <v>108.60633784562209</v>
      </c>
      <c r="G49">
        <v>140.275732046851</v>
      </c>
    </row>
    <row r="50" spans="1:7" s="33" customFormat="1" x14ac:dyDescent="0.2">
      <c r="A50" t="s">
        <v>319</v>
      </c>
      <c r="B50">
        <v>112.5418413978495</v>
      </c>
      <c r="C50">
        <v>99.762889784946225</v>
      </c>
      <c r="D50">
        <v>75.530384024577572</v>
      </c>
      <c r="E50">
        <v>37.011457373271902</v>
      </c>
      <c r="F50">
        <v>74.231822196620584</v>
      </c>
      <c r="G50">
        <v>25.531067588325641</v>
      </c>
    </row>
    <row r="51" spans="1:7" s="33" customFormat="1" x14ac:dyDescent="0.2">
      <c r="A51" t="s">
        <v>320</v>
      </c>
      <c r="B51">
        <v>118.136130952381</v>
      </c>
      <c r="C51">
        <v>100.6489285714286</v>
      </c>
      <c r="D51">
        <v>72.914186605676733</v>
      </c>
      <c r="E51">
        <v>45.22194434670422</v>
      </c>
      <c r="F51">
        <v>70.128020466807413</v>
      </c>
      <c r="G51">
        <v>30.52090810462116</v>
      </c>
    </row>
    <row r="52" spans="1:7" s="33" customFormat="1" x14ac:dyDescent="0.2">
      <c r="A52" t="s">
        <v>321</v>
      </c>
      <c r="B52">
        <v>99.113913630229419</v>
      </c>
      <c r="C52">
        <v>89.795614035087723</v>
      </c>
      <c r="D52">
        <v>82.507617935670552</v>
      </c>
      <c r="E52">
        <v>16.60629569455887</v>
      </c>
      <c r="F52">
        <v>80.579396028922346</v>
      </c>
      <c r="G52">
        <v>9.2162180061653771</v>
      </c>
    </row>
    <row r="53" spans="1:7" s="33" customFormat="1" x14ac:dyDescent="0.2">
      <c r="A53" t="s">
        <v>322</v>
      </c>
      <c r="B53">
        <v>96.270972222222227</v>
      </c>
      <c r="C53">
        <v>83.651124999999993</v>
      </c>
      <c r="D53">
        <v>70.829001984126947</v>
      </c>
      <c r="E53">
        <v>25.44197023809528</v>
      </c>
      <c r="F53">
        <v>68.268172619047618</v>
      </c>
      <c r="G53">
        <v>15.38295238095237</v>
      </c>
    </row>
    <row r="54" spans="1:7" s="33" customFormat="1" x14ac:dyDescent="0.2">
      <c r="A54" t="s">
        <v>323</v>
      </c>
      <c r="B54">
        <v>73.965779569892476</v>
      </c>
      <c r="C54">
        <v>66.151747311827961</v>
      </c>
      <c r="D54">
        <v>68.052165898617531</v>
      </c>
      <c r="E54">
        <v>5.9136136712749447</v>
      </c>
      <c r="F54">
        <v>66.059996159754235</v>
      </c>
      <c r="G54">
        <v>9.1751152073726416E-2</v>
      </c>
    </row>
    <row r="55" spans="1:7" s="33" customFormat="1" x14ac:dyDescent="0.2">
      <c r="A55" t="s">
        <v>324</v>
      </c>
      <c r="B55">
        <v>92.495430555555558</v>
      </c>
      <c r="C55">
        <v>91.423152777777773</v>
      </c>
      <c r="D55">
        <v>80.33409523809523</v>
      </c>
      <c r="E55">
        <v>12.161335317460329</v>
      </c>
      <c r="F55">
        <v>80.70399404761902</v>
      </c>
      <c r="G55">
        <v>10.71915873015875</v>
      </c>
    </row>
    <row r="56" spans="1:7" s="33" customFormat="1" x14ac:dyDescent="0.2">
      <c r="A56" t="s">
        <v>325</v>
      </c>
      <c r="B56">
        <v>64.811303763440861</v>
      </c>
      <c r="C56">
        <v>65.24004032258064</v>
      </c>
      <c r="D56">
        <v>89.731125192012286</v>
      </c>
      <c r="E56">
        <v>-24.919821428571421</v>
      </c>
      <c r="F56">
        <v>83.978131720430113</v>
      </c>
      <c r="G56">
        <v>-18.73809139784947</v>
      </c>
    </row>
    <row r="57" spans="1:7" s="33" customFormat="1" x14ac:dyDescent="0.2">
      <c r="A57" t="s">
        <v>326</v>
      </c>
      <c r="B57">
        <v>85.967110215053765</v>
      </c>
      <c r="C57">
        <v>86.293736559139788</v>
      </c>
      <c r="D57">
        <v>120.61982526881719</v>
      </c>
      <c r="E57">
        <v>-34.65271505376343</v>
      </c>
      <c r="F57">
        <v>121.2532661290323</v>
      </c>
      <c r="G57">
        <v>-34.959529569892467</v>
      </c>
    </row>
    <row r="58" spans="1:7" s="33" customFormat="1" x14ac:dyDescent="0.2">
      <c r="A58" t="s">
        <v>327</v>
      </c>
      <c r="B58">
        <v>84.739444444444445</v>
      </c>
      <c r="C58">
        <v>85.484125000000006</v>
      </c>
      <c r="D58">
        <v>110.1355753968254</v>
      </c>
      <c r="E58">
        <v>-25.39613095238094</v>
      </c>
      <c r="F58">
        <v>109.8175337301587</v>
      </c>
      <c r="G58">
        <v>-24.333408730158691</v>
      </c>
    </row>
    <row r="59" spans="1:7" s="33" customFormat="1" x14ac:dyDescent="0.2">
      <c r="A59" t="s">
        <v>328</v>
      </c>
      <c r="B59">
        <v>60.105760430686409</v>
      </c>
      <c r="C59">
        <v>56.925814266487208</v>
      </c>
      <c r="D59">
        <v>76.225888771390103</v>
      </c>
      <c r="E59">
        <v>-16.12012834070369</v>
      </c>
      <c r="F59">
        <v>75.426141126706398</v>
      </c>
      <c r="G59">
        <v>-18.500326860219189</v>
      </c>
    </row>
    <row r="60" spans="1:7" s="33" customFormat="1" x14ac:dyDescent="0.2">
      <c r="A60" t="s">
        <v>329</v>
      </c>
      <c r="B60">
        <v>88.154569444444448</v>
      </c>
      <c r="C60">
        <v>81.486041666666665</v>
      </c>
      <c r="D60">
        <v>89.133429067460298</v>
      </c>
      <c r="E60">
        <v>-0.97885962301585039</v>
      </c>
      <c r="F60">
        <v>90.044280257936492</v>
      </c>
      <c r="G60">
        <v>-8.5582385912698271</v>
      </c>
    </row>
    <row r="61" spans="1:7" s="33" customFormat="1" x14ac:dyDescent="0.2">
      <c r="A61" t="s">
        <v>330</v>
      </c>
      <c r="B61">
        <v>69.482513440860217</v>
      </c>
      <c r="C61">
        <v>70.879731182795695</v>
      </c>
      <c r="D61">
        <v>107.3322091013825</v>
      </c>
      <c r="E61">
        <v>-37.849695660522272</v>
      </c>
      <c r="F61">
        <v>108.60633784562209</v>
      </c>
      <c r="G61">
        <v>-37.726606662826427</v>
      </c>
    </row>
    <row r="62" spans="1:7" s="33" customFormat="1" x14ac:dyDescent="0.2">
      <c r="A62" t="s">
        <v>331</v>
      </c>
      <c r="B62">
        <v>74.714932795698928</v>
      </c>
      <c r="C62">
        <v>78.214811827956993</v>
      </c>
      <c r="D62">
        <v>75.530384024577572</v>
      </c>
      <c r="E62">
        <v>-0.81545122887864352</v>
      </c>
      <c r="F62">
        <v>74.231822196620584</v>
      </c>
      <c r="G62">
        <v>3.9829896313364088</v>
      </c>
    </row>
    <row r="63" spans="1:7" s="33" customFormat="1" x14ac:dyDescent="0.2">
      <c r="A63" t="s">
        <v>332</v>
      </c>
      <c r="B63">
        <v>58.633936781609187</v>
      </c>
      <c r="C63">
        <v>54.722241379310347</v>
      </c>
      <c r="D63">
        <v>72.914186605676733</v>
      </c>
      <c r="E63">
        <v>-14.280249824067541</v>
      </c>
      <c r="F63">
        <v>70.128020466807413</v>
      </c>
      <c r="G63">
        <v>-15.40577908749707</v>
      </c>
    </row>
    <row r="64" spans="1:7" s="33" customFormat="1" x14ac:dyDescent="0.2">
      <c r="A64" t="s">
        <v>333</v>
      </c>
      <c r="B64">
        <v>61.226288798920379</v>
      </c>
      <c r="C64">
        <v>61.040863697705802</v>
      </c>
      <c r="D64">
        <v>82.507617935670552</v>
      </c>
      <c r="E64">
        <v>-21.28132913675017</v>
      </c>
      <c r="F64">
        <v>80.579396028922346</v>
      </c>
      <c r="G64">
        <v>-19.53853233121654</v>
      </c>
    </row>
    <row r="65" spans="1:7" s="33" customFormat="1" x14ac:dyDescent="0.2">
      <c r="A65" t="s">
        <v>334</v>
      </c>
      <c r="B65">
        <v>59.164791666666673</v>
      </c>
      <c r="C65">
        <v>60.476708333333328</v>
      </c>
      <c r="D65">
        <v>70.829001984126947</v>
      </c>
      <c r="E65">
        <v>-11.664210317460279</v>
      </c>
      <c r="F65">
        <v>68.268172619047618</v>
      </c>
      <c r="G65">
        <v>-7.7914642857142837</v>
      </c>
    </row>
    <row r="66" spans="1:7" s="33" customFormat="1" x14ac:dyDescent="0.2">
      <c r="A66" t="s">
        <v>335</v>
      </c>
      <c r="B66">
        <v>58.516854838709683</v>
      </c>
      <c r="C66">
        <v>58.122983870967737</v>
      </c>
      <c r="D66">
        <v>68.052165898617531</v>
      </c>
      <c r="E66">
        <v>-9.5353110599078548</v>
      </c>
      <c r="F66">
        <v>66.059996159754235</v>
      </c>
      <c r="G66">
        <v>-7.9370122887864909</v>
      </c>
    </row>
    <row r="67" spans="1:7" s="33" customFormat="1" x14ac:dyDescent="0.2">
      <c r="A67" t="s">
        <v>336</v>
      </c>
      <c r="B67">
        <v>63.753041666666668</v>
      </c>
      <c r="C67">
        <v>66.79098611111111</v>
      </c>
      <c r="D67">
        <v>80.33409523809523</v>
      </c>
      <c r="E67">
        <v>-16.581053571428559</v>
      </c>
      <c r="F67">
        <v>80.70399404761902</v>
      </c>
      <c r="G67">
        <v>-13.91300793650791</v>
      </c>
    </row>
    <row r="68" spans="1:7" s="33" customFormat="1" x14ac:dyDescent="0.2">
      <c r="A68" t="s">
        <v>337</v>
      </c>
      <c r="B68">
        <v>62.030349462365592</v>
      </c>
      <c r="C68">
        <v>62.841706989247307</v>
      </c>
      <c r="D68">
        <v>89.731125192012286</v>
      </c>
      <c r="E68">
        <v>-27.70077572964669</v>
      </c>
      <c r="F68">
        <v>83.978131720430113</v>
      </c>
      <c r="G68">
        <v>-21.1364247311828</v>
      </c>
    </row>
    <row r="69" spans="1:7" s="33" customFormat="1" x14ac:dyDescent="0.2">
      <c r="A69" t="s">
        <v>338</v>
      </c>
      <c r="B69">
        <v>72.95380376344086</v>
      </c>
      <c r="C69">
        <v>72.614260752688182</v>
      </c>
      <c r="D69">
        <v>120.61982526881719</v>
      </c>
      <c r="E69">
        <v>-47.666021505376342</v>
      </c>
      <c r="F69">
        <v>121.2532661290323</v>
      </c>
      <c r="G69">
        <v>-48.639005376344073</v>
      </c>
    </row>
    <row r="70" spans="1:7" s="33" customFormat="1" x14ac:dyDescent="0.2">
      <c r="A70" t="s">
        <v>339</v>
      </c>
      <c r="B70">
        <v>71.713583333333332</v>
      </c>
      <c r="C70">
        <v>70.411833333333334</v>
      </c>
      <c r="D70">
        <v>110.1355753968254</v>
      </c>
      <c r="E70">
        <v>-38.421992063492063</v>
      </c>
      <c r="F70">
        <v>109.8175337301587</v>
      </c>
      <c r="G70">
        <v>-39.405700396825367</v>
      </c>
    </row>
    <row r="71" spans="1:7" s="33" customFormat="1" x14ac:dyDescent="0.2">
      <c r="A71" t="s">
        <v>340</v>
      </c>
      <c r="B71">
        <v>76.7199730820996</v>
      </c>
      <c r="C71">
        <v>76.326123822341856</v>
      </c>
      <c r="D71">
        <v>76.225888771390103</v>
      </c>
      <c r="E71">
        <v>0.49408431070949632</v>
      </c>
      <c r="F71">
        <v>75.426141126706398</v>
      </c>
      <c r="G71">
        <v>0.89998269563545819</v>
      </c>
    </row>
    <row r="72" spans="1:7" s="33" customFormat="1" x14ac:dyDescent="0.2">
      <c r="A72" t="s">
        <v>341</v>
      </c>
      <c r="B72">
        <v>95.904597222222222</v>
      </c>
      <c r="C72">
        <v>95.282694444444431</v>
      </c>
      <c r="D72">
        <v>89.133429067460298</v>
      </c>
      <c r="E72">
        <v>6.7711681547619236</v>
      </c>
      <c r="F72">
        <v>90.044280257936492</v>
      </c>
      <c r="G72">
        <v>5.2384141865079394</v>
      </c>
    </row>
    <row r="73" spans="1:7" s="33" customFormat="1" x14ac:dyDescent="0.2">
      <c r="A73" t="s">
        <v>342</v>
      </c>
      <c r="B73">
        <v>91.83743279569893</v>
      </c>
      <c r="C73">
        <v>92.728158602150543</v>
      </c>
      <c r="D73">
        <v>107.3322091013825</v>
      </c>
      <c r="E73">
        <v>-15.49477630568356</v>
      </c>
      <c r="F73">
        <v>108.60633784562209</v>
      </c>
      <c r="G73">
        <v>-15.87817924347158</v>
      </c>
    </row>
    <row r="74" spans="1:7" s="33" customFormat="1" x14ac:dyDescent="0.2">
      <c r="A74" t="s">
        <v>343</v>
      </c>
      <c r="B74">
        <v>97.965967741935472</v>
      </c>
      <c r="C74">
        <v>100.1237365591398</v>
      </c>
      <c r="D74">
        <v>75.530384024577572</v>
      </c>
      <c r="E74">
        <v>22.4355837173579</v>
      </c>
      <c r="F74">
        <v>74.231822196620584</v>
      </c>
      <c r="G74">
        <v>25.891914362519199</v>
      </c>
    </row>
    <row r="75" spans="1:7" s="33" customFormat="1" x14ac:dyDescent="0.2">
      <c r="A75" t="s">
        <v>344</v>
      </c>
      <c r="B75">
        <v>112.8479613095238</v>
      </c>
      <c r="C75">
        <v>117.9355505952381</v>
      </c>
      <c r="D75">
        <v>72.914186605676733</v>
      </c>
      <c r="E75">
        <v>39.933774703847078</v>
      </c>
      <c r="F75">
        <v>70.128020466807413</v>
      </c>
      <c r="G75">
        <v>47.807530128430678</v>
      </c>
    </row>
    <row r="76" spans="1:7" s="33" customFormat="1" x14ac:dyDescent="0.2">
      <c r="A76" t="s">
        <v>345</v>
      </c>
      <c r="B76">
        <v>84.348845117845116</v>
      </c>
      <c r="C76">
        <v>82.846865319865316</v>
      </c>
      <c r="D76">
        <v>82.507617935670552</v>
      </c>
      <c r="E76">
        <v>1.8412271821745629</v>
      </c>
      <c r="F76">
        <v>80.579396028922346</v>
      </c>
      <c r="G76">
        <v>2.267469290942969</v>
      </c>
    </row>
    <row r="77" spans="1:7" s="33" customFormat="1" x14ac:dyDescent="0.2">
      <c r="A77" t="s">
        <v>346</v>
      </c>
      <c r="B77">
        <v>75.160472222222225</v>
      </c>
      <c r="C77">
        <v>75.806652777777785</v>
      </c>
      <c r="D77">
        <v>70.829001984126947</v>
      </c>
      <c r="E77">
        <v>4.3314702380952781</v>
      </c>
      <c r="F77">
        <v>68.268172619047618</v>
      </c>
      <c r="G77">
        <v>7.5384801587301666</v>
      </c>
    </row>
    <row r="78" spans="1:7" s="33" customFormat="1" x14ac:dyDescent="0.2">
      <c r="A78" t="s">
        <v>347</v>
      </c>
      <c r="B78">
        <v>64.233413978494625</v>
      </c>
      <c r="C78">
        <v>63.082553763440863</v>
      </c>
      <c r="D78">
        <v>68.052165898617531</v>
      </c>
      <c r="E78">
        <v>-3.818751920122907</v>
      </c>
      <c r="F78">
        <v>66.059996159754235</v>
      </c>
      <c r="G78">
        <v>-2.977442396313378</v>
      </c>
    </row>
    <row r="79" spans="1:7" s="33" customFormat="1" x14ac:dyDescent="0.2">
      <c r="A79" t="s">
        <v>348</v>
      </c>
      <c r="B79">
        <v>58.784624999999998</v>
      </c>
      <c r="C79">
        <v>56.448249999999987</v>
      </c>
      <c r="D79">
        <v>80.33409523809523</v>
      </c>
      <c r="E79">
        <v>-21.549470238095228</v>
      </c>
      <c r="F79">
        <v>80.70399404761902</v>
      </c>
      <c r="G79">
        <v>-24.255744047619029</v>
      </c>
    </row>
    <row r="80" spans="1:7" s="33" customFormat="1" x14ac:dyDescent="0.2">
      <c r="A80" t="s">
        <v>349</v>
      </c>
      <c r="B80">
        <v>82.801922043010748</v>
      </c>
      <c r="C80">
        <v>79.959690860215062</v>
      </c>
      <c r="D80">
        <v>89.731125192012286</v>
      </c>
      <c r="E80">
        <v>-6.9292031490015384</v>
      </c>
      <c r="F80">
        <v>83.978131720430113</v>
      </c>
      <c r="G80">
        <v>-4.0184408602150512</v>
      </c>
    </row>
    <row r="81" spans="1:7" s="33" customFormat="1" x14ac:dyDescent="0.2">
      <c r="A81" t="s">
        <v>350</v>
      </c>
      <c r="B81">
        <v>73.473763440860225</v>
      </c>
      <c r="C81">
        <v>75.315497311827954</v>
      </c>
      <c r="D81">
        <v>120.61982526881719</v>
      </c>
      <c r="E81">
        <v>-47.14606182795697</v>
      </c>
      <c r="F81">
        <v>121.2532661290323</v>
      </c>
      <c r="G81">
        <v>-45.937768817204301</v>
      </c>
    </row>
    <row r="82" spans="1:7" s="33" customFormat="1" x14ac:dyDescent="0.2">
      <c r="A82" t="s">
        <v>351</v>
      </c>
      <c r="B82">
        <v>72.398680555555558</v>
      </c>
      <c r="C82">
        <v>83.288930555555552</v>
      </c>
      <c r="D82">
        <v>110.1355753968254</v>
      </c>
      <c r="E82">
        <v>-37.73689484126983</v>
      </c>
      <c r="F82">
        <v>109.8175337301587</v>
      </c>
      <c r="G82">
        <v>-26.528603174603148</v>
      </c>
    </row>
    <row r="83" spans="1:7" s="33" customFormat="1" x14ac:dyDescent="0.2">
      <c r="A83" t="s">
        <v>352</v>
      </c>
      <c r="B83">
        <v>78.421800134589503</v>
      </c>
      <c r="C83">
        <v>82.368075370121133</v>
      </c>
      <c r="D83">
        <v>76.225888771390103</v>
      </c>
      <c r="E83">
        <v>2.1959113631994001</v>
      </c>
      <c r="F83">
        <v>75.426141126706398</v>
      </c>
      <c r="G83">
        <v>6.9419342434147353</v>
      </c>
    </row>
    <row r="84" spans="1:7" s="33" customFormat="1" x14ac:dyDescent="0.2">
      <c r="A84" t="s">
        <v>353</v>
      </c>
      <c r="B84">
        <v>92.873392361111115</v>
      </c>
      <c r="C84">
        <v>93.695572916666663</v>
      </c>
      <c r="D84">
        <v>89.133429067460298</v>
      </c>
      <c r="E84">
        <v>3.7399632936508169</v>
      </c>
      <c r="F84">
        <v>90.044280257936492</v>
      </c>
      <c r="G84">
        <v>3.6512926587301711</v>
      </c>
    </row>
    <row r="85" spans="1:7" s="33" customFormat="1" x14ac:dyDescent="0.2">
      <c r="A85" t="s">
        <v>354</v>
      </c>
      <c r="B85">
        <v>82.437466397849462</v>
      </c>
      <c r="C85">
        <v>82.081528897849466</v>
      </c>
      <c r="D85">
        <v>107.3322091013825</v>
      </c>
      <c r="E85">
        <v>-24.89474270353303</v>
      </c>
      <c r="F85">
        <v>108.60633784562209</v>
      </c>
      <c r="G85">
        <v>-26.524808947772659</v>
      </c>
    </row>
    <row r="86" spans="1:7" s="33" customFormat="1" ht="15" customHeight="1" x14ac:dyDescent="0.2"/>
    <row r="87" spans="1:7" s="33" customFormat="1" ht="15" customHeight="1" x14ac:dyDescent="0.2"/>
    <row r="88" spans="1:7" s="33" customFormat="1" ht="15" customHeight="1" x14ac:dyDescent="0.2"/>
    <row r="89" spans="1:7" s="33" customFormat="1" ht="15" customHeight="1" x14ac:dyDescent="0.2"/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85"/>
  <sheetViews>
    <sheetView showGridLines="0" workbookViewId="0">
      <selection activeCell="G20" sqref="G20"/>
    </sheetView>
  </sheetViews>
  <sheetFormatPr baseColWidth="10" defaultRowHeight="16" x14ac:dyDescent="0.2"/>
  <cols>
    <col min="1" max="1" width="7.83203125" bestFit="1" customWidth="1"/>
    <col min="2" max="2" width="33" bestFit="1" customWidth="1"/>
    <col min="3" max="3" width="36.33203125" bestFit="1" customWidth="1"/>
    <col min="4" max="5" width="27" bestFit="1" customWidth="1"/>
    <col min="6" max="6" width="30.83203125" bestFit="1" customWidth="1"/>
    <col min="7" max="7" width="34.1640625" bestFit="1" customWidth="1"/>
    <col min="8" max="8" width="34.6640625" bestFit="1" customWidth="1"/>
    <col min="9" max="9" width="38" bestFit="1" customWidth="1"/>
    <col min="10" max="11" width="26.1640625" bestFit="1" customWidth="1"/>
  </cols>
  <sheetData>
    <row r="1" spans="1:11" s="2" customFormat="1" x14ac:dyDescent="0.2">
      <c r="A1" t="s">
        <v>264</v>
      </c>
      <c r="B1" t="s">
        <v>355</v>
      </c>
      <c r="C1" t="s">
        <v>356</v>
      </c>
      <c r="D1" t="s">
        <v>357</v>
      </c>
      <c r="E1" t="s">
        <v>358</v>
      </c>
      <c r="F1" t="s">
        <v>359</v>
      </c>
      <c r="G1" t="s">
        <v>360</v>
      </c>
      <c r="H1" t="s">
        <v>361</v>
      </c>
      <c r="I1" t="s">
        <v>362</v>
      </c>
      <c r="J1" t="s">
        <v>363</v>
      </c>
      <c r="K1" t="s">
        <v>364</v>
      </c>
    </row>
    <row r="2" spans="1:11" s="2" customFormat="1" ht="45" customHeight="1" x14ac:dyDescent="0.2">
      <c r="A2" t="s">
        <v>271</v>
      </c>
      <c r="B2">
        <v>0</v>
      </c>
      <c r="C2">
        <v>0</v>
      </c>
      <c r="D2">
        <v>1981398.582526</v>
      </c>
      <c r="E2">
        <v>1314033.1014370001</v>
      </c>
    </row>
    <row r="3" spans="1:11" x14ac:dyDescent="0.2">
      <c r="A3" t="s">
        <v>272</v>
      </c>
      <c r="B3">
        <v>0</v>
      </c>
      <c r="C3">
        <v>0</v>
      </c>
      <c r="D3">
        <v>1722773.786259</v>
      </c>
      <c r="E3">
        <v>1131046.589842</v>
      </c>
    </row>
    <row r="4" spans="1:11" x14ac:dyDescent="0.2">
      <c r="A4" t="s">
        <v>273</v>
      </c>
      <c r="B4">
        <v>0</v>
      </c>
      <c r="C4">
        <v>0</v>
      </c>
      <c r="D4">
        <v>1852201.6336650001</v>
      </c>
      <c r="E4">
        <v>1198126.6353839999</v>
      </c>
    </row>
    <row r="5" spans="1:11" x14ac:dyDescent="0.2">
      <c r="A5" t="s">
        <v>274</v>
      </c>
      <c r="B5">
        <v>0</v>
      </c>
      <c r="C5">
        <v>0</v>
      </c>
      <c r="D5">
        <v>1635794.5032919999</v>
      </c>
      <c r="E5">
        <v>1043346.761302</v>
      </c>
    </row>
    <row r="6" spans="1:11" x14ac:dyDescent="0.2">
      <c r="A6" t="s">
        <v>275</v>
      </c>
      <c r="B6">
        <v>0</v>
      </c>
      <c r="C6">
        <v>0</v>
      </c>
      <c r="D6">
        <v>1705809.8300890001</v>
      </c>
      <c r="E6">
        <v>1053002.3544290001</v>
      </c>
    </row>
    <row r="7" spans="1:11" x14ac:dyDescent="0.2">
      <c r="A7" t="s">
        <v>276</v>
      </c>
      <c r="B7">
        <v>0</v>
      </c>
      <c r="C7">
        <v>0</v>
      </c>
      <c r="D7">
        <v>1584045.3859850001</v>
      </c>
      <c r="E7">
        <v>975899.20130800002</v>
      </c>
    </row>
    <row r="8" spans="1:11" x14ac:dyDescent="0.2">
      <c r="A8" t="s">
        <v>277</v>
      </c>
      <c r="B8">
        <v>0</v>
      </c>
      <c r="C8">
        <v>0</v>
      </c>
      <c r="D8">
        <v>1586666.809685</v>
      </c>
      <c r="E8">
        <v>974240.52367599995</v>
      </c>
    </row>
    <row r="9" spans="1:11" x14ac:dyDescent="0.2">
      <c r="A9" t="s">
        <v>278</v>
      </c>
      <c r="B9">
        <v>0</v>
      </c>
      <c r="C9">
        <v>0</v>
      </c>
      <c r="D9">
        <v>1656327.969606</v>
      </c>
      <c r="E9">
        <v>1032294.027409</v>
      </c>
    </row>
    <row r="10" spans="1:11" x14ac:dyDescent="0.2">
      <c r="A10" t="s">
        <v>279</v>
      </c>
      <c r="B10">
        <v>0</v>
      </c>
      <c r="C10">
        <v>0</v>
      </c>
      <c r="D10">
        <v>1676866.10718</v>
      </c>
      <c r="E10">
        <v>1027039.470945</v>
      </c>
    </row>
    <row r="11" spans="1:11" x14ac:dyDescent="0.2">
      <c r="A11" t="s">
        <v>280</v>
      </c>
      <c r="B11">
        <v>0</v>
      </c>
      <c r="C11">
        <v>0</v>
      </c>
      <c r="D11">
        <v>1811180.068616</v>
      </c>
      <c r="E11">
        <v>1150263.6074029999</v>
      </c>
    </row>
    <row r="12" spans="1:11" x14ac:dyDescent="0.2">
      <c r="A12" t="s">
        <v>281</v>
      </c>
      <c r="B12">
        <v>0</v>
      </c>
      <c r="C12">
        <v>0</v>
      </c>
      <c r="D12">
        <v>1863227.7931059999</v>
      </c>
      <c r="E12">
        <v>1178952.785895</v>
      </c>
    </row>
    <row r="13" spans="1:11" x14ac:dyDescent="0.2">
      <c r="A13" t="s">
        <v>282</v>
      </c>
      <c r="B13">
        <v>0</v>
      </c>
      <c r="C13">
        <v>0</v>
      </c>
      <c r="D13">
        <v>1899232.867932</v>
      </c>
      <c r="E13">
        <v>1242107.3841589999</v>
      </c>
    </row>
    <row r="14" spans="1:11" x14ac:dyDescent="0.2">
      <c r="A14" t="s">
        <v>283</v>
      </c>
      <c r="B14">
        <v>4471</v>
      </c>
      <c r="C14">
        <v>2331</v>
      </c>
      <c r="D14">
        <v>1974432.7147260001</v>
      </c>
      <c r="E14">
        <v>1250319.791622</v>
      </c>
      <c r="F14">
        <v>2.2644478926294831E-3</v>
      </c>
      <c r="G14">
        <v>1.864323044087839E-3</v>
      </c>
      <c r="H14">
        <v>25.22320957280251</v>
      </c>
      <c r="I14">
        <v>29.86213642213642</v>
      </c>
      <c r="J14">
        <v>1.0091486594474419</v>
      </c>
      <c r="K14">
        <v>1.090446324793763</v>
      </c>
    </row>
    <row r="15" spans="1:11" x14ac:dyDescent="0.2">
      <c r="A15" t="s">
        <v>284</v>
      </c>
      <c r="B15">
        <v>10110</v>
      </c>
      <c r="C15">
        <v>5861</v>
      </c>
      <c r="D15">
        <v>1926649.343878</v>
      </c>
      <c r="E15">
        <v>1181334.231075</v>
      </c>
      <c r="F15">
        <v>5.2474520244822449E-3</v>
      </c>
      <c r="G15">
        <v>4.9613393448072352E-3</v>
      </c>
      <c r="H15">
        <v>22.83581899109792</v>
      </c>
      <c r="I15">
        <v>23.555517829721889</v>
      </c>
      <c r="J15">
        <v>1.2985911686950511</v>
      </c>
      <c r="K15">
        <v>1.251821301318464</v>
      </c>
    </row>
    <row r="16" spans="1:11" x14ac:dyDescent="0.2">
      <c r="A16" t="s">
        <v>285</v>
      </c>
      <c r="B16">
        <v>38892</v>
      </c>
      <c r="C16">
        <v>18129</v>
      </c>
      <c r="D16">
        <v>1925186.6494150001</v>
      </c>
      <c r="E16">
        <v>1183329.342896</v>
      </c>
      <c r="F16">
        <v>2.020167759412729E-2</v>
      </c>
      <c r="G16">
        <v>1.532033335337761E-2</v>
      </c>
      <c r="H16">
        <v>15.94107348554973</v>
      </c>
      <c r="I16">
        <v>17.149050692261021</v>
      </c>
      <c r="J16">
        <v>0.8710146939215303</v>
      </c>
      <c r="K16">
        <v>0.85520775851277109</v>
      </c>
    </row>
    <row r="17" spans="1:11" x14ac:dyDescent="0.2">
      <c r="A17" t="s">
        <v>286</v>
      </c>
      <c r="B17">
        <v>55159</v>
      </c>
      <c r="C17">
        <v>26915</v>
      </c>
      <c r="D17">
        <v>1700968.843874</v>
      </c>
      <c r="E17">
        <v>1028051.49622</v>
      </c>
      <c r="F17">
        <v>3.2427989612304697E-2</v>
      </c>
      <c r="G17">
        <v>2.6180595134545931E-2</v>
      </c>
      <c r="H17">
        <v>10.36487590420421</v>
      </c>
      <c r="I17">
        <v>13.252523128367081</v>
      </c>
      <c r="J17">
        <v>0.71315772558819213</v>
      </c>
      <c r="K17">
        <v>0.76362023547871605</v>
      </c>
    </row>
    <row r="18" spans="1:11" x14ac:dyDescent="0.2">
      <c r="A18" t="s">
        <v>287</v>
      </c>
      <c r="B18">
        <v>61569</v>
      </c>
      <c r="C18">
        <v>33210</v>
      </c>
      <c r="D18">
        <v>1706453.7453590001</v>
      </c>
      <c r="E18">
        <v>1030057.110715</v>
      </c>
      <c r="F18">
        <v>3.6080087237903569E-2</v>
      </c>
      <c r="G18">
        <v>3.2240930774166239E-2</v>
      </c>
      <c r="H18">
        <v>15.478548945086001</v>
      </c>
      <c r="I18">
        <v>18.594049382716051</v>
      </c>
      <c r="J18">
        <v>0.96415576931205649</v>
      </c>
      <c r="K18">
        <v>0.97636938233545278</v>
      </c>
    </row>
    <row r="19" spans="1:11" x14ac:dyDescent="0.2">
      <c r="A19" t="s">
        <v>288</v>
      </c>
      <c r="B19">
        <v>61474</v>
      </c>
      <c r="C19">
        <v>30998</v>
      </c>
      <c r="D19">
        <v>1643091.5244159999</v>
      </c>
      <c r="E19">
        <v>1011294.207039</v>
      </c>
      <c r="F19">
        <v>3.7413618831640891E-2</v>
      </c>
      <c r="G19">
        <v>3.0651812088155841E-2</v>
      </c>
      <c r="H19">
        <v>27.313308227868689</v>
      </c>
      <c r="I19">
        <v>35.21078005032583</v>
      </c>
      <c r="J19">
        <v>1.0394664137310941</v>
      </c>
      <c r="K19">
        <v>1.180647007173951</v>
      </c>
    </row>
    <row r="20" spans="1:11" x14ac:dyDescent="0.2">
      <c r="A20" t="s">
        <v>289</v>
      </c>
      <c r="B20">
        <v>54854</v>
      </c>
      <c r="C20">
        <v>29317</v>
      </c>
      <c r="D20">
        <v>1613427.2604050001</v>
      </c>
      <c r="E20">
        <v>977817.80731299997</v>
      </c>
      <c r="F20">
        <v>3.3998433859503921E-2</v>
      </c>
      <c r="G20">
        <v>2.998206800974695E-2</v>
      </c>
      <c r="H20">
        <v>24.831745178109159</v>
      </c>
      <c r="I20">
        <v>26.450778046867001</v>
      </c>
      <c r="J20">
        <v>1.0086181556608309</v>
      </c>
      <c r="K20">
        <v>1.021791049952987</v>
      </c>
    </row>
    <row r="21" spans="1:11" x14ac:dyDescent="0.2">
      <c r="A21" t="s">
        <v>290</v>
      </c>
      <c r="B21">
        <v>59389</v>
      </c>
      <c r="C21">
        <v>28887</v>
      </c>
      <c r="D21">
        <v>1735264.01783</v>
      </c>
      <c r="E21">
        <v>1030401.116398</v>
      </c>
      <c r="F21">
        <v>3.4224763142537661E-2</v>
      </c>
      <c r="G21">
        <v>2.8034713414307081E-2</v>
      </c>
      <c r="H21">
        <v>33.876915422047851</v>
      </c>
      <c r="I21">
        <v>44.113765015404859</v>
      </c>
      <c r="J21">
        <v>0.98082264407500741</v>
      </c>
      <c r="K21">
        <v>1.077948442472481</v>
      </c>
    </row>
    <row r="22" spans="1:11" x14ac:dyDescent="0.2">
      <c r="A22" t="s">
        <v>291</v>
      </c>
      <c r="B22">
        <v>41721</v>
      </c>
      <c r="C22">
        <v>21825</v>
      </c>
      <c r="D22">
        <v>1714785.8387539999</v>
      </c>
      <c r="E22">
        <v>1004072.4580090001</v>
      </c>
      <c r="F22">
        <v>2.4330151939157239E-2</v>
      </c>
      <c r="G22">
        <v>2.1736479101595249E-2</v>
      </c>
      <c r="H22">
        <v>38.935979003379593</v>
      </c>
      <c r="I22">
        <v>41.853047880870562</v>
      </c>
      <c r="J22">
        <v>1.0104044869130051</v>
      </c>
      <c r="K22">
        <v>1.0591890923358069</v>
      </c>
    </row>
    <row r="23" spans="1:11" x14ac:dyDescent="0.2">
      <c r="A23" t="s">
        <v>292</v>
      </c>
      <c r="B23">
        <v>21643</v>
      </c>
      <c r="C23">
        <v>12341</v>
      </c>
      <c r="D23">
        <v>1883574.4144280001</v>
      </c>
      <c r="E23">
        <v>1113897.363289</v>
      </c>
      <c r="F23">
        <v>1.1490387549446779E-2</v>
      </c>
      <c r="G23">
        <v>1.107911770574695E-2</v>
      </c>
      <c r="H23">
        <v>31.927741533059191</v>
      </c>
      <c r="I23">
        <v>33.600878372903331</v>
      </c>
      <c r="J23">
        <v>1.236802226812374</v>
      </c>
      <c r="K23">
        <v>1.247549053102559</v>
      </c>
    </row>
    <row r="24" spans="1:11" x14ac:dyDescent="0.2">
      <c r="A24" t="s">
        <v>293</v>
      </c>
      <c r="B24">
        <v>297</v>
      </c>
      <c r="C24">
        <v>128</v>
      </c>
      <c r="D24">
        <v>1952532.7145990001</v>
      </c>
      <c r="E24">
        <v>1158936.1843300001</v>
      </c>
      <c r="F24">
        <v>1.521101274151999E-4</v>
      </c>
      <c r="G24">
        <v>1.1044611578332841E-4</v>
      </c>
      <c r="H24">
        <v>26.005993265993261</v>
      </c>
      <c r="I24">
        <v>37.749765625000002</v>
      </c>
      <c r="J24">
        <v>1.094777917215692</v>
      </c>
      <c r="K24">
        <v>1.057080411727209</v>
      </c>
    </row>
    <row r="25" spans="1:11" x14ac:dyDescent="0.2">
      <c r="A25" t="s">
        <v>294</v>
      </c>
      <c r="B25">
        <v>31</v>
      </c>
      <c r="C25">
        <v>7</v>
      </c>
      <c r="D25">
        <v>2105390.8938150001</v>
      </c>
      <c r="E25">
        <v>1242182.378789</v>
      </c>
      <c r="F25">
        <v>1.472410662127807E-5</v>
      </c>
      <c r="G25">
        <v>5.6352433584062588E-6</v>
      </c>
      <c r="H25">
        <v>34.795161290322582</v>
      </c>
      <c r="I25">
        <v>44.191428571428567</v>
      </c>
      <c r="J25">
        <v>1.0082301641826621</v>
      </c>
      <c r="K25">
        <v>1.125691191699302</v>
      </c>
    </row>
    <row r="26" spans="1:11" x14ac:dyDescent="0.2">
      <c r="A26" t="s">
        <v>295</v>
      </c>
      <c r="B26">
        <v>8179.138089</v>
      </c>
      <c r="C26">
        <v>4426.1212370000003</v>
      </c>
      <c r="D26">
        <v>2252364.7065099999</v>
      </c>
      <c r="E26">
        <v>1425723.342772</v>
      </c>
      <c r="F26">
        <v>3.6313559990350909E-3</v>
      </c>
      <c r="G26">
        <v>3.104474131982996E-3</v>
      </c>
      <c r="H26">
        <v>55.422967607277918</v>
      </c>
      <c r="I26">
        <v>57.072134410081453</v>
      </c>
      <c r="J26">
        <v>1.103930861568265</v>
      </c>
      <c r="K26">
        <v>1.122164979814525</v>
      </c>
    </row>
    <row r="27" spans="1:11" x14ac:dyDescent="0.2">
      <c r="A27" t="s">
        <v>296</v>
      </c>
      <c r="B27">
        <v>22310.176508</v>
      </c>
      <c r="C27">
        <v>11907.835349000001</v>
      </c>
      <c r="D27">
        <v>2052653.9829480001</v>
      </c>
      <c r="E27">
        <v>1287565.0416890001</v>
      </c>
      <c r="F27">
        <v>1.0868941718057299E-2</v>
      </c>
      <c r="G27">
        <v>9.2483369487723587E-3</v>
      </c>
      <c r="H27">
        <v>47.542610979142587</v>
      </c>
      <c r="I27">
        <v>52.285083654524577</v>
      </c>
      <c r="J27">
        <v>1.0059479277054251</v>
      </c>
      <c r="K27">
        <v>0.9585139857498034</v>
      </c>
    </row>
    <row r="28" spans="1:11" x14ac:dyDescent="0.2">
      <c r="A28" t="s">
        <v>297</v>
      </c>
      <c r="B28">
        <v>46123.345654999997</v>
      </c>
      <c r="C28">
        <v>23046.668846</v>
      </c>
      <c r="D28">
        <v>2060705.8972070001</v>
      </c>
      <c r="E28">
        <v>1247484.239485</v>
      </c>
      <c r="F28">
        <v>2.2382303907371628E-2</v>
      </c>
      <c r="G28">
        <v>1.8474517045212829E-2</v>
      </c>
      <c r="H28">
        <v>44.550700915805493</v>
      </c>
      <c r="I28">
        <v>47.422643011897812</v>
      </c>
      <c r="J28">
        <v>0.9871758725122356</v>
      </c>
      <c r="K28">
        <v>1.0147741726503949</v>
      </c>
    </row>
    <row r="29" spans="1:11" x14ac:dyDescent="0.2">
      <c r="A29" t="s">
        <v>298</v>
      </c>
      <c r="B29">
        <v>78204.035680000001</v>
      </c>
      <c r="C29">
        <v>36626.383794000001</v>
      </c>
      <c r="D29">
        <v>1856327.0672629999</v>
      </c>
      <c r="E29">
        <v>1120264.492106</v>
      </c>
      <c r="F29">
        <v>4.212837115783985E-2</v>
      </c>
      <c r="G29">
        <v>3.2694407483312787E-2</v>
      </c>
      <c r="H29">
        <v>43.594739828473003</v>
      </c>
      <c r="I29">
        <v>45.901363748248833</v>
      </c>
      <c r="J29">
        <v>0.90884647456650169</v>
      </c>
      <c r="K29">
        <v>0.95901643664766134</v>
      </c>
    </row>
    <row r="30" spans="1:11" x14ac:dyDescent="0.2">
      <c r="A30" t="s">
        <v>299</v>
      </c>
      <c r="B30">
        <v>60275.706328</v>
      </c>
      <c r="C30">
        <v>35485.870905000003</v>
      </c>
      <c r="D30">
        <v>1822391.8723309999</v>
      </c>
      <c r="E30">
        <v>1077097.5162820001</v>
      </c>
      <c r="F30">
        <v>3.3075052211960353E-2</v>
      </c>
      <c r="G30">
        <v>3.2945829294540187E-2</v>
      </c>
      <c r="H30">
        <v>47.655870575001217</v>
      </c>
      <c r="I30">
        <v>50.258720231460799</v>
      </c>
      <c r="J30">
        <v>0.87751805187154364</v>
      </c>
      <c r="K30">
        <v>0.91033887361171206</v>
      </c>
    </row>
    <row r="31" spans="1:11" x14ac:dyDescent="0.2">
      <c r="A31" t="s">
        <v>300</v>
      </c>
      <c r="B31">
        <v>85532.757465000002</v>
      </c>
      <c r="C31">
        <v>44409.075367999998</v>
      </c>
      <c r="D31">
        <v>1716089.599315</v>
      </c>
      <c r="E31">
        <v>998402.48292800004</v>
      </c>
      <c r="F31">
        <v>4.9841661821819518E-2</v>
      </c>
      <c r="G31">
        <v>4.4480133140056069E-2</v>
      </c>
      <c r="H31">
        <v>70.543547911111062</v>
      </c>
      <c r="I31">
        <v>69.469341653776226</v>
      </c>
      <c r="J31">
        <v>0.95691427953473174</v>
      </c>
      <c r="K31">
        <v>0.94404491874816343</v>
      </c>
    </row>
    <row r="32" spans="1:11" x14ac:dyDescent="0.2">
      <c r="A32" t="s">
        <v>301</v>
      </c>
      <c r="B32">
        <v>82389.244728000005</v>
      </c>
      <c r="C32">
        <v>37596.672481000001</v>
      </c>
      <c r="D32">
        <v>1696245.1430569999</v>
      </c>
      <c r="E32">
        <v>1014767.522248</v>
      </c>
      <c r="F32">
        <v>4.85715434854639E-2</v>
      </c>
      <c r="G32">
        <v>3.7049542537302173E-2</v>
      </c>
      <c r="H32">
        <v>78.568319747758608</v>
      </c>
      <c r="I32">
        <v>77.933111551394319</v>
      </c>
      <c r="J32">
        <v>0.98211323715969778</v>
      </c>
      <c r="K32">
        <v>0.95692856904650769</v>
      </c>
    </row>
    <row r="33" spans="1:11" x14ac:dyDescent="0.2">
      <c r="A33" t="s">
        <v>302</v>
      </c>
      <c r="B33">
        <v>67953.091637000005</v>
      </c>
      <c r="C33">
        <v>33109.572811999999</v>
      </c>
      <c r="D33">
        <v>1747901.911787</v>
      </c>
      <c r="E33">
        <v>1039293.523167</v>
      </c>
      <c r="F33">
        <v>3.8876947944708702E-2</v>
      </c>
      <c r="G33">
        <v>3.1857768834261987E-2</v>
      </c>
      <c r="H33">
        <v>81.983351136401794</v>
      </c>
      <c r="I33">
        <v>84.512747690257029</v>
      </c>
      <c r="J33">
        <v>0.99027147802450566</v>
      </c>
      <c r="K33">
        <v>1.001768528067071</v>
      </c>
    </row>
    <row r="34" spans="1:11" x14ac:dyDescent="0.2">
      <c r="A34" t="s">
        <v>303</v>
      </c>
      <c r="B34">
        <v>46072.909250999997</v>
      </c>
      <c r="C34">
        <v>23365.051619000002</v>
      </c>
      <c r="D34">
        <v>1776623.4305990001</v>
      </c>
      <c r="E34">
        <v>1043170.506637</v>
      </c>
      <c r="F34">
        <v>2.5932850179436289E-2</v>
      </c>
      <c r="G34">
        <v>2.23981137027396E-2</v>
      </c>
      <c r="H34">
        <v>116.20022495544841</v>
      </c>
      <c r="I34">
        <v>118.7457227855615</v>
      </c>
      <c r="J34">
        <v>0.92690440483613579</v>
      </c>
      <c r="K34">
        <v>0.95838336990944806</v>
      </c>
    </row>
    <row r="35" spans="1:11" x14ac:dyDescent="0.2">
      <c r="A35" t="s">
        <v>304</v>
      </c>
      <c r="B35">
        <v>34328.644788999998</v>
      </c>
      <c r="C35">
        <v>14703.421397</v>
      </c>
      <c r="D35">
        <v>1966119.999606</v>
      </c>
      <c r="E35">
        <v>1160192.200648</v>
      </c>
      <c r="F35">
        <v>1.7460096431489061E-2</v>
      </c>
      <c r="G35">
        <v>1.267326343754744E-2</v>
      </c>
      <c r="H35">
        <v>126.53039520323949</v>
      </c>
      <c r="I35">
        <v>122.3841235967906</v>
      </c>
      <c r="J35">
        <v>1.0810885074134391</v>
      </c>
      <c r="K35">
        <v>1.1445012658471321</v>
      </c>
    </row>
    <row r="36" spans="1:11" x14ac:dyDescent="0.2">
      <c r="A36" t="s">
        <v>305</v>
      </c>
      <c r="B36">
        <v>14343.278972</v>
      </c>
      <c r="C36">
        <v>4832.182922</v>
      </c>
      <c r="D36">
        <v>2040497.16432</v>
      </c>
      <c r="E36">
        <v>1204047.9644220001</v>
      </c>
      <c r="F36">
        <v>7.0293060058135041E-3</v>
      </c>
      <c r="G36">
        <v>4.0132810857910267E-3</v>
      </c>
      <c r="H36">
        <v>160.77058330102949</v>
      </c>
      <c r="I36">
        <v>153.62679427815749</v>
      </c>
      <c r="J36">
        <v>1.1338034085044659</v>
      </c>
      <c r="K36">
        <v>1.1264608571418011</v>
      </c>
    </row>
    <row r="37" spans="1:11" x14ac:dyDescent="0.2">
      <c r="A37" t="s">
        <v>306</v>
      </c>
      <c r="B37">
        <v>7133.1815820000002</v>
      </c>
      <c r="C37">
        <v>2510.9357920000002</v>
      </c>
      <c r="D37">
        <v>2199314.8227590001</v>
      </c>
      <c r="E37">
        <v>1377644.593439</v>
      </c>
      <c r="F37">
        <v>3.243365391886713E-3</v>
      </c>
      <c r="G37">
        <v>1.8226295838260991E-3</v>
      </c>
      <c r="H37">
        <v>228.8621705579358</v>
      </c>
      <c r="I37">
        <v>244.48727859764409</v>
      </c>
      <c r="J37">
        <v>1.2086769624549281</v>
      </c>
      <c r="K37">
        <v>1.279578427053047</v>
      </c>
    </row>
    <row r="38" spans="1:11" x14ac:dyDescent="0.2">
      <c r="A38" t="s">
        <v>307</v>
      </c>
      <c r="B38">
        <v>14552.070618</v>
      </c>
      <c r="C38">
        <v>6670.4370760000002</v>
      </c>
      <c r="D38">
        <v>2179982.4315419998</v>
      </c>
      <c r="E38">
        <v>1350412.0760669999</v>
      </c>
      <c r="F38">
        <v>6.6753155472480874E-3</v>
      </c>
      <c r="G38">
        <v>4.939556742877535E-3</v>
      </c>
      <c r="H38">
        <v>123.20125067917191</v>
      </c>
      <c r="I38">
        <v>129.67749023150819</v>
      </c>
      <c r="J38">
        <v>1.0441257304277269</v>
      </c>
      <c r="K38">
        <v>1.1617546523412821</v>
      </c>
    </row>
    <row r="39" spans="1:11" x14ac:dyDescent="0.2">
      <c r="A39" t="s">
        <v>308</v>
      </c>
      <c r="B39">
        <v>35326.670343999998</v>
      </c>
      <c r="C39">
        <v>16064.483173000001</v>
      </c>
      <c r="D39">
        <v>2030318.4412380001</v>
      </c>
      <c r="E39">
        <v>1212552.413472</v>
      </c>
      <c r="F39">
        <v>1.7399571233002901E-2</v>
      </c>
      <c r="G39">
        <v>1.3248485586698279E-2</v>
      </c>
      <c r="H39">
        <v>117.67077903546</v>
      </c>
      <c r="I39">
        <v>108.80333899256409</v>
      </c>
      <c r="J39">
        <v>1.04022281700981</v>
      </c>
      <c r="K39">
        <v>1.084871924613185</v>
      </c>
    </row>
    <row r="40" spans="1:11" x14ac:dyDescent="0.2">
      <c r="A40" t="s">
        <v>309</v>
      </c>
      <c r="B40">
        <v>124366.691162</v>
      </c>
      <c r="C40">
        <v>42239.699937999998</v>
      </c>
      <c r="D40">
        <v>2007369.0496159999</v>
      </c>
      <c r="E40">
        <v>1239088.5800749999</v>
      </c>
      <c r="F40">
        <v>6.1955070586442867E-2</v>
      </c>
      <c r="G40">
        <v>3.4089330349121053E-2</v>
      </c>
      <c r="H40">
        <v>191.50807173506701</v>
      </c>
      <c r="I40">
        <v>186.0504424586062</v>
      </c>
      <c r="J40">
        <v>0.81207759044207406</v>
      </c>
      <c r="K40">
        <v>0.81629582758371144</v>
      </c>
    </row>
    <row r="41" spans="1:11" x14ac:dyDescent="0.2">
      <c r="A41" t="s">
        <v>310</v>
      </c>
      <c r="B41">
        <v>154179.58117600001</v>
      </c>
      <c r="C41">
        <v>61056.924754</v>
      </c>
      <c r="D41">
        <v>1834585.2300140001</v>
      </c>
      <c r="E41">
        <v>1105013.9873649999</v>
      </c>
      <c r="F41">
        <v>8.404056603836467E-2</v>
      </c>
      <c r="G41">
        <v>5.5254436099578648E-2</v>
      </c>
      <c r="H41">
        <v>145.70138715926041</v>
      </c>
      <c r="I41">
        <v>143.53758886421849</v>
      </c>
      <c r="J41">
        <v>0.89039133384678326</v>
      </c>
      <c r="K41">
        <v>0.93918048773921026</v>
      </c>
    </row>
    <row r="42" spans="1:11" x14ac:dyDescent="0.2">
      <c r="A42" t="s">
        <v>311</v>
      </c>
      <c r="B42">
        <v>172893.43441700001</v>
      </c>
      <c r="C42">
        <v>69216.109461</v>
      </c>
      <c r="D42">
        <v>1784671.575256</v>
      </c>
      <c r="E42">
        <v>1051733.3835499999</v>
      </c>
      <c r="F42">
        <v>9.6876891420316108E-2</v>
      </c>
      <c r="G42">
        <v>6.5811459960859395E-2</v>
      </c>
      <c r="H42">
        <v>149.4185612445558</v>
      </c>
      <c r="I42">
        <v>146.25360234460331</v>
      </c>
      <c r="J42">
        <v>0.86943016050498578</v>
      </c>
      <c r="K42">
        <v>0.89914563143311954</v>
      </c>
    </row>
    <row r="43" spans="1:11" x14ac:dyDescent="0.2">
      <c r="A43" t="s">
        <v>312</v>
      </c>
      <c r="B43">
        <v>160616.71620900001</v>
      </c>
      <c r="C43">
        <v>65097.834289999999</v>
      </c>
      <c r="D43">
        <v>1691378.4579360001</v>
      </c>
      <c r="E43">
        <v>1008827.225736</v>
      </c>
      <c r="F43">
        <v>9.4962020744311482E-2</v>
      </c>
      <c r="G43">
        <v>6.4528229045867816E-2</v>
      </c>
      <c r="H43">
        <v>194.71103409481981</v>
      </c>
      <c r="I43">
        <v>192.2325905808319</v>
      </c>
      <c r="J43">
        <v>0.90803902012341908</v>
      </c>
      <c r="K43">
        <v>0.90151367457475784</v>
      </c>
    </row>
    <row r="44" spans="1:11" x14ac:dyDescent="0.2">
      <c r="A44" t="s">
        <v>313</v>
      </c>
      <c r="B44">
        <v>163505.582532</v>
      </c>
      <c r="C44">
        <v>65436.252589000003</v>
      </c>
      <c r="D44">
        <v>1641036.3109599999</v>
      </c>
      <c r="E44">
        <v>976284.48861799994</v>
      </c>
      <c r="F44">
        <v>9.963556652585577E-2</v>
      </c>
      <c r="G44">
        <v>6.7025803801952916E-2</v>
      </c>
      <c r="H44">
        <v>239.3981525107354</v>
      </c>
      <c r="I44">
        <v>212.3625858003895</v>
      </c>
      <c r="J44">
        <v>0.87041791592949547</v>
      </c>
      <c r="K44">
        <v>0.90956244496775596</v>
      </c>
    </row>
    <row r="45" spans="1:11" x14ac:dyDescent="0.2">
      <c r="A45" t="s">
        <v>314</v>
      </c>
      <c r="B45">
        <v>154636.197697</v>
      </c>
      <c r="C45">
        <v>63282.831494999999</v>
      </c>
      <c r="D45">
        <v>1725330.9281029999</v>
      </c>
      <c r="E45">
        <v>1032347.627135</v>
      </c>
      <c r="F45">
        <v>8.9626978325266782E-2</v>
      </c>
      <c r="G45">
        <v>6.1299924397195817E-2</v>
      </c>
      <c r="H45">
        <v>419.79263722660602</v>
      </c>
      <c r="I45">
        <v>397.17988485976059</v>
      </c>
      <c r="J45">
        <v>0.91908553046700026</v>
      </c>
      <c r="K45">
        <v>0.8830756108422062</v>
      </c>
    </row>
    <row r="46" spans="1:11" x14ac:dyDescent="0.2">
      <c r="A46" t="s">
        <v>315</v>
      </c>
      <c r="B46">
        <v>109474.908134</v>
      </c>
      <c r="C46">
        <v>45340.115011000002</v>
      </c>
      <c r="D46">
        <v>1657542.9503200001</v>
      </c>
      <c r="E46">
        <v>990298.82897999999</v>
      </c>
      <c r="F46">
        <v>6.6046498591704736E-2</v>
      </c>
      <c r="G46">
        <v>4.5784276103507021E-2</v>
      </c>
      <c r="H46">
        <v>310.70739927266709</v>
      </c>
      <c r="I46">
        <v>315.92884279677901</v>
      </c>
      <c r="J46">
        <v>0.90632901805683119</v>
      </c>
      <c r="K46">
        <v>0.96085369829588263</v>
      </c>
    </row>
    <row r="47" spans="1:11" x14ac:dyDescent="0.2">
      <c r="A47" t="s">
        <v>316</v>
      </c>
      <c r="B47">
        <v>66193.573262999998</v>
      </c>
      <c r="C47">
        <v>30871.409396999999</v>
      </c>
      <c r="D47">
        <v>1766602.8195470001</v>
      </c>
      <c r="E47">
        <v>1035638.542117</v>
      </c>
      <c r="F47">
        <v>3.7469414477654707E-2</v>
      </c>
      <c r="G47">
        <v>2.9809058027035401E-2</v>
      </c>
      <c r="H47">
        <v>125.6295598680838</v>
      </c>
      <c r="I47">
        <v>120.1190076327392</v>
      </c>
      <c r="J47">
        <v>0.91612325253961768</v>
      </c>
      <c r="K47">
        <v>0.87743541957368609</v>
      </c>
    </row>
    <row r="48" spans="1:11" x14ac:dyDescent="0.2">
      <c r="A48" t="s">
        <v>317</v>
      </c>
      <c r="B48">
        <v>20244.574879</v>
      </c>
      <c r="C48">
        <v>8808.3776269999998</v>
      </c>
      <c r="D48">
        <v>1933703.6041890001</v>
      </c>
      <c r="E48">
        <v>1119904.2545380001</v>
      </c>
      <c r="F48">
        <v>1.046932675470221E-2</v>
      </c>
      <c r="G48">
        <v>7.8652952619005494E-3</v>
      </c>
      <c r="H48">
        <v>131.7111886265582</v>
      </c>
      <c r="I48">
        <v>134.0399027878758</v>
      </c>
      <c r="J48">
        <v>0.94278612074660006</v>
      </c>
      <c r="K48">
        <v>0.92404474391789948</v>
      </c>
    </row>
    <row r="49" spans="1:11" x14ac:dyDescent="0.2">
      <c r="A49" t="s">
        <v>318</v>
      </c>
      <c r="B49">
        <v>12418.278815</v>
      </c>
      <c r="C49">
        <v>5832.8162389999998</v>
      </c>
      <c r="D49">
        <v>1993570.490158</v>
      </c>
      <c r="E49">
        <v>1286928.214441</v>
      </c>
      <c r="F49">
        <v>6.2291646451968653E-3</v>
      </c>
      <c r="G49">
        <v>4.5323555529735481E-3</v>
      </c>
      <c r="H49">
        <v>282.82379374207261</v>
      </c>
      <c r="I49">
        <v>303.26978481668573</v>
      </c>
      <c r="J49">
        <v>1.132810339248927</v>
      </c>
      <c r="K49">
        <v>1.2185280560697289</v>
      </c>
    </row>
    <row r="50" spans="1:11" x14ac:dyDescent="0.2">
      <c r="A50" t="s">
        <v>319</v>
      </c>
      <c r="B50">
        <v>26212.558556</v>
      </c>
      <c r="C50">
        <v>7533.9280129999997</v>
      </c>
      <c r="D50">
        <v>2103619.4271030002</v>
      </c>
      <c r="E50">
        <v>1285071.514345</v>
      </c>
      <c r="F50">
        <v>1.2460694276862919E-2</v>
      </c>
      <c r="G50">
        <v>5.8626527231366082E-3</v>
      </c>
      <c r="H50">
        <v>138.52998868426329</v>
      </c>
      <c r="I50">
        <v>120.8992864784306</v>
      </c>
      <c r="J50">
        <v>1.2309198691226539</v>
      </c>
      <c r="K50">
        <v>1.2118663236304299</v>
      </c>
    </row>
    <row r="51" spans="1:11" x14ac:dyDescent="0.2">
      <c r="A51" t="s">
        <v>320</v>
      </c>
      <c r="B51">
        <v>63219.463193000003</v>
      </c>
      <c r="C51">
        <v>21707.823542999999</v>
      </c>
      <c r="D51">
        <v>1839036.533325</v>
      </c>
      <c r="E51">
        <v>1149922.0168689999</v>
      </c>
      <c r="F51">
        <v>3.4376404191763639E-2</v>
      </c>
      <c r="G51">
        <v>1.8877648418373551E-2</v>
      </c>
      <c r="H51">
        <v>109.87697572135031</v>
      </c>
      <c r="I51">
        <v>103.112625406295</v>
      </c>
      <c r="J51">
        <v>0.93008781340266</v>
      </c>
      <c r="K51">
        <v>1.0244781228159621</v>
      </c>
    </row>
    <row r="52" spans="1:11" x14ac:dyDescent="0.2">
      <c r="A52" t="s">
        <v>321</v>
      </c>
      <c r="B52">
        <v>117926.20306499999</v>
      </c>
      <c r="C52">
        <v>45514.131199000003</v>
      </c>
      <c r="D52">
        <v>2088003.6239990001</v>
      </c>
      <c r="E52">
        <v>1226920.685605</v>
      </c>
      <c r="F52">
        <v>5.6477968577058592E-2</v>
      </c>
      <c r="G52">
        <v>3.7096229392005707E-2</v>
      </c>
      <c r="H52">
        <v>93.774190940695377</v>
      </c>
      <c r="I52">
        <v>89.098468921641697</v>
      </c>
      <c r="J52">
        <v>0.94612539759598957</v>
      </c>
      <c r="K52">
        <v>0.99223631219701203</v>
      </c>
    </row>
    <row r="53" spans="1:11" x14ac:dyDescent="0.2">
      <c r="A53" t="s">
        <v>322</v>
      </c>
      <c r="B53">
        <v>268693.94662100001</v>
      </c>
      <c r="C53">
        <v>84896.828643000001</v>
      </c>
      <c r="D53">
        <v>1780058.0901830001</v>
      </c>
      <c r="E53">
        <v>1057641.2678090001</v>
      </c>
      <c r="F53">
        <v>0.1509467292684683</v>
      </c>
      <c r="G53">
        <v>8.0269966033824955E-2</v>
      </c>
      <c r="H53">
        <v>76.25042822265543</v>
      </c>
      <c r="I53">
        <v>71.125099705594195</v>
      </c>
      <c r="J53">
        <v>0.79203966120386338</v>
      </c>
      <c r="K53">
        <v>0.85025873478203906</v>
      </c>
    </row>
    <row r="54" spans="1:11" x14ac:dyDescent="0.2">
      <c r="A54" t="s">
        <v>323</v>
      </c>
      <c r="B54">
        <v>333078.20752900001</v>
      </c>
      <c r="C54">
        <v>109787.438132</v>
      </c>
      <c r="D54">
        <v>1790710.9201160001</v>
      </c>
      <c r="E54">
        <v>1016520.156023</v>
      </c>
      <c r="F54">
        <v>0.18600333743842001</v>
      </c>
      <c r="G54">
        <v>0.1080032082802261</v>
      </c>
      <c r="H54">
        <v>50.543487760082613</v>
      </c>
      <c r="I54">
        <v>48.358083796456327</v>
      </c>
      <c r="J54">
        <v>0.68333610561519953</v>
      </c>
      <c r="K54">
        <v>0.73101748270540212</v>
      </c>
    </row>
    <row r="55" spans="1:11" x14ac:dyDescent="0.2">
      <c r="A55" t="s">
        <v>324</v>
      </c>
      <c r="B55">
        <v>372965.39012699999</v>
      </c>
      <c r="C55">
        <v>112587.88752</v>
      </c>
      <c r="D55">
        <v>1703616.0070410001</v>
      </c>
      <c r="E55">
        <v>983949.42033899995</v>
      </c>
      <c r="F55">
        <v>0.21892573712946101</v>
      </c>
      <c r="G55">
        <v>0.1144244665352921</v>
      </c>
      <c r="H55">
        <v>74.888982776218057</v>
      </c>
      <c r="I55">
        <v>71.862090372222397</v>
      </c>
      <c r="J55">
        <v>0.80965062086215667</v>
      </c>
      <c r="K55">
        <v>0.78603819917365525</v>
      </c>
    </row>
    <row r="56" spans="1:11" x14ac:dyDescent="0.2">
      <c r="A56" t="s">
        <v>325</v>
      </c>
      <c r="B56">
        <v>298235.86586999998</v>
      </c>
      <c r="C56">
        <v>99656.298861999996</v>
      </c>
      <c r="D56">
        <v>1575506.415176</v>
      </c>
      <c r="E56">
        <v>976728.13025199994</v>
      </c>
      <c r="F56">
        <v>0.18929524056345021</v>
      </c>
      <c r="G56">
        <v>0.10203074507159759</v>
      </c>
      <c r="H56">
        <v>52.095599438463452</v>
      </c>
      <c r="I56">
        <v>50.345966617092351</v>
      </c>
      <c r="J56">
        <v>0.80380421953260928</v>
      </c>
      <c r="K56">
        <v>0.77170348712471282</v>
      </c>
    </row>
    <row r="57" spans="1:11" x14ac:dyDescent="0.2">
      <c r="A57" t="s">
        <v>326</v>
      </c>
      <c r="B57">
        <v>255907.46777300001</v>
      </c>
      <c r="C57">
        <v>82116.365210000004</v>
      </c>
      <c r="D57">
        <v>1713706.648578</v>
      </c>
      <c r="E57">
        <v>1053705.8951040001</v>
      </c>
      <c r="F57">
        <v>0.1493297980639493</v>
      </c>
      <c r="G57">
        <v>7.7931010532967707E-2</v>
      </c>
      <c r="H57">
        <v>74.180426039978187</v>
      </c>
      <c r="I57">
        <v>72.957992347987414</v>
      </c>
      <c r="J57">
        <v>0.86289309777204071</v>
      </c>
      <c r="K57">
        <v>0.84546104105698361</v>
      </c>
    </row>
    <row r="58" spans="1:11" x14ac:dyDescent="0.2">
      <c r="A58" t="s">
        <v>327</v>
      </c>
      <c r="B58">
        <v>227433.95988000001</v>
      </c>
      <c r="C58">
        <v>81915.823344000004</v>
      </c>
      <c r="D58">
        <v>1724074.5793939999</v>
      </c>
      <c r="E58">
        <v>1012431.9523989999</v>
      </c>
      <c r="F58">
        <v>0.13191654386548721</v>
      </c>
      <c r="G58">
        <v>8.0909954639318743E-2</v>
      </c>
      <c r="H58">
        <v>68.116869623396937</v>
      </c>
      <c r="I58">
        <v>64.394484672464898</v>
      </c>
      <c r="J58">
        <v>0.8038389922187259</v>
      </c>
      <c r="K58">
        <v>0.75329173308453345</v>
      </c>
    </row>
    <row r="59" spans="1:11" x14ac:dyDescent="0.2">
      <c r="A59" t="s">
        <v>328</v>
      </c>
      <c r="B59">
        <v>88607.899353000001</v>
      </c>
      <c r="C59">
        <v>33631.158506</v>
      </c>
      <c r="D59">
        <v>2067144.1517159999</v>
      </c>
      <c r="E59">
        <v>1152844.0384780001</v>
      </c>
      <c r="F59">
        <v>4.2864886456730103E-2</v>
      </c>
      <c r="G59">
        <v>2.9172340215594381E-2</v>
      </c>
      <c r="H59">
        <v>50.539090519702853</v>
      </c>
      <c r="I59">
        <v>47.660255094286853</v>
      </c>
      <c r="J59">
        <v>0.84083605560542263</v>
      </c>
      <c r="K59">
        <v>0.83723449033464103</v>
      </c>
    </row>
    <row r="60" spans="1:11" x14ac:dyDescent="0.2">
      <c r="A60" t="s">
        <v>329</v>
      </c>
      <c r="B60">
        <v>33922.773104</v>
      </c>
      <c r="C60">
        <v>13389.709825</v>
      </c>
      <c r="D60">
        <v>2119710.4885410001</v>
      </c>
      <c r="E60">
        <v>1286251.5050359999</v>
      </c>
      <c r="F60">
        <v>1.6003493537152379E-2</v>
      </c>
      <c r="G60">
        <v>1.04098691216888E-2</v>
      </c>
      <c r="H60">
        <v>90.680805562425178</v>
      </c>
      <c r="I60">
        <v>84.639978605265995</v>
      </c>
      <c r="J60">
        <v>1.028656893611996</v>
      </c>
      <c r="K60">
        <v>1.038705241708771</v>
      </c>
    </row>
    <row r="61" spans="1:11" x14ac:dyDescent="0.2">
      <c r="A61" t="s">
        <v>330</v>
      </c>
      <c r="B61">
        <v>14877.983984</v>
      </c>
      <c r="C61">
        <v>5178.3888909999996</v>
      </c>
      <c r="D61">
        <v>2328139.1292249998</v>
      </c>
      <c r="E61">
        <v>1359503.2508360001</v>
      </c>
      <c r="F61">
        <v>6.3905046726965339E-3</v>
      </c>
      <c r="G61">
        <v>3.809030164374855E-3</v>
      </c>
      <c r="H61">
        <v>63.455327688788032</v>
      </c>
      <c r="I61">
        <v>59.061746333079718</v>
      </c>
      <c r="J61">
        <v>0.91325607762876626</v>
      </c>
      <c r="K61">
        <v>0.83326707575628478</v>
      </c>
    </row>
    <row r="62" spans="1:11" x14ac:dyDescent="0.2">
      <c r="A62" t="s">
        <v>331</v>
      </c>
      <c r="B62">
        <v>31731.322358000001</v>
      </c>
      <c r="C62">
        <v>9085.4057589999993</v>
      </c>
      <c r="D62">
        <v>2364975.952358</v>
      </c>
      <c r="E62">
        <v>1470562.7288289999</v>
      </c>
      <c r="F62">
        <v>1.3417186050607519E-2</v>
      </c>
      <c r="G62">
        <v>6.1781830729755079E-3</v>
      </c>
      <c r="H62">
        <v>78.571316441678306</v>
      </c>
      <c r="I62">
        <v>76.427202535219209</v>
      </c>
      <c r="J62">
        <v>1.051614630458469</v>
      </c>
      <c r="K62">
        <v>0.97714487510792902</v>
      </c>
    </row>
    <row r="63" spans="1:11" x14ac:dyDescent="0.2">
      <c r="A63" t="s">
        <v>332</v>
      </c>
      <c r="B63">
        <v>55803.681248000001</v>
      </c>
      <c r="C63">
        <v>20855.446145000002</v>
      </c>
      <c r="D63">
        <v>2110879.435358</v>
      </c>
      <c r="E63">
        <v>1250902.937618</v>
      </c>
      <c r="F63">
        <v>2.6436223837926501E-2</v>
      </c>
      <c r="G63">
        <v>1.667231366864759E-2</v>
      </c>
      <c r="H63">
        <v>59.479486768055089</v>
      </c>
      <c r="I63">
        <v>51.434379196547752</v>
      </c>
      <c r="J63">
        <v>1.0144208291794441</v>
      </c>
      <c r="K63">
        <v>0.93991726033346112</v>
      </c>
    </row>
    <row r="64" spans="1:11" x14ac:dyDescent="0.2">
      <c r="A64" t="s">
        <v>333</v>
      </c>
      <c r="B64">
        <v>138779.09078900001</v>
      </c>
      <c r="C64">
        <v>51238.889884999997</v>
      </c>
      <c r="D64">
        <v>2095285.601396</v>
      </c>
      <c r="E64">
        <v>1246299.9832019999</v>
      </c>
      <c r="F64">
        <v>6.6233973400350477E-2</v>
      </c>
      <c r="G64">
        <v>4.1112806367337662E-2</v>
      </c>
      <c r="H64">
        <v>51.269783241554933</v>
      </c>
      <c r="I64">
        <v>50.751163813053438</v>
      </c>
      <c r="J64">
        <v>0.8373818542217274</v>
      </c>
      <c r="K64">
        <v>0.8314293202728863</v>
      </c>
    </row>
    <row r="65" spans="1:11" x14ac:dyDescent="0.2">
      <c r="A65" t="s">
        <v>334</v>
      </c>
      <c r="B65">
        <v>219419.47162600001</v>
      </c>
      <c r="C65">
        <v>75205.280536000006</v>
      </c>
      <c r="D65">
        <v>2023847.7008720001</v>
      </c>
      <c r="E65">
        <v>1154812.326779</v>
      </c>
      <c r="F65">
        <v>0.1084169878649764</v>
      </c>
      <c r="G65">
        <v>6.5123378744806448E-2</v>
      </c>
      <c r="H65">
        <v>49.383940562011212</v>
      </c>
      <c r="I65">
        <v>47.053967904827999</v>
      </c>
      <c r="J65">
        <v>0.83468460161643787</v>
      </c>
      <c r="K65">
        <v>0.77805107456374178</v>
      </c>
    </row>
    <row r="66" spans="1:11" x14ac:dyDescent="0.2">
      <c r="A66" t="s">
        <v>335</v>
      </c>
      <c r="B66">
        <v>349668.93871199997</v>
      </c>
      <c r="C66">
        <v>115253.283773</v>
      </c>
      <c r="D66">
        <v>1851370.5339939999</v>
      </c>
      <c r="E66">
        <v>1084070.1088950001</v>
      </c>
      <c r="F66">
        <v>0.18887031649880051</v>
      </c>
      <c r="G66">
        <v>0.106315341440858</v>
      </c>
      <c r="H66">
        <v>35.894148271408874</v>
      </c>
      <c r="I66">
        <v>34.295794113692892</v>
      </c>
      <c r="J66">
        <v>0.61339845366508694</v>
      </c>
      <c r="K66">
        <v>0.59005563427075769</v>
      </c>
    </row>
    <row r="67" spans="1:11" x14ac:dyDescent="0.2">
      <c r="A67" t="s">
        <v>336</v>
      </c>
      <c r="B67">
        <v>309389.93900499999</v>
      </c>
      <c r="C67">
        <v>111949.231057</v>
      </c>
      <c r="D67">
        <v>1803780.4628389999</v>
      </c>
      <c r="E67">
        <v>1043592.771911</v>
      </c>
      <c r="F67">
        <v>0.1715230569234828</v>
      </c>
      <c r="G67">
        <v>0.1072729076610999</v>
      </c>
      <c r="H67">
        <v>47.037633727397647</v>
      </c>
      <c r="I67">
        <v>46.379384034583367</v>
      </c>
      <c r="J67">
        <v>0.73781003223868646</v>
      </c>
      <c r="K67">
        <v>0.69439585691141426</v>
      </c>
    </row>
    <row r="68" spans="1:11" x14ac:dyDescent="0.2">
      <c r="A68" t="s">
        <v>337</v>
      </c>
      <c r="B68">
        <v>309397.11220600002</v>
      </c>
      <c r="C68">
        <v>108440.6407</v>
      </c>
      <c r="D68">
        <v>1710262.5708290001</v>
      </c>
      <c r="E68">
        <v>1025014.373407</v>
      </c>
      <c r="F68">
        <v>0.1809062055635286</v>
      </c>
      <c r="G68">
        <v>0.1057942634887733</v>
      </c>
      <c r="H68">
        <v>42.521773223099522</v>
      </c>
      <c r="I68">
        <v>38.812821969471173</v>
      </c>
      <c r="J68">
        <v>0.68549949487061801</v>
      </c>
      <c r="K68">
        <v>0.61762838453946423</v>
      </c>
    </row>
    <row r="69" spans="1:11" x14ac:dyDescent="0.2">
      <c r="A69" t="s">
        <v>338</v>
      </c>
      <c r="B69">
        <v>282770.61750699999</v>
      </c>
      <c r="C69">
        <v>102375.74457</v>
      </c>
      <c r="D69">
        <v>1822897.282346</v>
      </c>
      <c r="E69">
        <v>1092697.568065</v>
      </c>
      <c r="F69">
        <v>0.15512153111725799</v>
      </c>
      <c r="G69">
        <v>9.3690832268705199E-2</v>
      </c>
      <c r="H69">
        <v>52.17121747504909</v>
      </c>
      <c r="I69">
        <v>47.151863118292532</v>
      </c>
      <c r="J69">
        <v>0.71512676219349525</v>
      </c>
      <c r="K69">
        <v>0.64934714792296455</v>
      </c>
    </row>
    <row r="70" spans="1:11" x14ac:dyDescent="0.2">
      <c r="A70" t="s">
        <v>339</v>
      </c>
      <c r="B70">
        <v>233870.254059</v>
      </c>
      <c r="C70">
        <v>77480.499700999993</v>
      </c>
      <c r="D70">
        <v>1833460.813231</v>
      </c>
      <c r="E70">
        <v>1069239.237093</v>
      </c>
      <c r="F70">
        <v>0.1275567235314205</v>
      </c>
      <c r="G70">
        <v>7.2463202820400169E-2</v>
      </c>
      <c r="H70">
        <v>45.647504626217007</v>
      </c>
      <c r="I70">
        <v>43.355946350842189</v>
      </c>
      <c r="J70">
        <v>0.63652522303957304</v>
      </c>
      <c r="K70">
        <v>0.61574801135475132</v>
      </c>
    </row>
    <row r="71" spans="1:11" x14ac:dyDescent="0.2">
      <c r="A71" t="s">
        <v>340</v>
      </c>
      <c r="B71">
        <v>129355.061464</v>
      </c>
      <c r="C71">
        <v>43302.346201</v>
      </c>
      <c r="D71">
        <v>2057377.2797890001</v>
      </c>
      <c r="E71">
        <v>1198009.186211</v>
      </c>
      <c r="F71">
        <v>6.2873767847415107E-2</v>
      </c>
      <c r="G71">
        <v>3.6145253892379881E-2</v>
      </c>
      <c r="H71">
        <v>58.441583787091993</v>
      </c>
      <c r="I71">
        <v>59.534937630286556</v>
      </c>
      <c r="J71">
        <v>0.76175188075929667</v>
      </c>
      <c r="K71">
        <v>0.78000735067931948</v>
      </c>
    </row>
    <row r="72" spans="1:11" x14ac:dyDescent="0.2">
      <c r="A72" t="s">
        <v>341</v>
      </c>
      <c r="B72">
        <v>38733.976426000001</v>
      </c>
      <c r="C72">
        <v>10987.964833</v>
      </c>
      <c r="D72">
        <v>2174963.0458749998</v>
      </c>
      <c r="E72">
        <v>1277248.331705</v>
      </c>
      <c r="F72">
        <v>1.780902737610289E-2</v>
      </c>
      <c r="G72">
        <v>8.6028414054236078E-3</v>
      </c>
      <c r="H72">
        <v>97.582352616331917</v>
      </c>
      <c r="I72">
        <v>89.611277477917284</v>
      </c>
      <c r="J72">
        <v>1.0174940038611719</v>
      </c>
      <c r="K72">
        <v>0.94047799551015088</v>
      </c>
    </row>
    <row r="73" spans="1:11" x14ac:dyDescent="0.2">
      <c r="A73" t="s">
        <v>342</v>
      </c>
      <c r="B73">
        <v>15568.468532000001</v>
      </c>
      <c r="C73">
        <v>5684.869506</v>
      </c>
      <c r="D73">
        <v>2294272.4676350001</v>
      </c>
      <c r="E73">
        <v>1362798.1495340001</v>
      </c>
      <c r="F73">
        <v>6.7857975683456679E-3</v>
      </c>
      <c r="G73">
        <v>4.1714684657767577E-3</v>
      </c>
      <c r="H73">
        <v>92.073217693833982</v>
      </c>
      <c r="I73">
        <v>100.7961313991171</v>
      </c>
      <c r="J73">
        <v>1.0025674160411211</v>
      </c>
      <c r="K73">
        <v>1.0870067185479459</v>
      </c>
    </row>
    <row r="74" spans="1:11" x14ac:dyDescent="0.2">
      <c r="A74" t="s">
        <v>343</v>
      </c>
      <c r="B74">
        <v>33208.839205999997</v>
      </c>
      <c r="C74">
        <v>10531.488373</v>
      </c>
      <c r="D74">
        <v>2431002.2238989999</v>
      </c>
      <c r="E74">
        <v>1458000.573574</v>
      </c>
      <c r="F74">
        <v>1.366055484422285E-2</v>
      </c>
      <c r="G74">
        <v>7.223240212576967E-3</v>
      </c>
      <c r="H74">
        <v>111.1945655985155</v>
      </c>
      <c r="I74">
        <v>115.0822593270056</v>
      </c>
      <c r="J74">
        <v>1.135032584901597</v>
      </c>
      <c r="K74">
        <v>1.1494003648079021</v>
      </c>
    </row>
    <row r="75" spans="1:11" x14ac:dyDescent="0.2">
      <c r="A75" t="s">
        <v>344</v>
      </c>
      <c r="B75">
        <v>93605.692504999999</v>
      </c>
      <c r="C75">
        <v>26634.512460999998</v>
      </c>
      <c r="D75">
        <v>2155822.9624049999</v>
      </c>
      <c r="E75">
        <v>1324552.4176620001</v>
      </c>
      <c r="F75">
        <v>4.3419934817177687E-2</v>
      </c>
      <c r="G75">
        <v>2.010831138567791E-2</v>
      </c>
      <c r="H75">
        <v>105.41315973788279</v>
      </c>
      <c r="I75">
        <v>106.92318207316821</v>
      </c>
      <c r="J75">
        <v>0.93411665141872979</v>
      </c>
      <c r="K75">
        <v>0.90662384271333907</v>
      </c>
    </row>
    <row r="76" spans="1:11" x14ac:dyDescent="0.2">
      <c r="A76" t="s">
        <v>345</v>
      </c>
      <c r="B76">
        <v>252559.977828</v>
      </c>
      <c r="C76">
        <v>62220.747729000002</v>
      </c>
      <c r="D76">
        <v>2253602.2727640001</v>
      </c>
      <c r="E76">
        <v>1336704.6113539999</v>
      </c>
      <c r="F76">
        <v>0.1120694547038418</v>
      </c>
      <c r="G76">
        <v>4.6547866447452589E-2</v>
      </c>
      <c r="H76">
        <v>57.84566339627056</v>
      </c>
      <c r="I76">
        <v>50.018062961268747</v>
      </c>
      <c r="J76">
        <v>0.68579081688022481</v>
      </c>
      <c r="K76">
        <v>0.60374116471580297</v>
      </c>
    </row>
    <row r="77" spans="1:11" x14ac:dyDescent="0.2">
      <c r="A77" t="s">
        <v>346</v>
      </c>
      <c r="B77">
        <v>293601.89833200001</v>
      </c>
      <c r="C77">
        <v>82792.814347000007</v>
      </c>
      <c r="D77">
        <v>1980110.827234</v>
      </c>
      <c r="E77">
        <v>1154876.0525249999</v>
      </c>
      <c r="F77">
        <v>0.14827548756052711</v>
      </c>
      <c r="G77">
        <v>7.1689783649061992E-2</v>
      </c>
      <c r="H77">
        <v>45.844395770687349</v>
      </c>
      <c r="I77">
        <v>41.82584156307518</v>
      </c>
      <c r="J77">
        <v>0.60995353561832499</v>
      </c>
      <c r="K77">
        <v>0.55174367988103734</v>
      </c>
    </row>
    <row r="78" spans="1:11" x14ac:dyDescent="0.2">
      <c r="A78" t="s">
        <v>347</v>
      </c>
      <c r="B78">
        <v>397509.24360300001</v>
      </c>
      <c r="C78">
        <v>113057.598037</v>
      </c>
      <c r="D78">
        <v>2065576.663217</v>
      </c>
      <c r="E78">
        <v>1193671.9612179999</v>
      </c>
      <c r="F78">
        <v>0.19244468175967161</v>
      </c>
      <c r="G78">
        <v>9.4714127256233946E-2</v>
      </c>
      <c r="H78">
        <v>40.065667394009381</v>
      </c>
      <c r="I78">
        <v>34.320660344591218</v>
      </c>
      <c r="J78">
        <v>0.62375117423189408</v>
      </c>
      <c r="K78">
        <v>0.54405946330729504</v>
      </c>
    </row>
    <row r="79" spans="1:11" x14ac:dyDescent="0.2">
      <c r="A79" t="s">
        <v>348</v>
      </c>
      <c r="B79">
        <v>359402.57468999998</v>
      </c>
      <c r="C79">
        <v>111060.812454</v>
      </c>
      <c r="D79">
        <v>1913259.7380919999</v>
      </c>
      <c r="E79">
        <v>1112541.1646410001</v>
      </c>
      <c r="F79">
        <v>0.18784829238523279</v>
      </c>
      <c r="G79">
        <v>9.9826250015510765E-2</v>
      </c>
      <c r="H79">
        <v>33.493381965196598</v>
      </c>
      <c r="I79">
        <v>24.31568572006325</v>
      </c>
      <c r="J79">
        <v>0.56976432128633303</v>
      </c>
      <c r="K79">
        <v>0.4307606652121766</v>
      </c>
    </row>
    <row r="80" spans="1:11" x14ac:dyDescent="0.2">
      <c r="A80" t="s">
        <v>349</v>
      </c>
      <c r="B80">
        <v>396316.68423100002</v>
      </c>
      <c r="C80">
        <v>101510.030788</v>
      </c>
      <c r="D80">
        <v>1815618.7257970001</v>
      </c>
      <c r="E80">
        <v>1079935.0806740001</v>
      </c>
      <c r="F80">
        <v>0.21828188848241209</v>
      </c>
      <c r="G80">
        <v>9.3996419418699143E-2</v>
      </c>
      <c r="H80">
        <v>61.32224821093979</v>
      </c>
      <c r="I80">
        <v>59.766943882147693</v>
      </c>
      <c r="J80">
        <v>0.74058967108380014</v>
      </c>
      <c r="K80">
        <v>0.74746341861966192</v>
      </c>
    </row>
    <row r="81" spans="1:11" x14ac:dyDescent="0.2">
      <c r="A81" t="s">
        <v>350</v>
      </c>
      <c r="B81">
        <v>372338.38864800002</v>
      </c>
      <c r="C81">
        <v>120273.215363</v>
      </c>
      <c r="D81">
        <v>1958471.3715900001</v>
      </c>
      <c r="E81">
        <v>1137466.4673560001</v>
      </c>
      <c r="F81">
        <v>0.19011684012808119</v>
      </c>
      <c r="G81">
        <v>0.1057378118957395</v>
      </c>
      <c r="H81">
        <v>47.755824567457559</v>
      </c>
      <c r="I81">
        <v>43.064604783544858</v>
      </c>
      <c r="J81">
        <v>0.64997112344594554</v>
      </c>
      <c r="K81">
        <v>0.57178942343359873</v>
      </c>
    </row>
    <row r="82" spans="1:11" x14ac:dyDescent="0.2">
      <c r="A82" t="s">
        <v>351</v>
      </c>
      <c r="B82">
        <v>276773.47758100001</v>
      </c>
      <c r="C82">
        <v>103716.79363</v>
      </c>
      <c r="D82">
        <v>2003260.1195110001</v>
      </c>
      <c r="E82">
        <v>1144412.178422</v>
      </c>
      <c r="F82">
        <v>0.13816152724517919</v>
      </c>
      <c r="G82">
        <v>9.0628879686523764E-2</v>
      </c>
      <c r="H82">
        <v>49.429094996057238</v>
      </c>
      <c r="I82">
        <v>52.949405153808357</v>
      </c>
      <c r="J82">
        <v>0.68273474898658593</v>
      </c>
      <c r="K82">
        <v>0.63573160083367797</v>
      </c>
    </row>
    <row r="83" spans="1:11" x14ac:dyDescent="0.2">
      <c r="A83" t="s">
        <v>352</v>
      </c>
      <c r="B83">
        <v>154017.70286700001</v>
      </c>
      <c r="C83">
        <v>50955.896822000002</v>
      </c>
      <c r="D83">
        <v>2217292.1164270001</v>
      </c>
      <c r="E83">
        <v>1287638.9203069999</v>
      </c>
      <c r="F83">
        <v>6.9462071202051626E-2</v>
      </c>
      <c r="G83">
        <v>3.9573125678626628E-2</v>
      </c>
      <c r="H83">
        <v>74.266634537895257</v>
      </c>
      <c r="I83">
        <v>78.645730322406678</v>
      </c>
      <c r="J83">
        <v>0.94701517193480578</v>
      </c>
      <c r="K83">
        <v>0.95480840081563045</v>
      </c>
    </row>
    <row r="84" spans="1:11" x14ac:dyDescent="0.2">
      <c r="A84" t="s">
        <v>353</v>
      </c>
      <c r="B84">
        <v>60851.909854999998</v>
      </c>
      <c r="C84">
        <v>20061.266565999998</v>
      </c>
      <c r="D84">
        <v>2287238.3970059999</v>
      </c>
      <c r="E84">
        <v>1379383.8275669999</v>
      </c>
      <c r="F84">
        <v>2.6604970402147529E-2</v>
      </c>
      <c r="G84">
        <v>1.454364344794783E-2</v>
      </c>
      <c r="H84">
        <v>95.564531802521344</v>
      </c>
      <c r="I84">
        <v>92.690454871532665</v>
      </c>
      <c r="J84">
        <v>1.0289764309560969</v>
      </c>
      <c r="K84">
        <v>0.98927251294969987</v>
      </c>
    </row>
    <row r="85" spans="1:11" x14ac:dyDescent="0.2">
      <c r="A85" t="s">
        <v>354</v>
      </c>
      <c r="B85">
        <v>32931.052192000003</v>
      </c>
      <c r="C85">
        <v>13184.950536</v>
      </c>
      <c r="D85">
        <v>2347966.7428660002</v>
      </c>
      <c r="E85">
        <v>1453769.599872</v>
      </c>
      <c r="F85">
        <v>1.40253486520015E-2</v>
      </c>
      <c r="G85">
        <v>9.0694911608833299E-3</v>
      </c>
      <c r="H85">
        <v>80.958034242780258</v>
      </c>
      <c r="I85">
        <v>79.631228022083661</v>
      </c>
      <c r="J85">
        <v>0.98205388617926037</v>
      </c>
      <c r="K85">
        <v>0.97014796253594149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45"/>
  <sheetViews>
    <sheetView showGridLines="0" workbookViewId="0">
      <selection activeCell="D6" sqref="D6"/>
    </sheetView>
  </sheetViews>
  <sheetFormatPr baseColWidth="10" defaultRowHeight="16" x14ac:dyDescent="0.2"/>
  <cols>
    <col min="1" max="1" width="2.83203125" style="37" customWidth="1"/>
    <col min="2" max="2" width="27.83203125" style="37" bestFit="1" customWidth="1"/>
    <col min="3" max="3" width="20.1640625" style="37" bestFit="1" customWidth="1"/>
    <col min="4" max="4" width="22.1640625" style="37" bestFit="1" customWidth="1"/>
    <col min="5" max="5" width="10.83203125" style="37" customWidth="1"/>
    <col min="6" max="6" width="15.5" style="37" bestFit="1" customWidth="1"/>
    <col min="7" max="7" width="2.83203125" style="37" customWidth="1"/>
    <col min="8" max="16" width="10.83203125" style="37" customWidth="1"/>
    <col min="17" max="16384" width="10.83203125" style="37"/>
  </cols>
  <sheetData>
    <row r="1" spans="1:11" s="36" customFormat="1" x14ac:dyDescent="0.2">
      <c r="A1" t="s">
        <v>365</v>
      </c>
      <c r="G1" t="s">
        <v>366</v>
      </c>
      <c r="H1" t="s">
        <v>367</v>
      </c>
      <c r="I1" t="s">
        <v>368</v>
      </c>
      <c r="J1" t="s">
        <v>369</v>
      </c>
      <c r="K1" t="s">
        <v>370</v>
      </c>
    </row>
    <row r="2" spans="1:11" s="36" customFormat="1" ht="45" customHeight="1" x14ac:dyDescent="0.2">
      <c r="A2" t="s">
        <v>371</v>
      </c>
      <c r="B2" t="s">
        <v>372</v>
      </c>
      <c r="C2" t="s">
        <v>373</v>
      </c>
      <c r="D2" t="s">
        <v>374</v>
      </c>
      <c r="E2" t="s">
        <v>375</v>
      </c>
      <c r="G2">
        <v>0</v>
      </c>
      <c r="H2">
        <v>-2.7048999999999999</v>
      </c>
      <c r="I2">
        <v>-2.7732000000000001</v>
      </c>
      <c r="J2">
        <v>-3.4350000000000001</v>
      </c>
      <c r="K2">
        <v>-2.89</v>
      </c>
    </row>
    <row r="3" spans="1:11" x14ac:dyDescent="0.2">
      <c r="A3" t="s">
        <v>376</v>
      </c>
      <c r="B3">
        <v>-2.7048999999999999</v>
      </c>
      <c r="C3">
        <v>-2.5651000000000002</v>
      </c>
      <c r="D3">
        <v>-1.782</v>
      </c>
      <c r="E3" t="s">
        <v>377</v>
      </c>
      <c r="G3">
        <v>1</v>
      </c>
      <c r="H3">
        <v>-2.5651000000000002</v>
      </c>
      <c r="I3">
        <v>-2.3519000000000001</v>
      </c>
      <c r="J3">
        <v>-3.4777</v>
      </c>
      <c r="K3">
        <v>-2.89</v>
      </c>
    </row>
    <row r="4" spans="1:11" ht="16" customHeight="1" x14ac:dyDescent="0.2">
      <c r="A4" t="s">
        <v>378</v>
      </c>
      <c r="B4">
        <v>-2.7732000000000001</v>
      </c>
      <c r="C4">
        <v>-2.3519000000000001</v>
      </c>
      <c r="D4">
        <v>-1.8494999999999999</v>
      </c>
      <c r="E4" t="s">
        <v>379</v>
      </c>
      <c r="G4">
        <v>2</v>
      </c>
      <c r="H4">
        <v>-1.782</v>
      </c>
      <c r="I4">
        <v>-1.8494999999999999</v>
      </c>
      <c r="J4">
        <v>-2.6638999999999999</v>
      </c>
      <c r="K4">
        <v>-2.89</v>
      </c>
    </row>
    <row r="5" spans="1:11" s="38" customFormat="1" ht="16" customHeight="1" x14ac:dyDescent="0.2">
      <c r="A5" t="s">
        <v>380</v>
      </c>
      <c r="B5">
        <v>-3.4350000000000001</v>
      </c>
      <c r="C5">
        <v>-3.4777</v>
      </c>
      <c r="D5">
        <v>-2.6638999999999999</v>
      </c>
      <c r="E5" t="s">
        <v>381</v>
      </c>
      <c r="G5">
        <v>3</v>
      </c>
      <c r="H5">
        <v>-1.6911</v>
      </c>
      <c r="I5">
        <v>-1.8987000000000001</v>
      </c>
      <c r="J5">
        <v>-3.0968</v>
      </c>
      <c r="K5">
        <v>-2.89</v>
      </c>
    </row>
    <row r="6" spans="1:11" s="38" customFormat="1" x14ac:dyDescent="0.2">
      <c r="A6" t="s">
        <v>382</v>
      </c>
      <c r="B6">
        <v>-3.1475</v>
      </c>
      <c r="C6">
        <v>-2.5148000000000001</v>
      </c>
      <c r="D6">
        <v>-1.8943000000000001</v>
      </c>
      <c r="E6" t="s">
        <v>383</v>
      </c>
      <c r="G6">
        <v>4</v>
      </c>
      <c r="H6">
        <v>-1.6500999999999999</v>
      </c>
      <c r="I6">
        <v>-1.8872</v>
      </c>
      <c r="J6">
        <v>-2.9904000000000002</v>
      </c>
      <c r="K6">
        <v>-2.89</v>
      </c>
    </row>
    <row r="7" spans="1:11" s="38" customFormat="1" x14ac:dyDescent="0.2">
      <c r="A7" t="s">
        <v>384</v>
      </c>
      <c r="B7" t="s">
        <v>385</v>
      </c>
      <c r="C7" t="s">
        <v>386</v>
      </c>
    </row>
    <row r="8" spans="1:11" s="38" customFormat="1" x14ac:dyDescent="0.2"/>
    <row r="9" spans="1:11" s="38" customFormat="1" x14ac:dyDescent="0.2"/>
    <row r="10" spans="1:11" s="38" customFormat="1" x14ac:dyDescent="0.2">
      <c r="A10" t="s">
        <v>387</v>
      </c>
    </row>
    <row r="11" spans="1:11" s="38" customFormat="1" x14ac:dyDescent="0.2">
      <c r="A11" t="s">
        <v>3</v>
      </c>
      <c r="B11" t="s">
        <v>388</v>
      </c>
      <c r="C11" t="s">
        <v>369</v>
      </c>
      <c r="D11" t="s">
        <v>6</v>
      </c>
      <c r="E11" t="s">
        <v>389</v>
      </c>
    </row>
    <row r="12" spans="1:11" s="38" customFormat="1" ht="16" customHeight="1" x14ac:dyDescent="0.2">
      <c r="A12" t="s">
        <v>390</v>
      </c>
      <c r="B12">
        <v>68.294700000000006</v>
      </c>
      <c r="C12">
        <v>77.685100000000006</v>
      </c>
      <c r="D12">
        <v>67.375399999999999</v>
      </c>
      <c r="E12">
        <v>77.266300000000001</v>
      </c>
    </row>
    <row r="13" spans="1:11" s="38" customFormat="1" ht="16" customHeight="1" x14ac:dyDescent="0.2">
      <c r="A13" t="s">
        <v>391</v>
      </c>
      <c r="B13">
        <v>0.1401</v>
      </c>
      <c r="C13">
        <v>0.59309999999999996</v>
      </c>
      <c r="D13">
        <v>0.1928</v>
      </c>
      <c r="E13">
        <v>0.73829999999999996</v>
      </c>
    </row>
    <row r="14" spans="1:11" s="38" customFormat="1" x14ac:dyDescent="0.2">
      <c r="A14" t="s">
        <v>392</v>
      </c>
      <c r="B14">
        <v>17.506900000000002</v>
      </c>
      <c r="C14">
        <v>16.815000000000001</v>
      </c>
      <c r="D14">
        <v>19.357199999999999</v>
      </c>
      <c r="E14">
        <v>18.041499999999999</v>
      </c>
    </row>
    <row r="15" spans="1:11" s="38" customFormat="1" x14ac:dyDescent="0.2">
      <c r="A15" t="s">
        <v>393</v>
      </c>
      <c r="B15">
        <v>4.95</v>
      </c>
      <c r="C15">
        <v>1.17</v>
      </c>
      <c r="D15">
        <v>3.59</v>
      </c>
      <c r="E15">
        <v>0.94</v>
      </c>
    </row>
    <row r="16" spans="1:11" s="38" customFormat="1" x14ac:dyDescent="0.2">
      <c r="A16" t="s">
        <v>394</v>
      </c>
      <c r="B16">
        <v>72</v>
      </c>
      <c r="C16">
        <v>36</v>
      </c>
      <c r="D16">
        <v>72</v>
      </c>
      <c r="E16">
        <v>36</v>
      </c>
    </row>
    <row r="17" spans="1:3" s="38" customFormat="1" x14ac:dyDescent="0.2"/>
    <row r="18" spans="1:3" s="38" customFormat="1" x14ac:dyDescent="0.2"/>
    <row r="19" spans="1:3" s="38" customFormat="1" x14ac:dyDescent="0.2">
      <c r="A19" t="s">
        <v>395</v>
      </c>
    </row>
    <row r="20" spans="1:3" s="38" customFormat="1" x14ac:dyDescent="0.2">
      <c r="A20" t="s">
        <v>264</v>
      </c>
      <c r="B20" t="s">
        <v>396</v>
      </c>
      <c r="C20" t="s">
        <v>397</v>
      </c>
    </row>
    <row r="21" spans="1:3" s="38" customFormat="1" ht="16" customHeight="1" x14ac:dyDescent="0.2">
      <c r="A21" t="s">
        <v>398</v>
      </c>
      <c r="B21">
        <v>75.53</v>
      </c>
      <c r="C21">
        <v>74.23</v>
      </c>
    </row>
    <row r="22" spans="1:3" s="38" customFormat="1" ht="16" customHeight="1" x14ac:dyDescent="0.2">
      <c r="A22" t="s">
        <v>399</v>
      </c>
      <c r="B22">
        <v>72.91</v>
      </c>
      <c r="C22">
        <v>70.13</v>
      </c>
    </row>
    <row r="23" spans="1:3" s="38" customFormat="1" ht="16" customHeight="1" x14ac:dyDescent="0.2">
      <c r="A23" t="s">
        <v>400</v>
      </c>
      <c r="B23">
        <v>82.51</v>
      </c>
      <c r="C23">
        <v>80.58</v>
      </c>
    </row>
    <row r="24" spans="1:3" s="38" customFormat="1" ht="16" customHeight="1" x14ac:dyDescent="0.2">
      <c r="A24" t="s">
        <v>401</v>
      </c>
      <c r="B24">
        <v>70.83</v>
      </c>
      <c r="C24">
        <v>68.27</v>
      </c>
    </row>
    <row r="25" spans="1:3" s="38" customFormat="1" ht="16" customHeight="1" x14ac:dyDescent="0.2">
      <c r="A25" t="s">
        <v>402</v>
      </c>
      <c r="B25">
        <v>68.05</v>
      </c>
      <c r="C25">
        <v>66.06</v>
      </c>
    </row>
    <row r="26" spans="1:3" s="38" customFormat="1" ht="16" customHeight="1" x14ac:dyDescent="0.2">
      <c r="A26" t="s">
        <v>403</v>
      </c>
      <c r="B26">
        <v>80.33</v>
      </c>
      <c r="C26">
        <v>80.7</v>
      </c>
    </row>
    <row r="27" spans="1:3" s="38" customFormat="1" ht="16" customHeight="1" x14ac:dyDescent="0.2">
      <c r="A27" t="s">
        <v>404</v>
      </c>
      <c r="B27">
        <v>89.73</v>
      </c>
      <c r="C27">
        <v>83.98</v>
      </c>
    </row>
    <row r="28" spans="1:3" s="38" customFormat="1" ht="16" customHeight="1" x14ac:dyDescent="0.2">
      <c r="A28" t="s">
        <v>405</v>
      </c>
      <c r="B28">
        <v>120.62</v>
      </c>
      <c r="C28">
        <v>121.25</v>
      </c>
    </row>
    <row r="29" spans="1:3" s="38" customFormat="1" ht="16" customHeight="1" x14ac:dyDescent="0.2">
      <c r="A29" t="s">
        <v>406</v>
      </c>
      <c r="B29">
        <v>110.14</v>
      </c>
      <c r="C29">
        <v>109.82</v>
      </c>
    </row>
    <row r="30" spans="1:3" s="38" customFormat="1" ht="16" customHeight="1" x14ac:dyDescent="0.2">
      <c r="A30" t="s">
        <v>407</v>
      </c>
      <c r="B30">
        <v>76.23</v>
      </c>
      <c r="C30">
        <v>75.430000000000007</v>
      </c>
    </row>
    <row r="31" spans="1:3" s="38" customFormat="1" ht="16" customHeight="1" x14ac:dyDescent="0.2">
      <c r="A31" t="s">
        <v>408</v>
      </c>
      <c r="B31">
        <v>89.13</v>
      </c>
      <c r="C31">
        <v>90.04</v>
      </c>
    </row>
    <row r="32" spans="1:3" s="38" customFormat="1" ht="16" customHeight="1" x14ac:dyDescent="0.2">
      <c r="A32" t="s">
        <v>409</v>
      </c>
      <c r="B32">
        <v>107.33</v>
      </c>
      <c r="C32">
        <v>108.61</v>
      </c>
    </row>
    <row r="33" spans="1:3" s="38" customFormat="1" ht="16" customHeight="1" x14ac:dyDescent="0.2"/>
    <row r="34" spans="1:3" s="38" customFormat="1" ht="16" customHeight="1" x14ac:dyDescent="0.2"/>
    <row r="35" spans="1:3" s="38" customFormat="1" ht="16" customHeight="1" x14ac:dyDescent="0.2">
      <c r="A35" t="s">
        <v>410</v>
      </c>
    </row>
    <row r="36" spans="1:3" s="38" customFormat="1" ht="16" customHeight="1" x14ac:dyDescent="0.2">
      <c r="A36" t="s">
        <v>3</v>
      </c>
      <c r="B36" t="s">
        <v>411</v>
      </c>
      <c r="C36" t="s">
        <v>412</v>
      </c>
    </row>
    <row r="37" spans="1:3" s="38" customFormat="1" ht="16" customHeight="1" x14ac:dyDescent="0.2">
      <c r="A37" t="s">
        <v>413</v>
      </c>
      <c r="B37">
        <v>1.0512999999999999</v>
      </c>
      <c r="C37">
        <v>1.093</v>
      </c>
    </row>
    <row r="38" spans="1:3" s="38" customFormat="1" ht="16" customHeight="1" x14ac:dyDescent="0.2">
      <c r="A38" t="s">
        <v>414</v>
      </c>
      <c r="B38">
        <v>-2.0261999999999998</v>
      </c>
      <c r="C38">
        <v>-4.3647999999999998</v>
      </c>
    </row>
    <row r="39" spans="1:3" s="38" customFormat="1" x14ac:dyDescent="0.2">
      <c r="A39" t="s">
        <v>415</v>
      </c>
      <c r="B39">
        <v>0.66579999999999995</v>
      </c>
      <c r="C39">
        <v>0.64090000000000003</v>
      </c>
    </row>
    <row r="40" spans="1:3" s="38" customFormat="1" x14ac:dyDescent="0.2">
      <c r="A40" t="s">
        <v>416</v>
      </c>
      <c r="B40">
        <v>0</v>
      </c>
      <c r="C40">
        <v>0</v>
      </c>
    </row>
    <row r="41" spans="1:3" s="38" customFormat="1" x14ac:dyDescent="0.2">
      <c r="A41" t="s">
        <v>417</v>
      </c>
      <c r="B41" t="s">
        <v>418</v>
      </c>
      <c r="C41" t="s">
        <v>418</v>
      </c>
    </row>
    <row r="42" spans="1:3" s="38" customFormat="1" x14ac:dyDescent="0.2">
      <c r="A42" t="s">
        <v>394</v>
      </c>
      <c r="B42">
        <v>72</v>
      </c>
      <c r="C42">
        <v>72</v>
      </c>
    </row>
    <row r="43" spans="1:3" s="38" customFormat="1" x14ac:dyDescent="0.2"/>
    <row r="44" spans="1:3" s="38" customFormat="1" x14ac:dyDescent="0.2"/>
    <row r="45" spans="1:3" s="38" customFormat="1" x14ac:dyDescent="0.2"/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301"/>
  <sheetViews>
    <sheetView showGridLines="0" workbookViewId="0">
      <selection activeCell="N24" sqref="N24"/>
    </sheetView>
  </sheetViews>
  <sheetFormatPr baseColWidth="10" defaultRowHeight="15" x14ac:dyDescent="0.2"/>
  <cols>
    <col min="1" max="1" width="6.33203125" style="41" bestFit="1" customWidth="1"/>
    <col min="2" max="3" width="10.83203125" style="41" customWidth="1"/>
    <col min="4" max="4" width="16" style="41" bestFit="1" customWidth="1"/>
    <col min="5" max="10" width="10.83203125" style="41" customWidth="1"/>
    <col min="11" max="11" width="37.33203125" style="41" bestFit="1" customWidth="1"/>
    <col min="12" max="12" width="15.33203125" style="41" customWidth="1"/>
    <col min="13" max="15" width="10.83203125" style="41" customWidth="1"/>
    <col min="16" max="16" width="13.1640625" style="41" customWidth="1"/>
    <col min="17" max="25" width="10.83203125" style="41" customWidth="1"/>
    <col min="26" max="16384" width="10.83203125" style="41"/>
  </cols>
  <sheetData>
    <row r="1" spans="1:15" s="2" customFormat="1" ht="16" customHeight="1" x14ac:dyDescent="0.2">
      <c r="A1" t="s">
        <v>264</v>
      </c>
      <c r="B1" t="s">
        <v>419</v>
      </c>
      <c r="C1" t="s">
        <v>420</v>
      </c>
      <c r="D1" t="s">
        <v>35</v>
      </c>
      <c r="E1" t="s">
        <v>421</v>
      </c>
      <c r="F1" t="s">
        <v>37</v>
      </c>
      <c r="G1" t="s">
        <v>422</v>
      </c>
      <c r="H1" t="s">
        <v>423</v>
      </c>
      <c r="I1" t="s">
        <v>424</v>
      </c>
      <c r="K1" t="s">
        <v>425</v>
      </c>
    </row>
    <row r="2" spans="1:15" s="2" customFormat="1" ht="45" customHeight="1" x14ac:dyDescent="0.2">
      <c r="A2">
        <v>1</v>
      </c>
      <c r="B2">
        <v>0</v>
      </c>
      <c r="C2">
        <v>64.879900000000006</v>
      </c>
      <c r="D2">
        <v>68.294700000000006</v>
      </c>
      <c r="E2">
        <v>68.294700000000006</v>
      </c>
      <c r="F2">
        <v>68.294700000000006</v>
      </c>
      <c r="G2">
        <v>68.294700000000006</v>
      </c>
      <c r="H2">
        <v>68.294700000000006</v>
      </c>
      <c r="I2">
        <v>68.294700000000006</v>
      </c>
      <c r="K2" t="s">
        <v>17</v>
      </c>
      <c r="L2" t="s">
        <v>35</v>
      </c>
      <c r="M2" t="s">
        <v>37</v>
      </c>
      <c r="N2" t="s">
        <v>39</v>
      </c>
      <c r="O2" t="s">
        <v>420</v>
      </c>
    </row>
    <row r="3" spans="1:15" ht="16" customHeight="1" x14ac:dyDescent="0.2">
      <c r="A3">
        <v>2</v>
      </c>
      <c r="B3">
        <v>8.3299999999999999E-2</v>
      </c>
      <c r="C3">
        <v>64.845699999999994</v>
      </c>
      <c r="D3">
        <v>67.801400000000001</v>
      </c>
      <c r="E3">
        <v>78.815600000000003</v>
      </c>
      <c r="F3">
        <v>88.792000000000002</v>
      </c>
      <c r="G3">
        <v>56.8474</v>
      </c>
      <c r="H3">
        <v>46.715600000000002</v>
      </c>
      <c r="I3">
        <v>29.904399999999999</v>
      </c>
      <c r="K3" t="s">
        <v>22</v>
      </c>
      <c r="L3">
        <v>62.42</v>
      </c>
      <c r="M3">
        <v>19.97</v>
      </c>
      <c r="N3">
        <v>-14.85</v>
      </c>
      <c r="O3">
        <v>62.86</v>
      </c>
    </row>
    <row r="4" spans="1:15" ht="16" customHeight="1" x14ac:dyDescent="0.2">
      <c r="A4">
        <v>3</v>
      </c>
      <c r="B4">
        <v>0.16669999999999999</v>
      </c>
      <c r="C4">
        <v>64.811400000000006</v>
      </c>
      <c r="D4">
        <v>67.715999999999994</v>
      </c>
      <c r="E4">
        <v>82.219200000000001</v>
      </c>
      <c r="F4">
        <v>95.421899999999994</v>
      </c>
      <c r="G4">
        <v>53.099400000000003</v>
      </c>
      <c r="H4">
        <v>40.3735</v>
      </c>
      <c r="I4">
        <v>16.7822</v>
      </c>
      <c r="K4" t="s">
        <v>23</v>
      </c>
      <c r="L4">
        <v>60.67</v>
      </c>
      <c r="M4">
        <v>18.27</v>
      </c>
      <c r="N4">
        <v>-17.66</v>
      </c>
      <c r="O4">
        <v>60.8</v>
      </c>
    </row>
    <row r="5" spans="1:15" ht="16" customHeight="1" x14ac:dyDescent="0.2">
      <c r="A5">
        <v>4</v>
      </c>
      <c r="B5">
        <v>0.25</v>
      </c>
      <c r="C5">
        <v>64.777100000000004</v>
      </c>
      <c r="D5">
        <v>67.0428</v>
      </c>
      <c r="E5">
        <v>84.293899999999994</v>
      </c>
      <c r="F5">
        <v>99.405100000000004</v>
      </c>
      <c r="G5">
        <v>49.927700000000002</v>
      </c>
      <c r="H5">
        <v>34.743899999999996</v>
      </c>
      <c r="I5">
        <v>8.3993000000000002</v>
      </c>
      <c r="K5" t="s">
        <v>25</v>
      </c>
      <c r="L5">
        <v>58.52</v>
      </c>
      <c r="M5">
        <v>16.52</v>
      </c>
      <c r="N5">
        <v>-15.45</v>
      </c>
      <c r="O5">
        <v>58.75</v>
      </c>
    </row>
    <row r="6" spans="1:15" ht="16" customHeight="1" x14ac:dyDescent="0.2">
      <c r="A6">
        <v>5</v>
      </c>
      <c r="B6">
        <v>0.33329999999999999</v>
      </c>
      <c r="C6">
        <v>64.742900000000006</v>
      </c>
      <c r="D6">
        <v>66.609099999999998</v>
      </c>
      <c r="E6">
        <v>85.564800000000005</v>
      </c>
      <c r="F6">
        <v>101.8293</v>
      </c>
      <c r="G6">
        <v>48.179699999999997</v>
      </c>
      <c r="H6">
        <v>31.671099999999999</v>
      </c>
      <c r="I6">
        <v>1.8517999999999999</v>
      </c>
      <c r="K6" t="s">
        <v>26</v>
      </c>
      <c r="L6">
        <v>57.43</v>
      </c>
      <c r="M6">
        <v>14.71</v>
      </c>
      <c r="N6">
        <v>-19.55</v>
      </c>
      <c r="O6">
        <v>56.69</v>
      </c>
    </row>
    <row r="7" spans="1:15" ht="16" customHeight="1" x14ac:dyDescent="0.2">
      <c r="A7">
        <v>6</v>
      </c>
      <c r="B7">
        <v>0.41670000000000001</v>
      </c>
      <c r="C7">
        <v>64.708600000000004</v>
      </c>
      <c r="D7">
        <v>66.600399999999993</v>
      </c>
      <c r="E7">
        <v>86.422799999999995</v>
      </c>
      <c r="F7">
        <v>103.20610000000001</v>
      </c>
      <c r="G7">
        <v>47.218899999999998</v>
      </c>
      <c r="H7">
        <v>28.6783</v>
      </c>
      <c r="I7">
        <v>-0.58720000000000006</v>
      </c>
      <c r="K7" t="s">
        <v>27</v>
      </c>
      <c r="L7">
        <v>54.79</v>
      </c>
      <c r="M7">
        <v>12.55</v>
      </c>
      <c r="N7">
        <v>-22.5</v>
      </c>
      <c r="O7">
        <v>54.64</v>
      </c>
    </row>
    <row r="8" spans="1:15" ht="16" customHeight="1" x14ac:dyDescent="0.2">
      <c r="A8">
        <v>7</v>
      </c>
      <c r="B8">
        <v>0.5</v>
      </c>
      <c r="C8">
        <v>64.674400000000006</v>
      </c>
      <c r="D8">
        <v>66.359899999999996</v>
      </c>
      <c r="E8">
        <v>86.467500000000001</v>
      </c>
      <c r="F8">
        <v>104.5352</v>
      </c>
      <c r="G8">
        <v>46.2468</v>
      </c>
      <c r="H8">
        <v>27.914999999999999</v>
      </c>
      <c r="I8">
        <v>-3.1092</v>
      </c>
    </row>
    <row r="9" spans="1:15" ht="16" customHeight="1" x14ac:dyDescent="0.2">
      <c r="A9">
        <v>8</v>
      </c>
      <c r="B9">
        <v>0.58330000000000004</v>
      </c>
      <c r="C9">
        <v>64.640100000000004</v>
      </c>
      <c r="D9">
        <v>66.120599999999996</v>
      </c>
      <c r="E9">
        <v>86.9863</v>
      </c>
      <c r="F9">
        <v>105.3618</v>
      </c>
      <c r="G9">
        <v>45.892099999999999</v>
      </c>
      <c r="H9">
        <v>26.7437</v>
      </c>
      <c r="I9">
        <v>-3.7242999999999999</v>
      </c>
      <c r="K9" t="s">
        <v>426</v>
      </c>
    </row>
    <row r="10" spans="1:15" ht="16" customHeight="1" x14ac:dyDescent="0.2">
      <c r="A10">
        <v>9</v>
      </c>
      <c r="B10">
        <v>0.66669999999999996</v>
      </c>
      <c r="C10">
        <v>64.605800000000002</v>
      </c>
      <c r="D10">
        <v>65.930499999999995</v>
      </c>
      <c r="E10">
        <v>86.640100000000004</v>
      </c>
      <c r="F10">
        <v>106.68219999999999</v>
      </c>
      <c r="G10">
        <v>45.016199999999998</v>
      </c>
      <c r="H10">
        <v>25.395600000000002</v>
      </c>
      <c r="I10">
        <v>-6.282</v>
      </c>
      <c r="K10" t="s">
        <v>427</v>
      </c>
      <c r="L10">
        <v>68.294700000000006</v>
      </c>
    </row>
    <row r="11" spans="1:15" ht="16" customHeight="1" x14ac:dyDescent="0.2">
      <c r="A11">
        <v>10</v>
      </c>
      <c r="B11">
        <v>0.75</v>
      </c>
      <c r="C11">
        <v>64.571600000000004</v>
      </c>
      <c r="D11">
        <v>65.783900000000003</v>
      </c>
      <c r="E11">
        <v>87.534400000000005</v>
      </c>
      <c r="F11">
        <v>106.2259</v>
      </c>
      <c r="G11">
        <v>44.576900000000002</v>
      </c>
      <c r="H11">
        <v>24.366800000000001</v>
      </c>
      <c r="I11">
        <v>-7.1670999999999996</v>
      </c>
      <c r="K11" t="s">
        <v>428</v>
      </c>
      <c r="L11">
        <v>0.1401</v>
      </c>
    </row>
    <row r="12" spans="1:15" ht="16" customHeight="1" x14ac:dyDescent="0.2">
      <c r="A12">
        <v>11</v>
      </c>
      <c r="B12">
        <v>0.83330000000000004</v>
      </c>
      <c r="C12">
        <v>64.537300000000002</v>
      </c>
      <c r="D12">
        <v>65.383499999999998</v>
      </c>
      <c r="E12">
        <v>87.266999999999996</v>
      </c>
      <c r="F12">
        <v>106.8023</v>
      </c>
      <c r="G12">
        <v>43.862900000000003</v>
      </c>
      <c r="H12">
        <v>25.191400000000002</v>
      </c>
      <c r="I12">
        <v>-9.9291</v>
      </c>
      <c r="K12" t="s">
        <v>429</v>
      </c>
      <c r="L12">
        <v>17.506900000000002</v>
      </c>
    </row>
    <row r="13" spans="1:15" ht="16" customHeight="1" x14ac:dyDescent="0.2">
      <c r="A13">
        <v>12</v>
      </c>
      <c r="B13">
        <v>0.91669999999999996</v>
      </c>
      <c r="C13">
        <v>64.503</v>
      </c>
      <c r="D13">
        <v>65.496399999999994</v>
      </c>
      <c r="E13">
        <v>87.285300000000007</v>
      </c>
      <c r="F13">
        <v>107.48390000000001</v>
      </c>
      <c r="G13">
        <v>44.172400000000003</v>
      </c>
      <c r="H13">
        <v>25.084</v>
      </c>
      <c r="I13">
        <v>-10.276999999999999</v>
      </c>
      <c r="K13" t="s">
        <v>430</v>
      </c>
      <c r="L13">
        <v>10000</v>
      </c>
    </row>
    <row r="14" spans="1:15" ht="16" customHeight="1" x14ac:dyDescent="0.2">
      <c r="A14">
        <v>13</v>
      </c>
      <c r="B14">
        <v>1</v>
      </c>
      <c r="C14">
        <v>64.468800000000002</v>
      </c>
      <c r="D14">
        <v>65.425899999999999</v>
      </c>
      <c r="E14">
        <v>87.690899999999999</v>
      </c>
      <c r="F14">
        <v>107.7007</v>
      </c>
      <c r="G14">
        <v>44.0839</v>
      </c>
      <c r="H14">
        <v>23.6892</v>
      </c>
      <c r="I14">
        <v>-10.3538</v>
      </c>
      <c r="K14" t="s">
        <v>431</v>
      </c>
      <c r="L14" t="s">
        <v>432</v>
      </c>
    </row>
    <row r="15" spans="1:15" ht="16" customHeight="1" x14ac:dyDescent="0.2">
      <c r="A15">
        <v>14</v>
      </c>
      <c r="B15">
        <v>1.0832999999999999</v>
      </c>
      <c r="C15">
        <v>64.4345</v>
      </c>
      <c r="D15">
        <v>65.316800000000001</v>
      </c>
      <c r="E15">
        <v>87.255200000000002</v>
      </c>
      <c r="F15">
        <v>107.16670000000001</v>
      </c>
      <c r="G15">
        <v>43.415700000000001</v>
      </c>
      <c r="H15">
        <v>23.858000000000001</v>
      </c>
      <c r="I15">
        <v>-10.622400000000001</v>
      </c>
      <c r="K15" t="s">
        <v>433</v>
      </c>
      <c r="L15" t="s">
        <v>434</v>
      </c>
    </row>
    <row r="16" spans="1:15" ht="16" customHeight="1" x14ac:dyDescent="0.2">
      <c r="A16">
        <v>15</v>
      </c>
      <c r="B16">
        <v>1.1667000000000001</v>
      </c>
      <c r="C16">
        <v>64.400300000000001</v>
      </c>
      <c r="D16">
        <v>65.312399999999997</v>
      </c>
      <c r="E16">
        <v>87.583200000000005</v>
      </c>
      <c r="F16">
        <v>106.9542</v>
      </c>
      <c r="G16">
        <v>43.451599999999999</v>
      </c>
      <c r="H16">
        <v>23.8034</v>
      </c>
      <c r="I16">
        <v>-11.728199999999999</v>
      </c>
    </row>
    <row r="17" spans="1:9" ht="16" customHeight="1" x14ac:dyDescent="0.2">
      <c r="A17">
        <v>16</v>
      </c>
      <c r="B17">
        <v>1.25</v>
      </c>
      <c r="C17">
        <v>64.366</v>
      </c>
      <c r="D17">
        <v>65.4709</v>
      </c>
      <c r="E17">
        <v>86.9666</v>
      </c>
      <c r="F17">
        <v>107.1016</v>
      </c>
      <c r="G17">
        <v>43.096499999999999</v>
      </c>
      <c r="H17">
        <v>23.699200000000001</v>
      </c>
      <c r="I17">
        <v>-10.784700000000001</v>
      </c>
    </row>
    <row r="18" spans="1:9" ht="16" customHeight="1" x14ac:dyDescent="0.2">
      <c r="A18">
        <v>17</v>
      </c>
      <c r="B18">
        <v>1.3332999999999999</v>
      </c>
      <c r="C18">
        <v>64.331699999999998</v>
      </c>
      <c r="D18">
        <v>65.074100000000001</v>
      </c>
      <c r="E18">
        <v>87.470100000000002</v>
      </c>
      <c r="F18">
        <v>106.71169999999999</v>
      </c>
      <c r="G18">
        <v>43.264000000000003</v>
      </c>
      <c r="H18">
        <v>23.980399999999999</v>
      </c>
      <c r="I18">
        <v>-10.3581</v>
      </c>
    </row>
    <row r="19" spans="1:9" ht="16" customHeight="1" x14ac:dyDescent="0.2">
      <c r="A19">
        <v>18</v>
      </c>
      <c r="B19">
        <v>1.4167000000000001</v>
      </c>
      <c r="C19">
        <v>64.297499999999999</v>
      </c>
      <c r="D19">
        <v>65.384500000000003</v>
      </c>
      <c r="E19">
        <v>87.049499999999995</v>
      </c>
      <c r="F19">
        <v>106.69750000000001</v>
      </c>
      <c r="G19">
        <v>42.696199999999997</v>
      </c>
      <c r="H19">
        <v>22.469100000000001</v>
      </c>
      <c r="I19">
        <v>-10.783799999999999</v>
      </c>
    </row>
    <row r="20" spans="1:9" ht="16" customHeight="1" x14ac:dyDescent="0.2">
      <c r="A20">
        <v>19</v>
      </c>
      <c r="B20">
        <v>1.5</v>
      </c>
      <c r="C20">
        <v>64.263199999999998</v>
      </c>
      <c r="D20">
        <v>65.383700000000005</v>
      </c>
      <c r="E20">
        <v>87.492000000000004</v>
      </c>
      <c r="F20">
        <v>107.0715</v>
      </c>
      <c r="G20">
        <v>42.517000000000003</v>
      </c>
      <c r="H20">
        <v>22.1187</v>
      </c>
      <c r="I20">
        <v>-10.436</v>
      </c>
    </row>
    <row r="21" spans="1:9" ht="16" customHeight="1" x14ac:dyDescent="0.2">
      <c r="A21">
        <v>20</v>
      </c>
      <c r="B21">
        <v>1.5832999999999999</v>
      </c>
      <c r="C21">
        <v>64.228999999999999</v>
      </c>
      <c r="D21">
        <v>64.921000000000006</v>
      </c>
      <c r="E21">
        <v>86.860900000000001</v>
      </c>
      <c r="F21">
        <v>106.3661</v>
      </c>
      <c r="G21">
        <v>42.885399999999997</v>
      </c>
      <c r="H21">
        <v>22.216699999999999</v>
      </c>
      <c r="I21">
        <v>-12.1113</v>
      </c>
    </row>
    <row r="22" spans="1:9" ht="16" customHeight="1" x14ac:dyDescent="0.2">
      <c r="A22">
        <v>21</v>
      </c>
      <c r="B22">
        <v>1.6667000000000001</v>
      </c>
      <c r="C22">
        <v>64.194699999999997</v>
      </c>
      <c r="D22">
        <v>64.671899999999994</v>
      </c>
      <c r="E22">
        <v>86.937600000000003</v>
      </c>
      <c r="F22">
        <v>106.0552</v>
      </c>
      <c r="G22">
        <v>42.993299999999998</v>
      </c>
      <c r="H22">
        <v>22.0319</v>
      </c>
      <c r="I22">
        <v>-13.504</v>
      </c>
    </row>
    <row r="23" spans="1:9" ht="16" customHeight="1" x14ac:dyDescent="0.2">
      <c r="A23">
        <v>22</v>
      </c>
      <c r="B23">
        <v>1.75</v>
      </c>
      <c r="C23">
        <v>64.160399999999996</v>
      </c>
      <c r="D23">
        <v>64.665899999999993</v>
      </c>
      <c r="E23">
        <v>86.665999999999997</v>
      </c>
      <c r="F23">
        <v>106.54049999999999</v>
      </c>
      <c r="G23">
        <v>42.225299999999997</v>
      </c>
      <c r="H23">
        <v>22.427</v>
      </c>
      <c r="I23">
        <v>-13.9411</v>
      </c>
    </row>
    <row r="24" spans="1:9" ht="16" customHeight="1" x14ac:dyDescent="0.2">
      <c r="A24">
        <v>23</v>
      </c>
      <c r="B24">
        <v>1.8332999999999999</v>
      </c>
      <c r="C24">
        <v>64.126199999999997</v>
      </c>
      <c r="D24">
        <v>64.580600000000004</v>
      </c>
      <c r="E24">
        <v>86.788300000000007</v>
      </c>
      <c r="F24">
        <v>106.2385</v>
      </c>
      <c r="G24">
        <v>42.09</v>
      </c>
      <c r="H24">
        <v>21.814299999999999</v>
      </c>
      <c r="I24">
        <v>-13.647500000000001</v>
      </c>
    </row>
    <row r="25" spans="1:9" ht="16" customHeight="1" x14ac:dyDescent="0.2">
      <c r="A25">
        <v>24</v>
      </c>
      <c r="B25">
        <v>1.9167000000000001</v>
      </c>
      <c r="C25">
        <v>64.091899999999995</v>
      </c>
      <c r="D25">
        <v>64.753</v>
      </c>
      <c r="E25">
        <v>86.415300000000002</v>
      </c>
      <c r="F25">
        <v>107.02119999999999</v>
      </c>
      <c r="G25">
        <v>42.176499999999997</v>
      </c>
      <c r="H25">
        <v>22.485900000000001</v>
      </c>
      <c r="I25">
        <v>-12.8962</v>
      </c>
    </row>
    <row r="26" spans="1:9" ht="16" customHeight="1" x14ac:dyDescent="0.2">
      <c r="A26">
        <v>25</v>
      </c>
      <c r="B26">
        <v>2</v>
      </c>
      <c r="C26">
        <v>64.057599999999994</v>
      </c>
      <c r="D26">
        <v>64.5184</v>
      </c>
      <c r="E26">
        <v>86.717799999999997</v>
      </c>
      <c r="F26">
        <v>106.5809</v>
      </c>
      <c r="G26">
        <v>42.3217</v>
      </c>
      <c r="H26">
        <v>21.692399999999999</v>
      </c>
      <c r="I26">
        <v>-12.7455</v>
      </c>
    </row>
    <row r="27" spans="1:9" ht="16" customHeight="1" x14ac:dyDescent="0.2">
      <c r="A27">
        <v>26</v>
      </c>
      <c r="B27">
        <v>2.0832999999999999</v>
      </c>
      <c r="C27">
        <v>64.023399999999995</v>
      </c>
      <c r="D27">
        <v>63.940199999999997</v>
      </c>
      <c r="E27">
        <v>86.472300000000004</v>
      </c>
      <c r="F27">
        <v>106.9217</v>
      </c>
      <c r="G27">
        <v>41.921199999999999</v>
      </c>
      <c r="H27">
        <v>21.821300000000001</v>
      </c>
      <c r="I27">
        <v>-14.4254</v>
      </c>
    </row>
    <row r="28" spans="1:9" ht="16" customHeight="1" x14ac:dyDescent="0.2">
      <c r="A28">
        <v>27</v>
      </c>
      <c r="B28">
        <v>2.1667000000000001</v>
      </c>
      <c r="C28">
        <v>63.989100000000001</v>
      </c>
      <c r="D28">
        <v>64.051199999999994</v>
      </c>
      <c r="E28">
        <v>86.165400000000005</v>
      </c>
      <c r="F28">
        <v>106.31789999999999</v>
      </c>
      <c r="G28">
        <v>41.955500000000001</v>
      </c>
      <c r="H28">
        <v>21.940100000000001</v>
      </c>
      <c r="I28">
        <v>-13.498100000000001</v>
      </c>
    </row>
    <row r="29" spans="1:9" ht="16" customHeight="1" x14ac:dyDescent="0.2">
      <c r="A29">
        <v>28</v>
      </c>
      <c r="B29">
        <v>2.25</v>
      </c>
      <c r="C29">
        <v>63.954900000000002</v>
      </c>
      <c r="D29">
        <v>63.356000000000002</v>
      </c>
      <c r="E29">
        <v>86.240300000000005</v>
      </c>
      <c r="F29">
        <v>106.5489</v>
      </c>
      <c r="G29">
        <v>41.9405</v>
      </c>
      <c r="H29">
        <v>22.5562</v>
      </c>
      <c r="I29">
        <v>-13.906000000000001</v>
      </c>
    </row>
    <row r="30" spans="1:9" ht="16" customHeight="1" x14ac:dyDescent="0.2">
      <c r="A30">
        <v>29</v>
      </c>
      <c r="B30">
        <v>2.3332999999999999</v>
      </c>
      <c r="C30">
        <v>63.9206</v>
      </c>
      <c r="D30">
        <v>63.492600000000003</v>
      </c>
      <c r="E30">
        <v>86.193399999999997</v>
      </c>
      <c r="F30">
        <v>107.00709999999999</v>
      </c>
      <c r="G30">
        <v>41.436</v>
      </c>
      <c r="H30">
        <v>22.186699999999998</v>
      </c>
      <c r="I30">
        <v>-13.088100000000001</v>
      </c>
    </row>
    <row r="31" spans="1:9" ht="16" customHeight="1" x14ac:dyDescent="0.2">
      <c r="A31">
        <v>30</v>
      </c>
      <c r="B31">
        <v>2.4167000000000001</v>
      </c>
      <c r="C31">
        <v>63.886299999999999</v>
      </c>
      <c r="D31">
        <v>63.8812</v>
      </c>
      <c r="E31">
        <v>86.190899999999999</v>
      </c>
      <c r="F31">
        <v>106.4804</v>
      </c>
      <c r="G31">
        <v>41.579000000000001</v>
      </c>
      <c r="H31">
        <v>21.7851</v>
      </c>
      <c r="I31">
        <v>-13.6127</v>
      </c>
    </row>
    <row r="32" spans="1:9" ht="16" customHeight="1" x14ac:dyDescent="0.2">
      <c r="A32">
        <v>31</v>
      </c>
      <c r="B32">
        <v>2.5</v>
      </c>
      <c r="C32">
        <v>63.8521</v>
      </c>
      <c r="D32">
        <v>63.822800000000001</v>
      </c>
      <c r="E32">
        <v>86.284400000000005</v>
      </c>
      <c r="F32">
        <v>106.7461</v>
      </c>
      <c r="G32">
        <v>41.579599999999999</v>
      </c>
      <c r="H32">
        <v>21.411300000000001</v>
      </c>
      <c r="I32">
        <v>-14.2719</v>
      </c>
    </row>
    <row r="33" spans="1:9" ht="16" customHeight="1" x14ac:dyDescent="0.2">
      <c r="A33">
        <v>32</v>
      </c>
      <c r="B33">
        <v>2.5832999999999999</v>
      </c>
      <c r="C33">
        <v>63.817799999999998</v>
      </c>
      <c r="D33">
        <v>63.611600000000003</v>
      </c>
      <c r="E33">
        <v>86.538899999999998</v>
      </c>
      <c r="F33">
        <v>106.28489999999999</v>
      </c>
      <c r="G33">
        <v>41.531999999999996</v>
      </c>
      <c r="H33">
        <v>21.079599999999999</v>
      </c>
      <c r="I33">
        <v>-14.798500000000001</v>
      </c>
    </row>
    <row r="34" spans="1:9" ht="16" customHeight="1" x14ac:dyDescent="0.2">
      <c r="A34">
        <v>33</v>
      </c>
      <c r="B34">
        <v>2.6667000000000001</v>
      </c>
      <c r="C34">
        <v>63.7836</v>
      </c>
      <c r="D34">
        <v>63.688200000000002</v>
      </c>
      <c r="E34">
        <v>86.181799999999996</v>
      </c>
      <c r="F34">
        <v>105.93040000000001</v>
      </c>
      <c r="G34">
        <v>41.103299999999997</v>
      </c>
      <c r="H34">
        <v>20.428100000000001</v>
      </c>
      <c r="I34">
        <v>-13.538500000000001</v>
      </c>
    </row>
    <row r="35" spans="1:9" ht="16" customHeight="1" x14ac:dyDescent="0.2">
      <c r="A35">
        <v>34</v>
      </c>
      <c r="B35">
        <v>2.75</v>
      </c>
      <c r="C35">
        <v>63.749299999999998</v>
      </c>
      <c r="D35">
        <v>63.705100000000002</v>
      </c>
      <c r="E35">
        <v>86.312600000000003</v>
      </c>
      <c r="F35">
        <v>106.3858</v>
      </c>
      <c r="G35">
        <v>41.151600000000002</v>
      </c>
      <c r="H35">
        <v>20.658799999999999</v>
      </c>
      <c r="I35">
        <v>-11.889900000000001</v>
      </c>
    </row>
    <row r="36" spans="1:9" ht="16" customHeight="1" x14ac:dyDescent="0.2">
      <c r="A36">
        <v>35</v>
      </c>
      <c r="B36">
        <v>2.8332999999999999</v>
      </c>
      <c r="C36">
        <v>63.715000000000003</v>
      </c>
      <c r="D36">
        <v>63.259900000000002</v>
      </c>
      <c r="E36">
        <v>86.395899999999997</v>
      </c>
      <c r="F36">
        <v>106.3125</v>
      </c>
      <c r="G36">
        <v>40.873199999999997</v>
      </c>
      <c r="H36">
        <v>21.697299999999998</v>
      </c>
      <c r="I36">
        <v>-12.8583</v>
      </c>
    </row>
    <row r="37" spans="1:9" ht="16" customHeight="1" x14ac:dyDescent="0.2">
      <c r="A37">
        <v>36</v>
      </c>
      <c r="B37">
        <v>2.9167000000000001</v>
      </c>
      <c r="C37">
        <v>63.680799999999998</v>
      </c>
      <c r="D37">
        <v>63.463799999999999</v>
      </c>
      <c r="E37">
        <v>86.454800000000006</v>
      </c>
      <c r="F37">
        <v>106.08240000000001</v>
      </c>
      <c r="G37">
        <v>40.835299999999997</v>
      </c>
      <c r="H37">
        <v>20.7316</v>
      </c>
      <c r="I37">
        <v>-13.456300000000001</v>
      </c>
    </row>
    <row r="38" spans="1:9" ht="16" customHeight="1" x14ac:dyDescent="0.2">
      <c r="A38">
        <v>37</v>
      </c>
      <c r="B38">
        <v>3</v>
      </c>
      <c r="C38">
        <v>63.646500000000003</v>
      </c>
      <c r="D38">
        <v>63.579099999999997</v>
      </c>
      <c r="E38">
        <v>85.775999999999996</v>
      </c>
      <c r="F38">
        <v>106.5273</v>
      </c>
      <c r="G38">
        <v>40.968800000000002</v>
      </c>
      <c r="H38">
        <v>21.405899999999999</v>
      </c>
      <c r="I38">
        <v>-12.6991</v>
      </c>
    </row>
    <row r="39" spans="1:9" ht="16" customHeight="1" x14ac:dyDescent="0.2">
      <c r="A39">
        <v>38</v>
      </c>
      <c r="B39">
        <v>3.0832999999999999</v>
      </c>
      <c r="C39">
        <v>63.612200000000001</v>
      </c>
      <c r="D39">
        <v>63.822000000000003</v>
      </c>
      <c r="E39">
        <v>86.219200000000001</v>
      </c>
      <c r="F39">
        <v>106.0641</v>
      </c>
      <c r="G39">
        <v>41.747799999999998</v>
      </c>
      <c r="H39">
        <v>21.773800000000001</v>
      </c>
      <c r="I39">
        <v>-13.132999999999999</v>
      </c>
    </row>
    <row r="40" spans="1:9" ht="16" customHeight="1" x14ac:dyDescent="0.2">
      <c r="A40">
        <v>39</v>
      </c>
      <c r="B40">
        <v>3.1667000000000001</v>
      </c>
      <c r="C40">
        <v>63.578000000000003</v>
      </c>
      <c r="D40">
        <v>63.89</v>
      </c>
      <c r="E40">
        <v>86.531099999999995</v>
      </c>
      <c r="F40">
        <v>106.3878</v>
      </c>
      <c r="G40">
        <v>41.5854</v>
      </c>
      <c r="H40">
        <v>22.631599999999999</v>
      </c>
      <c r="I40">
        <v>-13.748699999999999</v>
      </c>
    </row>
    <row r="41" spans="1:9" ht="16" customHeight="1" x14ac:dyDescent="0.2">
      <c r="A41">
        <v>40</v>
      </c>
      <c r="B41">
        <v>3.25</v>
      </c>
      <c r="C41">
        <v>63.543700000000001</v>
      </c>
      <c r="D41">
        <v>64.002600000000001</v>
      </c>
      <c r="E41">
        <v>86.765000000000001</v>
      </c>
      <c r="F41">
        <v>107.0149</v>
      </c>
      <c r="G41">
        <v>41.256300000000003</v>
      </c>
      <c r="H41">
        <v>22.3245</v>
      </c>
      <c r="I41">
        <v>-10.923299999999999</v>
      </c>
    </row>
    <row r="42" spans="1:9" ht="16" customHeight="1" x14ac:dyDescent="0.2">
      <c r="A42">
        <v>41</v>
      </c>
      <c r="B42">
        <v>3.3332999999999999</v>
      </c>
      <c r="C42">
        <v>63.509500000000003</v>
      </c>
      <c r="D42">
        <v>63.587200000000003</v>
      </c>
      <c r="E42">
        <v>85.935000000000002</v>
      </c>
      <c r="F42">
        <v>106.5256</v>
      </c>
      <c r="G42">
        <v>41.527299999999997</v>
      </c>
      <c r="H42">
        <v>21.859400000000001</v>
      </c>
      <c r="I42">
        <v>-11.792199999999999</v>
      </c>
    </row>
    <row r="43" spans="1:9" ht="16" customHeight="1" x14ac:dyDescent="0.2">
      <c r="A43">
        <v>42</v>
      </c>
      <c r="B43">
        <v>3.4167000000000001</v>
      </c>
      <c r="C43">
        <v>63.475200000000001</v>
      </c>
      <c r="D43">
        <v>63.627299999999998</v>
      </c>
      <c r="E43">
        <v>85.866799999999998</v>
      </c>
      <c r="F43">
        <v>105.9055</v>
      </c>
      <c r="G43">
        <v>41.354500000000002</v>
      </c>
      <c r="H43">
        <v>21.201599999999999</v>
      </c>
      <c r="I43">
        <v>-12.793900000000001</v>
      </c>
    </row>
    <row r="44" spans="1:9" ht="16" customHeight="1" x14ac:dyDescent="0.2">
      <c r="A44">
        <v>43</v>
      </c>
      <c r="B44">
        <v>3.5</v>
      </c>
      <c r="C44">
        <v>63.440899999999999</v>
      </c>
      <c r="D44">
        <v>63.357300000000002</v>
      </c>
      <c r="E44">
        <v>86.168700000000001</v>
      </c>
      <c r="F44">
        <v>105.6174</v>
      </c>
      <c r="G44">
        <v>40.929299999999998</v>
      </c>
      <c r="H44">
        <v>21.010400000000001</v>
      </c>
      <c r="I44">
        <v>-12.7378</v>
      </c>
    </row>
    <row r="45" spans="1:9" ht="16" customHeight="1" x14ac:dyDescent="0.2">
      <c r="A45">
        <v>44</v>
      </c>
      <c r="B45">
        <v>3.5832999999999999</v>
      </c>
      <c r="C45">
        <v>63.406700000000001</v>
      </c>
      <c r="D45">
        <v>62.892000000000003</v>
      </c>
      <c r="E45">
        <v>86.364999999999995</v>
      </c>
      <c r="F45">
        <v>106.7486</v>
      </c>
      <c r="G45">
        <v>40.918599999999998</v>
      </c>
      <c r="H45">
        <v>21.438199999999998</v>
      </c>
      <c r="I45">
        <v>-13.1998</v>
      </c>
    </row>
    <row r="46" spans="1:9" ht="16" customHeight="1" x14ac:dyDescent="0.2">
      <c r="A46">
        <v>45</v>
      </c>
      <c r="B46">
        <v>3.6667000000000001</v>
      </c>
      <c r="C46">
        <v>63.372399999999999</v>
      </c>
      <c r="D46">
        <v>63.613100000000003</v>
      </c>
      <c r="E46">
        <v>86.198099999999997</v>
      </c>
      <c r="F46">
        <v>106.6917</v>
      </c>
      <c r="G46">
        <v>40.945900000000002</v>
      </c>
      <c r="H46">
        <v>19.933900000000001</v>
      </c>
      <c r="I46">
        <v>-13.6732</v>
      </c>
    </row>
    <row r="47" spans="1:9" ht="16" customHeight="1" x14ac:dyDescent="0.2">
      <c r="A47">
        <v>46</v>
      </c>
      <c r="B47">
        <v>3.75</v>
      </c>
      <c r="C47">
        <v>63.338200000000001</v>
      </c>
      <c r="D47">
        <v>63.198</v>
      </c>
      <c r="E47">
        <v>85.702299999999994</v>
      </c>
      <c r="F47">
        <v>105.99630000000001</v>
      </c>
      <c r="G47">
        <v>40.188499999999998</v>
      </c>
      <c r="H47">
        <v>20.2363</v>
      </c>
      <c r="I47">
        <v>-11.345700000000001</v>
      </c>
    </row>
    <row r="48" spans="1:9" ht="16" customHeight="1" x14ac:dyDescent="0.2">
      <c r="A48">
        <v>47</v>
      </c>
      <c r="B48">
        <v>3.8332999999999999</v>
      </c>
      <c r="C48">
        <v>63.303899999999999</v>
      </c>
      <c r="D48">
        <v>63.062399999999997</v>
      </c>
      <c r="E48">
        <v>85.533600000000007</v>
      </c>
      <c r="F48">
        <v>106.3837</v>
      </c>
      <c r="G48">
        <v>40.361699999999999</v>
      </c>
      <c r="H48">
        <v>20.328299999999999</v>
      </c>
      <c r="I48">
        <v>-13.978</v>
      </c>
    </row>
    <row r="49" spans="1:9" ht="16" customHeight="1" x14ac:dyDescent="0.2">
      <c r="A49">
        <v>48</v>
      </c>
      <c r="B49">
        <v>3.9167000000000001</v>
      </c>
      <c r="C49">
        <v>63.269599999999997</v>
      </c>
      <c r="D49">
        <v>62.844999999999999</v>
      </c>
      <c r="E49">
        <v>85.721599999999995</v>
      </c>
      <c r="F49">
        <v>105.53789999999999</v>
      </c>
      <c r="G49">
        <v>40.711300000000001</v>
      </c>
      <c r="H49">
        <v>20.486000000000001</v>
      </c>
      <c r="I49">
        <v>-11.7179</v>
      </c>
    </row>
    <row r="50" spans="1:9" ht="16" customHeight="1" x14ac:dyDescent="0.2">
      <c r="A50">
        <v>49</v>
      </c>
      <c r="B50">
        <v>4</v>
      </c>
      <c r="C50">
        <v>63.235399999999998</v>
      </c>
      <c r="D50">
        <v>62.6145</v>
      </c>
      <c r="E50">
        <v>84.983400000000003</v>
      </c>
      <c r="F50">
        <v>105.8738</v>
      </c>
      <c r="G50">
        <v>40.372799999999998</v>
      </c>
      <c r="H50">
        <v>20.238600000000002</v>
      </c>
      <c r="I50">
        <v>-15.3363</v>
      </c>
    </row>
    <row r="51" spans="1:9" ht="16" customHeight="1" x14ac:dyDescent="0.2">
      <c r="A51">
        <v>50</v>
      </c>
      <c r="B51">
        <v>4.0833000000000004</v>
      </c>
      <c r="C51">
        <v>63.201099999999997</v>
      </c>
      <c r="D51">
        <v>63.1053</v>
      </c>
      <c r="E51">
        <v>85.154600000000002</v>
      </c>
      <c r="F51">
        <v>105.42019999999999</v>
      </c>
      <c r="G51">
        <v>40.329000000000001</v>
      </c>
      <c r="H51">
        <v>20.566600000000001</v>
      </c>
      <c r="I51">
        <v>-13.8474</v>
      </c>
    </row>
    <row r="52" spans="1:9" ht="16" customHeight="1" x14ac:dyDescent="0.2">
      <c r="A52">
        <v>51</v>
      </c>
      <c r="B52">
        <v>4.1666999999999996</v>
      </c>
      <c r="C52">
        <v>63.166899999999998</v>
      </c>
      <c r="D52">
        <v>62.860199999999999</v>
      </c>
      <c r="E52">
        <v>85.106999999999999</v>
      </c>
      <c r="F52">
        <v>105.9263</v>
      </c>
      <c r="G52">
        <v>40.337899999999998</v>
      </c>
      <c r="H52">
        <v>19.377500000000001</v>
      </c>
      <c r="I52">
        <v>-14.554600000000001</v>
      </c>
    </row>
    <row r="53" spans="1:9" ht="16" customHeight="1" x14ac:dyDescent="0.2">
      <c r="A53">
        <v>52</v>
      </c>
      <c r="B53">
        <v>4.25</v>
      </c>
      <c r="C53">
        <v>63.132599999999996</v>
      </c>
      <c r="D53">
        <v>62.910299999999999</v>
      </c>
      <c r="E53">
        <v>84.8934</v>
      </c>
      <c r="F53">
        <v>105.9239</v>
      </c>
      <c r="G53">
        <v>39.746299999999998</v>
      </c>
      <c r="H53">
        <v>19.649000000000001</v>
      </c>
      <c r="I53">
        <v>-13.6883</v>
      </c>
    </row>
    <row r="54" spans="1:9" ht="16" customHeight="1" x14ac:dyDescent="0.2">
      <c r="A54">
        <v>53</v>
      </c>
      <c r="B54">
        <v>4.3333000000000004</v>
      </c>
      <c r="C54">
        <v>63.098300000000002</v>
      </c>
      <c r="D54">
        <v>62.301600000000001</v>
      </c>
      <c r="E54">
        <v>86.283299999999997</v>
      </c>
      <c r="F54">
        <v>107.0939</v>
      </c>
      <c r="G54">
        <v>39.686599999999999</v>
      </c>
      <c r="H54">
        <v>19.4588</v>
      </c>
      <c r="I54">
        <v>-14.742100000000001</v>
      </c>
    </row>
    <row r="55" spans="1:9" ht="16" customHeight="1" x14ac:dyDescent="0.2">
      <c r="A55">
        <v>54</v>
      </c>
      <c r="B55">
        <v>4.4166999999999996</v>
      </c>
      <c r="C55">
        <v>63.064100000000003</v>
      </c>
      <c r="D55">
        <v>62.481200000000001</v>
      </c>
      <c r="E55">
        <v>85.724800000000002</v>
      </c>
      <c r="F55">
        <v>106.59399999999999</v>
      </c>
      <c r="G55">
        <v>40.186399999999999</v>
      </c>
      <c r="H55">
        <v>19.497</v>
      </c>
      <c r="I55">
        <v>-15.0685</v>
      </c>
    </row>
    <row r="56" spans="1:9" ht="16" customHeight="1" x14ac:dyDescent="0.2">
      <c r="A56">
        <v>55</v>
      </c>
      <c r="B56">
        <v>4.5</v>
      </c>
      <c r="C56">
        <v>63.029800000000002</v>
      </c>
      <c r="D56">
        <v>62.362000000000002</v>
      </c>
      <c r="E56">
        <v>85.565299999999993</v>
      </c>
      <c r="F56">
        <v>106.0158</v>
      </c>
      <c r="G56">
        <v>40.004300000000001</v>
      </c>
      <c r="H56">
        <v>19.7821</v>
      </c>
      <c r="I56">
        <v>-15.131</v>
      </c>
    </row>
    <row r="57" spans="1:9" ht="16" customHeight="1" x14ac:dyDescent="0.2">
      <c r="A57">
        <v>56</v>
      </c>
      <c r="B57">
        <v>4.5833000000000004</v>
      </c>
      <c r="C57">
        <v>62.9955</v>
      </c>
      <c r="D57">
        <v>62.566400000000002</v>
      </c>
      <c r="E57">
        <v>85.868300000000005</v>
      </c>
      <c r="F57">
        <v>105.8965</v>
      </c>
      <c r="G57">
        <v>40.247999999999998</v>
      </c>
      <c r="H57">
        <v>19.821000000000002</v>
      </c>
      <c r="I57">
        <v>-15.072900000000001</v>
      </c>
    </row>
    <row r="58" spans="1:9" ht="16" customHeight="1" x14ac:dyDescent="0.2">
      <c r="A58">
        <v>57</v>
      </c>
      <c r="B58">
        <v>4.6666999999999996</v>
      </c>
      <c r="C58">
        <v>62.961300000000001</v>
      </c>
      <c r="D58">
        <v>62.761299999999999</v>
      </c>
      <c r="E58">
        <v>85.417500000000004</v>
      </c>
      <c r="F58">
        <v>105.88639999999999</v>
      </c>
      <c r="G58">
        <v>40.1751</v>
      </c>
      <c r="H58">
        <v>19.7974</v>
      </c>
      <c r="I58">
        <v>-15.904400000000001</v>
      </c>
    </row>
    <row r="59" spans="1:9" ht="16" customHeight="1" x14ac:dyDescent="0.2">
      <c r="A59">
        <v>58</v>
      </c>
      <c r="B59">
        <v>4.75</v>
      </c>
      <c r="C59">
        <v>62.927</v>
      </c>
      <c r="D59">
        <v>63.337400000000002</v>
      </c>
      <c r="E59">
        <v>85.727599999999995</v>
      </c>
      <c r="F59">
        <v>105.34910000000001</v>
      </c>
      <c r="G59">
        <v>40.359299999999998</v>
      </c>
      <c r="H59">
        <v>20.796600000000002</v>
      </c>
      <c r="I59">
        <v>-12.8935</v>
      </c>
    </row>
    <row r="60" spans="1:9" ht="16" customHeight="1" x14ac:dyDescent="0.2">
      <c r="A60">
        <v>59</v>
      </c>
      <c r="B60">
        <v>4.8333000000000004</v>
      </c>
      <c r="C60">
        <v>62.892800000000001</v>
      </c>
      <c r="D60">
        <v>62.783299999999997</v>
      </c>
      <c r="E60">
        <v>85.519499999999994</v>
      </c>
      <c r="F60">
        <v>105.0819</v>
      </c>
      <c r="G60">
        <v>40.129800000000003</v>
      </c>
      <c r="H60">
        <v>20.040800000000001</v>
      </c>
      <c r="I60">
        <v>-13.5031</v>
      </c>
    </row>
    <row r="61" spans="1:9" ht="16" customHeight="1" x14ac:dyDescent="0.2">
      <c r="A61">
        <v>60</v>
      </c>
      <c r="B61">
        <v>4.9166999999999996</v>
      </c>
      <c r="C61">
        <v>62.858499999999999</v>
      </c>
      <c r="D61">
        <v>62.422600000000003</v>
      </c>
      <c r="E61">
        <v>85.021699999999996</v>
      </c>
      <c r="F61">
        <v>104.7962</v>
      </c>
      <c r="G61">
        <v>40.628700000000002</v>
      </c>
      <c r="H61">
        <v>19.973099999999999</v>
      </c>
      <c r="I61">
        <v>-14.852</v>
      </c>
    </row>
    <row r="62" spans="1:9" ht="16" customHeight="1" x14ac:dyDescent="0.2">
      <c r="A62">
        <v>61</v>
      </c>
      <c r="B62">
        <v>5</v>
      </c>
      <c r="C62">
        <v>62.824199999999998</v>
      </c>
      <c r="D62">
        <v>62.588099999999997</v>
      </c>
      <c r="E62">
        <v>85.132800000000003</v>
      </c>
      <c r="F62">
        <v>104.6194</v>
      </c>
      <c r="G62">
        <v>40.518000000000001</v>
      </c>
      <c r="H62">
        <v>20.843800000000002</v>
      </c>
      <c r="I62">
        <v>-14.4422</v>
      </c>
    </row>
    <row r="63" spans="1:9" ht="16" customHeight="1" x14ac:dyDescent="0.2">
      <c r="A63">
        <v>62</v>
      </c>
      <c r="B63">
        <v>5.0833000000000004</v>
      </c>
      <c r="C63">
        <v>62.79</v>
      </c>
      <c r="D63">
        <v>62.356499999999997</v>
      </c>
      <c r="E63">
        <v>84.958799999999997</v>
      </c>
      <c r="F63">
        <v>104.5851</v>
      </c>
      <c r="G63">
        <v>39.782699999999998</v>
      </c>
      <c r="H63">
        <v>20.092400000000001</v>
      </c>
      <c r="I63">
        <v>-14.311299999999999</v>
      </c>
    </row>
    <row r="64" spans="1:9" ht="16" customHeight="1" x14ac:dyDescent="0.2">
      <c r="A64">
        <v>63</v>
      </c>
      <c r="B64">
        <v>5.1666999999999996</v>
      </c>
      <c r="C64">
        <v>62.755699999999997</v>
      </c>
      <c r="D64">
        <v>62.613300000000002</v>
      </c>
      <c r="E64">
        <v>84.849900000000005</v>
      </c>
      <c r="F64">
        <v>104.42870000000001</v>
      </c>
      <c r="G64">
        <v>41.006999999999998</v>
      </c>
      <c r="H64">
        <v>20.857299999999999</v>
      </c>
      <c r="I64">
        <v>-14.1129</v>
      </c>
    </row>
    <row r="65" spans="1:9" ht="16" customHeight="1" x14ac:dyDescent="0.2">
      <c r="A65">
        <v>64</v>
      </c>
      <c r="B65">
        <v>5.25</v>
      </c>
      <c r="C65">
        <v>62.721499999999999</v>
      </c>
      <c r="D65">
        <v>62.583500000000001</v>
      </c>
      <c r="E65">
        <v>85.094200000000001</v>
      </c>
      <c r="F65">
        <v>105.0498</v>
      </c>
      <c r="G65">
        <v>40.791699999999999</v>
      </c>
      <c r="H65">
        <v>21.0581</v>
      </c>
      <c r="I65">
        <v>-15.600199999999999</v>
      </c>
    </row>
    <row r="66" spans="1:9" ht="16" customHeight="1" x14ac:dyDescent="0.2">
      <c r="A66">
        <v>65</v>
      </c>
      <c r="B66">
        <v>5.3333000000000004</v>
      </c>
      <c r="C66">
        <v>62.687199999999997</v>
      </c>
      <c r="D66">
        <v>63.014600000000002</v>
      </c>
      <c r="E66">
        <v>84.968900000000005</v>
      </c>
      <c r="F66">
        <v>105.01730000000001</v>
      </c>
      <c r="G66">
        <v>41.1066</v>
      </c>
      <c r="H66">
        <v>20.583200000000001</v>
      </c>
      <c r="I66">
        <v>-14.6386</v>
      </c>
    </row>
    <row r="67" spans="1:9" ht="16" customHeight="1" x14ac:dyDescent="0.2">
      <c r="A67">
        <v>66</v>
      </c>
      <c r="B67">
        <v>5.4166999999999996</v>
      </c>
      <c r="C67">
        <v>62.652900000000002</v>
      </c>
      <c r="D67">
        <v>62.804200000000002</v>
      </c>
      <c r="E67">
        <v>85.037199999999999</v>
      </c>
      <c r="F67">
        <v>104.7948</v>
      </c>
      <c r="G67">
        <v>40.781799999999997</v>
      </c>
      <c r="H67">
        <v>20.365600000000001</v>
      </c>
      <c r="I67">
        <v>-14.2339</v>
      </c>
    </row>
    <row r="68" spans="1:9" ht="16" customHeight="1" x14ac:dyDescent="0.2">
      <c r="A68">
        <v>67</v>
      </c>
      <c r="B68">
        <v>5.5</v>
      </c>
      <c r="C68">
        <v>62.618699999999997</v>
      </c>
      <c r="D68">
        <v>62.8996</v>
      </c>
      <c r="E68">
        <v>85.439800000000005</v>
      </c>
      <c r="F68">
        <v>105.1039</v>
      </c>
      <c r="G68">
        <v>40.555599999999998</v>
      </c>
      <c r="H68">
        <v>20.932200000000002</v>
      </c>
      <c r="I68">
        <v>-13.939</v>
      </c>
    </row>
    <row r="69" spans="1:9" ht="16" customHeight="1" x14ac:dyDescent="0.2">
      <c r="A69">
        <v>68</v>
      </c>
      <c r="B69">
        <v>5.5833000000000004</v>
      </c>
      <c r="C69">
        <v>62.584400000000002</v>
      </c>
      <c r="D69">
        <v>62.928100000000001</v>
      </c>
      <c r="E69">
        <v>84.856399999999994</v>
      </c>
      <c r="F69">
        <v>104.6435</v>
      </c>
      <c r="G69">
        <v>40.772399999999998</v>
      </c>
      <c r="H69">
        <v>20.709499999999998</v>
      </c>
      <c r="I69">
        <v>-13.5924</v>
      </c>
    </row>
    <row r="70" spans="1:9" ht="16" customHeight="1" x14ac:dyDescent="0.2">
      <c r="A70">
        <v>69</v>
      </c>
      <c r="B70">
        <v>5.6666999999999996</v>
      </c>
      <c r="C70">
        <v>62.5501</v>
      </c>
      <c r="D70">
        <v>62.620800000000003</v>
      </c>
      <c r="E70">
        <v>85.415199999999999</v>
      </c>
      <c r="F70">
        <v>105.58459999999999</v>
      </c>
      <c r="G70">
        <v>40.764600000000002</v>
      </c>
      <c r="H70">
        <v>21.173999999999999</v>
      </c>
      <c r="I70">
        <v>-14.416399999999999</v>
      </c>
    </row>
    <row r="71" spans="1:9" ht="16" customHeight="1" x14ac:dyDescent="0.2">
      <c r="A71">
        <v>70</v>
      </c>
      <c r="B71">
        <v>5.75</v>
      </c>
      <c r="C71">
        <v>62.515900000000002</v>
      </c>
      <c r="D71">
        <v>62.820099999999996</v>
      </c>
      <c r="E71">
        <v>85.890100000000004</v>
      </c>
      <c r="F71">
        <v>105.0303</v>
      </c>
      <c r="G71">
        <v>40.758299999999998</v>
      </c>
      <c r="H71">
        <v>20.366</v>
      </c>
      <c r="I71">
        <v>-12.809699999999999</v>
      </c>
    </row>
    <row r="72" spans="1:9" ht="16" customHeight="1" x14ac:dyDescent="0.2">
      <c r="A72">
        <v>71</v>
      </c>
      <c r="B72">
        <v>5.8333000000000004</v>
      </c>
      <c r="C72">
        <v>62.4816</v>
      </c>
      <c r="D72">
        <v>63.287399999999998</v>
      </c>
      <c r="E72">
        <v>85.456599999999995</v>
      </c>
      <c r="F72">
        <v>104.81950000000001</v>
      </c>
      <c r="G72">
        <v>41.052100000000003</v>
      </c>
      <c r="H72">
        <v>20.252700000000001</v>
      </c>
      <c r="I72">
        <v>-12.5524</v>
      </c>
    </row>
    <row r="73" spans="1:9" ht="16" customHeight="1" x14ac:dyDescent="0.2">
      <c r="A73">
        <v>72</v>
      </c>
      <c r="B73">
        <v>5.9166999999999996</v>
      </c>
      <c r="C73">
        <v>62.447400000000002</v>
      </c>
      <c r="D73">
        <v>63.168700000000001</v>
      </c>
      <c r="E73">
        <v>85.957800000000006</v>
      </c>
      <c r="F73">
        <v>104.794</v>
      </c>
      <c r="G73">
        <v>41.043500000000002</v>
      </c>
      <c r="H73">
        <v>20.1584</v>
      </c>
      <c r="I73">
        <v>-14.5814</v>
      </c>
    </row>
    <row r="74" spans="1:9" ht="16" customHeight="1" x14ac:dyDescent="0.2">
      <c r="A74">
        <v>73</v>
      </c>
      <c r="B74">
        <v>6</v>
      </c>
      <c r="C74">
        <v>62.4131</v>
      </c>
      <c r="D74">
        <v>62.891599999999997</v>
      </c>
      <c r="E74">
        <v>85.126599999999996</v>
      </c>
      <c r="F74">
        <v>104.23560000000001</v>
      </c>
      <c r="G74">
        <v>41.551600000000001</v>
      </c>
      <c r="H74">
        <v>21.034800000000001</v>
      </c>
      <c r="I74">
        <v>-14.459099999999999</v>
      </c>
    </row>
    <row r="75" spans="1:9" ht="16" customHeight="1" x14ac:dyDescent="0.2">
      <c r="A75">
        <v>74</v>
      </c>
      <c r="B75">
        <v>6.0833000000000004</v>
      </c>
      <c r="C75">
        <v>62.378799999999998</v>
      </c>
      <c r="D75">
        <v>62.721299999999999</v>
      </c>
      <c r="E75">
        <v>84.885000000000005</v>
      </c>
      <c r="F75">
        <v>105.1266</v>
      </c>
      <c r="G75">
        <v>40.712600000000002</v>
      </c>
      <c r="H75">
        <v>20.829799999999999</v>
      </c>
      <c r="I75">
        <v>-14.246700000000001</v>
      </c>
    </row>
    <row r="76" spans="1:9" ht="16" customHeight="1" x14ac:dyDescent="0.2">
      <c r="A76">
        <v>75</v>
      </c>
      <c r="B76">
        <v>6.1666999999999996</v>
      </c>
      <c r="C76">
        <v>62.3446</v>
      </c>
      <c r="D76">
        <v>62.930500000000002</v>
      </c>
      <c r="E76">
        <v>84.940399999999997</v>
      </c>
      <c r="F76">
        <v>104.3575</v>
      </c>
      <c r="G76">
        <v>40.783999999999999</v>
      </c>
      <c r="H76">
        <v>20.412199999999999</v>
      </c>
      <c r="I76">
        <v>-13.198700000000001</v>
      </c>
    </row>
    <row r="77" spans="1:9" ht="16" customHeight="1" x14ac:dyDescent="0.2">
      <c r="A77">
        <v>76</v>
      </c>
      <c r="B77">
        <v>6.25</v>
      </c>
      <c r="C77">
        <v>62.310299999999998</v>
      </c>
      <c r="D77">
        <v>62.6355</v>
      </c>
      <c r="E77">
        <v>85.189599999999999</v>
      </c>
      <c r="F77">
        <v>104.0579</v>
      </c>
      <c r="G77">
        <v>39.939</v>
      </c>
      <c r="H77">
        <v>20.498699999999999</v>
      </c>
      <c r="I77">
        <v>-13.7272</v>
      </c>
    </row>
    <row r="78" spans="1:9" ht="16" customHeight="1" x14ac:dyDescent="0.2">
      <c r="A78">
        <v>77</v>
      </c>
      <c r="B78">
        <v>6.3333000000000004</v>
      </c>
      <c r="C78">
        <v>62.2761</v>
      </c>
      <c r="D78">
        <v>62.648899999999998</v>
      </c>
      <c r="E78">
        <v>84.968900000000005</v>
      </c>
      <c r="F78">
        <v>104.74509999999999</v>
      </c>
      <c r="G78">
        <v>40.317999999999998</v>
      </c>
      <c r="H78">
        <v>19.7179</v>
      </c>
      <c r="I78">
        <v>-14.894299999999999</v>
      </c>
    </row>
    <row r="79" spans="1:9" ht="16" customHeight="1" x14ac:dyDescent="0.2">
      <c r="A79">
        <v>78</v>
      </c>
      <c r="B79">
        <v>6.4166999999999996</v>
      </c>
      <c r="C79">
        <v>62.241799999999998</v>
      </c>
      <c r="D79">
        <v>62.814100000000003</v>
      </c>
      <c r="E79">
        <v>85.359399999999994</v>
      </c>
      <c r="F79">
        <v>105.3045</v>
      </c>
      <c r="G79">
        <v>40.266599999999997</v>
      </c>
      <c r="H79">
        <v>20.251100000000001</v>
      </c>
      <c r="I79">
        <v>-14.1244</v>
      </c>
    </row>
    <row r="80" spans="1:9" ht="16" customHeight="1" x14ac:dyDescent="0.2">
      <c r="A80">
        <v>79</v>
      </c>
      <c r="B80">
        <v>6.5</v>
      </c>
      <c r="C80">
        <v>62.207500000000003</v>
      </c>
      <c r="D80">
        <v>63.0745</v>
      </c>
      <c r="E80">
        <v>84.990600000000001</v>
      </c>
      <c r="F80">
        <v>104.739</v>
      </c>
      <c r="G80">
        <v>40.231000000000002</v>
      </c>
      <c r="H80">
        <v>20.210999999999999</v>
      </c>
      <c r="I80">
        <v>-14.9331</v>
      </c>
    </row>
    <row r="81" spans="1:9" ht="16" customHeight="1" x14ac:dyDescent="0.2">
      <c r="A81">
        <v>80</v>
      </c>
      <c r="B81">
        <v>6.5833000000000004</v>
      </c>
      <c r="C81">
        <v>62.173299999999998</v>
      </c>
      <c r="D81">
        <v>62.987400000000001</v>
      </c>
      <c r="E81">
        <v>85.285399999999996</v>
      </c>
      <c r="F81">
        <v>104.8005</v>
      </c>
      <c r="G81">
        <v>40.405700000000003</v>
      </c>
      <c r="H81">
        <v>20.255500000000001</v>
      </c>
      <c r="I81">
        <v>-14.484299999999999</v>
      </c>
    </row>
    <row r="82" spans="1:9" ht="16" customHeight="1" x14ac:dyDescent="0.2">
      <c r="A82">
        <v>81</v>
      </c>
      <c r="B82">
        <v>6.6666999999999996</v>
      </c>
      <c r="C82">
        <v>62.139000000000003</v>
      </c>
      <c r="D82">
        <v>62.477699999999999</v>
      </c>
      <c r="E82">
        <v>84.906599999999997</v>
      </c>
      <c r="F82">
        <v>105.56</v>
      </c>
      <c r="G82">
        <v>40.563299999999998</v>
      </c>
      <c r="H82">
        <v>20.267700000000001</v>
      </c>
      <c r="I82">
        <v>-13.9704</v>
      </c>
    </row>
    <row r="83" spans="1:9" ht="16" customHeight="1" x14ac:dyDescent="0.2">
      <c r="A83">
        <v>82</v>
      </c>
      <c r="B83">
        <v>6.75</v>
      </c>
      <c r="C83">
        <v>62.104700000000001</v>
      </c>
      <c r="D83">
        <v>62.520099999999999</v>
      </c>
      <c r="E83">
        <v>84.956900000000005</v>
      </c>
      <c r="F83">
        <v>105.27549999999999</v>
      </c>
      <c r="G83">
        <v>39.909500000000001</v>
      </c>
      <c r="H83">
        <v>20.308199999999999</v>
      </c>
      <c r="I83">
        <v>-13.4672</v>
      </c>
    </row>
    <row r="84" spans="1:9" ht="16" customHeight="1" x14ac:dyDescent="0.2">
      <c r="A84">
        <v>83</v>
      </c>
      <c r="B84">
        <v>6.8333000000000004</v>
      </c>
      <c r="C84">
        <v>62.070500000000003</v>
      </c>
      <c r="D84">
        <v>62.274299999999997</v>
      </c>
      <c r="E84">
        <v>85.276499999999999</v>
      </c>
      <c r="F84">
        <v>105.35850000000001</v>
      </c>
      <c r="G84">
        <v>40.1083</v>
      </c>
      <c r="H84">
        <v>19.7926</v>
      </c>
      <c r="I84">
        <v>-11.973000000000001</v>
      </c>
    </row>
    <row r="85" spans="1:9" ht="16" customHeight="1" x14ac:dyDescent="0.2">
      <c r="A85">
        <v>84</v>
      </c>
      <c r="B85">
        <v>6.9166999999999996</v>
      </c>
      <c r="C85">
        <v>62.036200000000001</v>
      </c>
      <c r="D85">
        <v>62.398000000000003</v>
      </c>
      <c r="E85">
        <v>84.962599999999995</v>
      </c>
      <c r="F85">
        <v>104.9301</v>
      </c>
      <c r="G85">
        <v>39.8551</v>
      </c>
      <c r="H85">
        <v>20.025500000000001</v>
      </c>
      <c r="I85">
        <v>-14.044600000000001</v>
      </c>
    </row>
    <row r="86" spans="1:9" ht="16" customHeight="1" x14ac:dyDescent="0.2">
      <c r="A86">
        <v>85</v>
      </c>
      <c r="B86">
        <v>7</v>
      </c>
      <c r="C86">
        <v>62.002000000000002</v>
      </c>
      <c r="D86">
        <v>62.176699999999997</v>
      </c>
      <c r="E86">
        <v>84.604500000000002</v>
      </c>
      <c r="F86">
        <v>104.19370000000001</v>
      </c>
      <c r="G86">
        <v>39.718600000000002</v>
      </c>
      <c r="H86">
        <v>19.8169</v>
      </c>
      <c r="I86">
        <v>-14.858700000000001</v>
      </c>
    </row>
    <row r="87" spans="1:9" ht="16" customHeight="1" x14ac:dyDescent="0.2">
      <c r="A87">
        <v>86</v>
      </c>
      <c r="B87">
        <v>7.0833000000000004</v>
      </c>
      <c r="C87">
        <v>61.967700000000001</v>
      </c>
      <c r="D87">
        <v>62.078299999999999</v>
      </c>
      <c r="E87">
        <v>84.625600000000006</v>
      </c>
      <c r="F87">
        <v>104.4503</v>
      </c>
      <c r="G87">
        <v>39.724200000000003</v>
      </c>
      <c r="H87">
        <v>19.1494</v>
      </c>
      <c r="I87">
        <v>-17.5259</v>
      </c>
    </row>
    <row r="88" spans="1:9" ht="16" customHeight="1" x14ac:dyDescent="0.2">
      <c r="A88">
        <v>87</v>
      </c>
      <c r="B88">
        <v>7.1666999999999996</v>
      </c>
      <c r="C88">
        <v>61.933399999999999</v>
      </c>
      <c r="D88">
        <v>61.882800000000003</v>
      </c>
      <c r="E88">
        <v>84.9268</v>
      </c>
      <c r="F88">
        <v>104.4059</v>
      </c>
      <c r="G88">
        <v>39.5169</v>
      </c>
      <c r="H88">
        <v>19.346399999999999</v>
      </c>
      <c r="I88">
        <v>-16.604500000000002</v>
      </c>
    </row>
    <row r="89" spans="1:9" ht="16" customHeight="1" x14ac:dyDescent="0.2">
      <c r="A89">
        <v>88</v>
      </c>
      <c r="B89">
        <v>7.25</v>
      </c>
      <c r="C89">
        <v>61.8992</v>
      </c>
      <c r="D89">
        <v>61.758800000000001</v>
      </c>
      <c r="E89">
        <v>84.186199999999999</v>
      </c>
      <c r="F89">
        <v>104.6636</v>
      </c>
      <c r="G89">
        <v>39.351100000000002</v>
      </c>
      <c r="H89">
        <v>19.390499999999999</v>
      </c>
      <c r="I89">
        <v>-15.8719</v>
      </c>
    </row>
    <row r="90" spans="1:9" ht="16" customHeight="1" x14ac:dyDescent="0.2">
      <c r="A90">
        <v>89</v>
      </c>
      <c r="B90">
        <v>7.3333000000000004</v>
      </c>
      <c r="C90">
        <v>61.864899999999999</v>
      </c>
      <c r="D90">
        <v>62.489800000000002</v>
      </c>
      <c r="E90">
        <v>84.142399999999995</v>
      </c>
      <c r="F90">
        <v>103.9323</v>
      </c>
      <c r="G90">
        <v>39.638100000000001</v>
      </c>
      <c r="H90">
        <v>19.442900000000002</v>
      </c>
      <c r="I90">
        <v>-14.683</v>
      </c>
    </row>
    <row r="91" spans="1:9" ht="16" customHeight="1" x14ac:dyDescent="0.2">
      <c r="A91">
        <v>90</v>
      </c>
      <c r="B91">
        <v>7.4166999999999996</v>
      </c>
      <c r="C91">
        <v>61.8307</v>
      </c>
      <c r="D91">
        <v>62.011600000000001</v>
      </c>
      <c r="E91">
        <v>84.049400000000006</v>
      </c>
      <c r="F91">
        <v>104.3646</v>
      </c>
      <c r="G91">
        <v>39.6633</v>
      </c>
      <c r="H91">
        <v>19.7408</v>
      </c>
      <c r="I91">
        <v>-15.2051</v>
      </c>
    </row>
    <row r="92" spans="1:9" ht="16" customHeight="1" x14ac:dyDescent="0.2">
      <c r="A92">
        <v>91</v>
      </c>
      <c r="B92">
        <v>7.5</v>
      </c>
      <c r="C92">
        <v>61.796399999999998</v>
      </c>
      <c r="D92">
        <v>61.820099999999996</v>
      </c>
      <c r="E92">
        <v>84.110600000000005</v>
      </c>
      <c r="F92">
        <v>104.11669999999999</v>
      </c>
      <c r="G92">
        <v>39.2425</v>
      </c>
      <c r="H92">
        <v>19.310199999999998</v>
      </c>
      <c r="I92">
        <v>-14.3461</v>
      </c>
    </row>
    <row r="93" spans="1:9" ht="16" customHeight="1" x14ac:dyDescent="0.2">
      <c r="A93">
        <v>92</v>
      </c>
      <c r="B93">
        <v>7.5833000000000004</v>
      </c>
      <c r="C93">
        <v>61.762099999999997</v>
      </c>
      <c r="D93">
        <v>61.529000000000003</v>
      </c>
      <c r="E93">
        <v>84.088300000000004</v>
      </c>
      <c r="F93">
        <v>103.1152</v>
      </c>
      <c r="G93">
        <v>39.909599999999998</v>
      </c>
      <c r="H93">
        <v>19.654599999999999</v>
      </c>
      <c r="I93">
        <v>-13.7967</v>
      </c>
    </row>
    <row r="94" spans="1:9" ht="16" customHeight="1" x14ac:dyDescent="0.2">
      <c r="A94">
        <v>93</v>
      </c>
      <c r="B94">
        <v>7.6666999999999996</v>
      </c>
      <c r="C94">
        <v>61.727899999999998</v>
      </c>
      <c r="D94">
        <v>61.644199999999998</v>
      </c>
      <c r="E94">
        <v>83.3001</v>
      </c>
      <c r="F94">
        <v>103.5711</v>
      </c>
      <c r="G94">
        <v>39.685600000000001</v>
      </c>
      <c r="H94">
        <v>19.003599999999999</v>
      </c>
      <c r="I94">
        <v>-14.792999999999999</v>
      </c>
    </row>
    <row r="95" spans="1:9" ht="16" customHeight="1" x14ac:dyDescent="0.2">
      <c r="A95">
        <v>94</v>
      </c>
      <c r="B95">
        <v>7.75</v>
      </c>
      <c r="C95">
        <v>61.693600000000004</v>
      </c>
      <c r="D95">
        <v>61.483800000000002</v>
      </c>
      <c r="E95">
        <v>83.599800000000002</v>
      </c>
      <c r="F95">
        <v>103.7415</v>
      </c>
      <c r="G95">
        <v>39.302500000000002</v>
      </c>
      <c r="H95">
        <v>19.140899999999998</v>
      </c>
      <c r="I95">
        <v>-12.9876</v>
      </c>
    </row>
    <row r="96" spans="1:9" ht="16" customHeight="1" x14ac:dyDescent="0.2">
      <c r="A96">
        <v>95</v>
      </c>
      <c r="B96">
        <v>7.8333000000000004</v>
      </c>
      <c r="C96">
        <v>61.659300000000002</v>
      </c>
      <c r="D96">
        <v>61.343000000000004</v>
      </c>
      <c r="E96">
        <v>83.544200000000004</v>
      </c>
      <c r="F96">
        <v>103.0638</v>
      </c>
      <c r="G96">
        <v>39.275599999999997</v>
      </c>
      <c r="H96">
        <v>18.576799999999999</v>
      </c>
      <c r="I96">
        <v>-16.6783</v>
      </c>
    </row>
    <row r="97" spans="1:9" ht="16" customHeight="1" x14ac:dyDescent="0.2">
      <c r="A97">
        <v>96</v>
      </c>
      <c r="B97">
        <v>7.9166999999999996</v>
      </c>
      <c r="C97">
        <v>61.625100000000003</v>
      </c>
      <c r="D97">
        <v>60.9542</v>
      </c>
      <c r="E97">
        <v>83.273700000000005</v>
      </c>
      <c r="F97">
        <v>103.24379999999999</v>
      </c>
      <c r="G97">
        <v>39.3431</v>
      </c>
      <c r="H97">
        <v>19.251999999999999</v>
      </c>
      <c r="I97">
        <v>-17.8401</v>
      </c>
    </row>
    <row r="98" spans="1:9" ht="16" customHeight="1" x14ac:dyDescent="0.2">
      <c r="A98">
        <v>97</v>
      </c>
      <c r="B98">
        <v>8</v>
      </c>
      <c r="C98">
        <v>61.590800000000002</v>
      </c>
      <c r="D98">
        <v>60.433999999999997</v>
      </c>
      <c r="E98">
        <v>83.136200000000002</v>
      </c>
      <c r="F98">
        <v>103.4725</v>
      </c>
      <c r="G98">
        <v>38.6877</v>
      </c>
      <c r="H98">
        <v>18.147400000000001</v>
      </c>
      <c r="I98">
        <v>-16.38</v>
      </c>
    </row>
    <row r="99" spans="1:9" ht="16" customHeight="1" x14ac:dyDescent="0.2">
      <c r="A99">
        <v>98</v>
      </c>
      <c r="B99">
        <v>8.0832999999999995</v>
      </c>
      <c r="C99">
        <v>61.556600000000003</v>
      </c>
      <c r="D99">
        <v>60.3001</v>
      </c>
      <c r="E99">
        <v>83.616600000000005</v>
      </c>
      <c r="F99">
        <v>104.0874</v>
      </c>
      <c r="G99">
        <v>38.525599999999997</v>
      </c>
      <c r="H99">
        <v>18.488900000000001</v>
      </c>
      <c r="I99">
        <v>-14.069699999999999</v>
      </c>
    </row>
    <row r="100" spans="1:9" ht="16" customHeight="1" x14ac:dyDescent="0.2">
      <c r="A100">
        <v>99</v>
      </c>
      <c r="B100">
        <v>8.1667000000000005</v>
      </c>
      <c r="C100">
        <v>61.522300000000001</v>
      </c>
      <c r="D100">
        <v>60.472999999999999</v>
      </c>
      <c r="E100">
        <v>83.106300000000005</v>
      </c>
      <c r="F100">
        <v>103.7557</v>
      </c>
      <c r="G100">
        <v>38.545400000000001</v>
      </c>
      <c r="H100">
        <v>18.901</v>
      </c>
      <c r="I100">
        <v>-14.218400000000001</v>
      </c>
    </row>
    <row r="101" spans="1:9" ht="16" customHeight="1" x14ac:dyDescent="0.2">
      <c r="A101">
        <v>100</v>
      </c>
      <c r="B101">
        <v>8.25</v>
      </c>
      <c r="C101">
        <v>61.488</v>
      </c>
      <c r="D101">
        <v>60.869599999999998</v>
      </c>
      <c r="E101">
        <v>82.942999999999998</v>
      </c>
      <c r="F101">
        <v>103.3719</v>
      </c>
      <c r="G101">
        <v>38.4497</v>
      </c>
      <c r="H101">
        <v>18.347999999999999</v>
      </c>
      <c r="I101">
        <v>-14.901899999999999</v>
      </c>
    </row>
    <row r="102" spans="1:9" ht="16" customHeight="1" x14ac:dyDescent="0.2">
      <c r="A102">
        <v>101</v>
      </c>
      <c r="B102">
        <v>8.3332999999999995</v>
      </c>
      <c r="C102">
        <v>61.453800000000001</v>
      </c>
      <c r="D102">
        <v>60.967199999999998</v>
      </c>
      <c r="E102">
        <v>82.741600000000005</v>
      </c>
      <c r="F102">
        <v>102.8931</v>
      </c>
      <c r="G102">
        <v>38.511699999999998</v>
      </c>
      <c r="H102">
        <v>18.794799999999999</v>
      </c>
      <c r="I102">
        <v>-16.207899999999999</v>
      </c>
    </row>
    <row r="103" spans="1:9" ht="16" customHeight="1" x14ac:dyDescent="0.2">
      <c r="A103">
        <v>102</v>
      </c>
      <c r="B103">
        <v>8.4167000000000005</v>
      </c>
      <c r="C103">
        <v>61.419499999999999</v>
      </c>
      <c r="D103">
        <v>60.7791</v>
      </c>
      <c r="E103">
        <v>83.052700000000002</v>
      </c>
      <c r="F103">
        <v>103.48</v>
      </c>
      <c r="G103">
        <v>39.366900000000001</v>
      </c>
      <c r="H103">
        <v>19.574000000000002</v>
      </c>
      <c r="I103">
        <v>-15.758599999999999</v>
      </c>
    </row>
    <row r="104" spans="1:9" ht="16" customHeight="1" x14ac:dyDescent="0.2">
      <c r="A104">
        <v>103</v>
      </c>
      <c r="B104">
        <v>8.5</v>
      </c>
      <c r="C104">
        <v>61.385300000000001</v>
      </c>
      <c r="D104">
        <v>61.364400000000003</v>
      </c>
      <c r="E104">
        <v>83.367500000000007</v>
      </c>
      <c r="F104">
        <v>103.4362</v>
      </c>
      <c r="G104">
        <v>39.252600000000001</v>
      </c>
      <c r="H104">
        <v>19.085599999999999</v>
      </c>
      <c r="I104">
        <v>-15.114800000000001</v>
      </c>
    </row>
    <row r="105" spans="1:9" ht="16" customHeight="1" x14ac:dyDescent="0.2">
      <c r="A105">
        <v>104</v>
      </c>
      <c r="B105">
        <v>8.5832999999999995</v>
      </c>
      <c r="C105">
        <v>61.350999999999999</v>
      </c>
      <c r="D105">
        <v>61.255400000000002</v>
      </c>
      <c r="E105">
        <v>83.169200000000004</v>
      </c>
      <c r="F105">
        <v>103.6602</v>
      </c>
      <c r="G105">
        <v>39.027299999999997</v>
      </c>
      <c r="H105">
        <v>18.6663</v>
      </c>
      <c r="I105">
        <v>-16.111499999999999</v>
      </c>
    </row>
    <row r="106" spans="1:9" ht="16" customHeight="1" x14ac:dyDescent="0.2">
      <c r="A106">
        <v>105</v>
      </c>
      <c r="B106">
        <v>8.6667000000000005</v>
      </c>
      <c r="C106">
        <v>61.316699999999997</v>
      </c>
      <c r="D106">
        <v>61.037399999999998</v>
      </c>
      <c r="E106">
        <v>82.926299999999998</v>
      </c>
      <c r="F106">
        <v>103.876</v>
      </c>
      <c r="G106">
        <v>38.567399999999999</v>
      </c>
      <c r="H106">
        <v>18.799299999999999</v>
      </c>
      <c r="I106">
        <v>-17.392700000000001</v>
      </c>
    </row>
    <row r="107" spans="1:9" ht="16" customHeight="1" x14ac:dyDescent="0.2">
      <c r="A107">
        <v>106</v>
      </c>
      <c r="B107">
        <v>8.75</v>
      </c>
      <c r="C107">
        <v>61.282499999999999</v>
      </c>
      <c r="D107">
        <v>61.084000000000003</v>
      </c>
      <c r="E107">
        <v>83.415499999999994</v>
      </c>
      <c r="F107">
        <v>103.3539</v>
      </c>
      <c r="G107">
        <v>38.7971</v>
      </c>
      <c r="H107">
        <v>18.683900000000001</v>
      </c>
      <c r="I107">
        <v>-14.813000000000001</v>
      </c>
    </row>
    <row r="108" spans="1:9" ht="16" customHeight="1" x14ac:dyDescent="0.2">
      <c r="A108">
        <v>107</v>
      </c>
      <c r="B108">
        <v>8.8332999999999995</v>
      </c>
      <c r="C108">
        <v>61.248199999999997</v>
      </c>
      <c r="D108">
        <v>61.1586</v>
      </c>
      <c r="E108">
        <v>83.963700000000003</v>
      </c>
      <c r="F108">
        <v>104.0643</v>
      </c>
      <c r="G108">
        <v>38.7776</v>
      </c>
      <c r="H108">
        <v>18.810400000000001</v>
      </c>
      <c r="I108">
        <v>-16.495899999999999</v>
      </c>
    </row>
    <row r="109" spans="1:9" ht="16" customHeight="1" x14ac:dyDescent="0.2">
      <c r="A109">
        <v>108</v>
      </c>
      <c r="B109">
        <v>8.9167000000000005</v>
      </c>
      <c r="C109">
        <v>61.213900000000002</v>
      </c>
      <c r="D109">
        <v>61.577399999999997</v>
      </c>
      <c r="E109">
        <v>83.448999999999998</v>
      </c>
      <c r="F109">
        <v>103.729</v>
      </c>
      <c r="G109">
        <v>38.900700000000001</v>
      </c>
      <c r="H109">
        <v>18.794599999999999</v>
      </c>
      <c r="I109">
        <v>-15.9916</v>
      </c>
    </row>
    <row r="110" spans="1:9" ht="16" customHeight="1" x14ac:dyDescent="0.2">
      <c r="A110">
        <v>109</v>
      </c>
      <c r="B110">
        <v>9</v>
      </c>
      <c r="C110">
        <v>61.179699999999997</v>
      </c>
      <c r="D110">
        <v>61.240200000000002</v>
      </c>
      <c r="E110">
        <v>83.480199999999996</v>
      </c>
      <c r="F110">
        <v>103.124</v>
      </c>
      <c r="G110">
        <v>38.804600000000001</v>
      </c>
      <c r="H110">
        <v>18.840199999999999</v>
      </c>
      <c r="I110">
        <v>-15.6677</v>
      </c>
    </row>
    <row r="111" spans="1:9" ht="16" customHeight="1" x14ac:dyDescent="0.2">
      <c r="A111">
        <v>110</v>
      </c>
      <c r="B111">
        <v>9.0832999999999995</v>
      </c>
      <c r="C111">
        <v>61.145400000000002</v>
      </c>
      <c r="D111">
        <v>61.502299999999998</v>
      </c>
      <c r="E111">
        <v>83.6023</v>
      </c>
      <c r="F111">
        <v>104.1474</v>
      </c>
      <c r="G111">
        <v>38.374600000000001</v>
      </c>
      <c r="H111">
        <v>19.079599999999999</v>
      </c>
      <c r="I111">
        <v>-15.3741</v>
      </c>
    </row>
    <row r="112" spans="1:9" ht="16" customHeight="1" x14ac:dyDescent="0.2">
      <c r="A112">
        <v>111</v>
      </c>
      <c r="B112">
        <v>9.1667000000000005</v>
      </c>
      <c r="C112">
        <v>61.111199999999997</v>
      </c>
      <c r="D112">
        <v>60.835599999999999</v>
      </c>
      <c r="E112">
        <v>83.547700000000006</v>
      </c>
      <c r="F112">
        <v>103.8365</v>
      </c>
      <c r="G112">
        <v>38.434199999999997</v>
      </c>
      <c r="H112">
        <v>18.123699999999999</v>
      </c>
      <c r="I112">
        <v>-16.553699999999999</v>
      </c>
    </row>
    <row r="113" spans="1:9" ht="16" customHeight="1" x14ac:dyDescent="0.2">
      <c r="A113">
        <v>112</v>
      </c>
      <c r="B113">
        <v>9.25</v>
      </c>
      <c r="C113">
        <v>61.076900000000002</v>
      </c>
      <c r="D113">
        <v>61.0535</v>
      </c>
      <c r="E113">
        <v>83.732299999999995</v>
      </c>
      <c r="F113">
        <v>103.62779999999999</v>
      </c>
      <c r="G113">
        <v>38.320799999999998</v>
      </c>
      <c r="H113">
        <v>18.407800000000002</v>
      </c>
      <c r="I113">
        <v>-16.214200000000002</v>
      </c>
    </row>
    <row r="114" spans="1:9" ht="16" customHeight="1" x14ac:dyDescent="0.2">
      <c r="A114">
        <v>113</v>
      </c>
      <c r="B114">
        <v>9.3332999999999995</v>
      </c>
      <c r="C114">
        <v>61.0426</v>
      </c>
      <c r="D114">
        <v>60.529499999999999</v>
      </c>
      <c r="E114">
        <v>83.105999999999995</v>
      </c>
      <c r="F114">
        <v>103.6986</v>
      </c>
      <c r="G114">
        <v>38.415700000000001</v>
      </c>
      <c r="H114">
        <v>18.619299999999999</v>
      </c>
      <c r="I114">
        <v>-15.9712</v>
      </c>
    </row>
    <row r="115" spans="1:9" ht="16" customHeight="1" x14ac:dyDescent="0.2">
      <c r="A115">
        <v>114</v>
      </c>
      <c r="B115">
        <v>9.4167000000000005</v>
      </c>
      <c r="C115">
        <v>61.008400000000002</v>
      </c>
      <c r="D115">
        <v>60.994</v>
      </c>
      <c r="E115">
        <v>83.184799999999996</v>
      </c>
      <c r="F115">
        <v>104.1523</v>
      </c>
      <c r="G115">
        <v>38.632599999999996</v>
      </c>
      <c r="H115">
        <v>18.940899999999999</v>
      </c>
      <c r="I115">
        <v>-16.410299999999999</v>
      </c>
    </row>
    <row r="116" spans="1:9" ht="16" customHeight="1" x14ac:dyDescent="0.2">
      <c r="A116">
        <v>115</v>
      </c>
      <c r="B116">
        <v>9.5</v>
      </c>
      <c r="C116">
        <v>60.9741</v>
      </c>
      <c r="D116">
        <v>60.7776</v>
      </c>
      <c r="E116">
        <v>83.020200000000003</v>
      </c>
      <c r="F116">
        <v>103.7169</v>
      </c>
      <c r="G116">
        <v>38.342599999999997</v>
      </c>
      <c r="H116">
        <v>18.853300000000001</v>
      </c>
      <c r="I116">
        <v>-15.899100000000001</v>
      </c>
    </row>
    <row r="117" spans="1:9" ht="16" customHeight="1" x14ac:dyDescent="0.2">
      <c r="A117">
        <v>116</v>
      </c>
      <c r="B117">
        <v>9.5832999999999995</v>
      </c>
      <c r="C117">
        <v>60.939900000000002</v>
      </c>
      <c r="D117">
        <v>60.989199999999997</v>
      </c>
      <c r="E117">
        <v>83.088399999999993</v>
      </c>
      <c r="F117">
        <v>102.9686</v>
      </c>
      <c r="G117">
        <v>37.936700000000002</v>
      </c>
      <c r="H117">
        <v>18.28</v>
      </c>
      <c r="I117">
        <v>-19.121200000000002</v>
      </c>
    </row>
    <row r="118" spans="1:9" ht="16" customHeight="1" x14ac:dyDescent="0.2">
      <c r="A118">
        <v>117</v>
      </c>
      <c r="B118">
        <v>9.6667000000000005</v>
      </c>
      <c r="C118">
        <v>60.9056</v>
      </c>
      <c r="D118">
        <v>60.859000000000002</v>
      </c>
      <c r="E118">
        <v>83.754900000000006</v>
      </c>
      <c r="F118">
        <v>104.0425</v>
      </c>
      <c r="G118">
        <v>38.707900000000002</v>
      </c>
      <c r="H118">
        <v>18.420500000000001</v>
      </c>
      <c r="I118">
        <v>-16.9329</v>
      </c>
    </row>
    <row r="119" spans="1:9" ht="16" customHeight="1" x14ac:dyDescent="0.2">
      <c r="A119">
        <v>118</v>
      </c>
      <c r="B119">
        <v>9.75</v>
      </c>
      <c r="C119">
        <v>60.871299999999998</v>
      </c>
      <c r="D119">
        <v>60.968400000000003</v>
      </c>
      <c r="E119">
        <v>83.780100000000004</v>
      </c>
      <c r="F119">
        <v>103.405</v>
      </c>
      <c r="G119">
        <v>38.408099999999997</v>
      </c>
      <c r="H119">
        <v>18.264199999999999</v>
      </c>
      <c r="I119">
        <v>-16.0822</v>
      </c>
    </row>
    <row r="120" spans="1:9" ht="16" customHeight="1" x14ac:dyDescent="0.2">
      <c r="A120">
        <v>119</v>
      </c>
      <c r="B120">
        <v>9.8332999999999995</v>
      </c>
      <c r="C120">
        <v>60.8371</v>
      </c>
      <c r="D120">
        <v>60.726399999999998</v>
      </c>
      <c r="E120">
        <v>83.2119</v>
      </c>
      <c r="F120">
        <v>104.0852</v>
      </c>
      <c r="G120">
        <v>38.6999</v>
      </c>
      <c r="H120">
        <v>18.784800000000001</v>
      </c>
      <c r="I120">
        <v>-16.359400000000001</v>
      </c>
    </row>
    <row r="121" spans="1:9" ht="16" customHeight="1" x14ac:dyDescent="0.2">
      <c r="A121">
        <v>120</v>
      </c>
      <c r="B121">
        <v>9.9167000000000005</v>
      </c>
      <c r="C121">
        <v>60.802799999999998</v>
      </c>
      <c r="D121">
        <v>60.670499999999997</v>
      </c>
      <c r="E121">
        <v>82.975399999999993</v>
      </c>
      <c r="F121">
        <v>102.6712</v>
      </c>
      <c r="G121">
        <v>38.932699999999997</v>
      </c>
      <c r="H121">
        <v>18.274899999999999</v>
      </c>
      <c r="I121">
        <v>-17.661999999999999</v>
      </c>
    </row>
    <row r="122" spans="1:9" ht="16" customHeight="1" x14ac:dyDescent="0.2">
      <c r="A122">
        <v>121</v>
      </c>
      <c r="B122">
        <v>10</v>
      </c>
      <c r="C122">
        <v>60.768500000000003</v>
      </c>
      <c r="D122">
        <v>61.146299999999997</v>
      </c>
      <c r="E122">
        <v>83.2029</v>
      </c>
      <c r="F122">
        <v>102.8569</v>
      </c>
      <c r="G122">
        <v>39.217700000000001</v>
      </c>
      <c r="H122">
        <v>18.497499999999999</v>
      </c>
      <c r="I122">
        <v>-14.7202</v>
      </c>
    </row>
    <row r="123" spans="1:9" ht="16" customHeight="1" x14ac:dyDescent="0.2">
      <c r="A123">
        <v>122</v>
      </c>
      <c r="B123">
        <v>10.083299999999999</v>
      </c>
      <c r="C123">
        <v>60.734299999999998</v>
      </c>
      <c r="D123">
        <v>61.206400000000002</v>
      </c>
      <c r="E123">
        <v>83.732799999999997</v>
      </c>
      <c r="F123">
        <v>103.6764</v>
      </c>
      <c r="G123">
        <v>38.939500000000002</v>
      </c>
      <c r="H123">
        <v>18.491099999999999</v>
      </c>
      <c r="I123">
        <v>-14.688499999999999</v>
      </c>
    </row>
    <row r="124" spans="1:9" ht="16" customHeight="1" x14ac:dyDescent="0.2">
      <c r="A124">
        <v>123</v>
      </c>
      <c r="B124">
        <v>10.166700000000001</v>
      </c>
      <c r="C124">
        <v>60.7</v>
      </c>
      <c r="D124">
        <v>61.753700000000002</v>
      </c>
      <c r="E124">
        <v>83.232500000000002</v>
      </c>
      <c r="F124">
        <v>102.9127</v>
      </c>
      <c r="G124">
        <v>39.164000000000001</v>
      </c>
      <c r="H124">
        <v>19.0291</v>
      </c>
      <c r="I124">
        <v>-17.2074</v>
      </c>
    </row>
    <row r="125" spans="1:9" ht="16" customHeight="1" x14ac:dyDescent="0.2">
      <c r="A125">
        <v>124</v>
      </c>
      <c r="B125">
        <v>10.25</v>
      </c>
      <c r="C125">
        <v>60.665799999999997</v>
      </c>
      <c r="D125">
        <v>61.686599999999999</v>
      </c>
      <c r="E125">
        <v>83.361199999999997</v>
      </c>
      <c r="F125">
        <v>103.0419</v>
      </c>
      <c r="G125">
        <v>39.212400000000002</v>
      </c>
      <c r="H125">
        <v>18.373799999999999</v>
      </c>
      <c r="I125">
        <v>-16.354800000000001</v>
      </c>
    </row>
    <row r="126" spans="1:9" ht="16" customHeight="1" x14ac:dyDescent="0.2">
      <c r="A126">
        <v>125</v>
      </c>
      <c r="B126">
        <v>10.333299999999999</v>
      </c>
      <c r="C126">
        <v>60.631500000000003</v>
      </c>
      <c r="D126">
        <v>60.947600000000001</v>
      </c>
      <c r="E126">
        <v>82.724699999999999</v>
      </c>
      <c r="F126">
        <v>102.3314</v>
      </c>
      <c r="G126">
        <v>38.3474</v>
      </c>
      <c r="H126">
        <v>17.649899999999999</v>
      </c>
      <c r="I126">
        <v>-15.916399999999999</v>
      </c>
    </row>
    <row r="127" spans="1:9" ht="16" customHeight="1" x14ac:dyDescent="0.2">
      <c r="A127">
        <v>126</v>
      </c>
      <c r="B127">
        <v>10.416700000000001</v>
      </c>
      <c r="C127">
        <v>60.597200000000001</v>
      </c>
      <c r="D127">
        <v>60.886899999999997</v>
      </c>
      <c r="E127">
        <v>82.122299999999996</v>
      </c>
      <c r="F127">
        <v>102.20659999999999</v>
      </c>
      <c r="G127">
        <v>38.275500000000001</v>
      </c>
      <c r="H127">
        <v>18.0595</v>
      </c>
      <c r="I127">
        <v>-17.090699999999998</v>
      </c>
    </row>
    <row r="128" spans="1:9" ht="16" customHeight="1" x14ac:dyDescent="0.2">
      <c r="A128">
        <v>127</v>
      </c>
      <c r="B128">
        <v>10.5</v>
      </c>
      <c r="C128">
        <v>60.563000000000002</v>
      </c>
      <c r="D128">
        <v>60.445799999999998</v>
      </c>
      <c r="E128">
        <v>82.745099999999994</v>
      </c>
      <c r="F128">
        <v>102.40049999999999</v>
      </c>
      <c r="G128">
        <v>37.814300000000003</v>
      </c>
      <c r="H128">
        <v>17.9162</v>
      </c>
      <c r="I128">
        <v>-17.619299999999999</v>
      </c>
    </row>
    <row r="129" spans="1:9" ht="16" customHeight="1" x14ac:dyDescent="0.2">
      <c r="A129">
        <v>128</v>
      </c>
      <c r="B129">
        <v>10.583299999999999</v>
      </c>
      <c r="C129">
        <v>60.528700000000001</v>
      </c>
      <c r="D129">
        <v>60.150300000000001</v>
      </c>
      <c r="E129">
        <v>82.751900000000006</v>
      </c>
      <c r="F129">
        <v>103.4308</v>
      </c>
      <c r="G129">
        <v>37.840499999999999</v>
      </c>
      <c r="H129">
        <v>17.8065</v>
      </c>
      <c r="I129">
        <v>-17.385300000000001</v>
      </c>
    </row>
    <row r="130" spans="1:9" ht="16" customHeight="1" x14ac:dyDescent="0.2">
      <c r="A130">
        <v>129</v>
      </c>
      <c r="B130">
        <v>10.666700000000001</v>
      </c>
      <c r="C130">
        <v>60.494500000000002</v>
      </c>
      <c r="D130">
        <v>60.156999999999996</v>
      </c>
      <c r="E130">
        <v>82.257000000000005</v>
      </c>
      <c r="F130">
        <v>102.1999</v>
      </c>
      <c r="G130">
        <v>37.350900000000003</v>
      </c>
      <c r="H130">
        <v>17.340299999999999</v>
      </c>
      <c r="I130">
        <v>-16.589500000000001</v>
      </c>
    </row>
    <row r="131" spans="1:9" ht="16" customHeight="1" x14ac:dyDescent="0.2">
      <c r="A131">
        <v>130</v>
      </c>
      <c r="B131">
        <v>10.75</v>
      </c>
      <c r="C131">
        <v>60.4602</v>
      </c>
      <c r="D131">
        <v>60.278799999999997</v>
      </c>
      <c r="E131">
        <v>82.603800000000007</v>
      </c>
      <c r="F131">
        <v>102.2739</v>
      </c>
      <c r="G131">
        <v>37.6081</v>
      </c>
      <c r="H131">
        <v>17.485299999999999</v>
      </c>
      <c r="I131">
        <v>-17.134499999999999</v>
      </c>
    </row>
    <row r="132" spans="1:9" ht="16" customHeight="1" x14ac:dyDescent="0.2">
      <c r="A132">
        <v>131</v>
      </c>
      <c r="B132">
        <v>10.833299999999999</v>
      </c>
      <c r="C132">
        <v>60.425899999999999</v>
      </c>
      <c r="D132">
        <v>59.587400000000002</v>
      </c>
      <c r="E132">
        <v>82.894099999999995</v>
      </c>
      <c r="F132">
        <v>102.51300000000001</v>
      </c>
      <c r="G132">
        <v>37.137300000000003</v>
      </c>
      <c r="H132">
        <v>17.221599999999999</v>
      </c>
      <c r="I132">
        <v>-16.1617</v>
      </c>
    </row>
    <row r="133" spans="1:9" ht="16" customHeight="1" x14ac:dyDescent="0.2">
      <c r="A133">
        <v>132</v>
      </c>
      <c r="B133">
        <v>10.916700000000001</v>
      </c>
      <c r="C133">
        <v>60.3917</v>
      </c>
      <c r="D133">
        <v>59.313600000000001</v>
      </c>
      <c r="E133">
        <v>82.718400000000003</v>
      </c>
      <c r="F133">
        <v>102.4083</v>
      </c>
      <c r="G133">
        <v>37.284700000000001</v>
      </c>
      <c r="H133">
        <v>17.0854</v>
      </c>
      <c r="I133">
        <v>-18.368500000000001</v>
      </c>
    </row>
    <row r="134" spans="1:9" ht="16" customHeight="1" x14ac:dyDescent="0.2">
      <c r="A134">
        <v>133</v>
      </c>
      <c r="B134">
        <v>11</v>
      </c>
      <c r="C134">
        <v>60.357399999999998</v>
      </c>
      <c r="D134">
        <v>59.377499999999998</v>
      </c>
      <c r="E134">
        <v>82.4328</v>
      </c>
      <c r="F134">
        <v>103.0194</v>
      </c>
      <c r="G134">
        <v>36.589599999999997</v>
      </c>
      <c r="H134">
        <v>16.453600000000002</v>
      </c>
      <c r="I134">
        <v>-16.144200000000001</v>
      </c>
    </row>
    <row r="135" spans="1:9" ht="16" customHeight="1" x14ac:dyDescent="0.2">
      <c r="A135">
        <v>134</v>
      </c>
      <c r="B135">
        <v>11.083299999999999</v>
      </c>
      <c r="C135">
        <v>60.323099999999997</v>
      </c>
      <c r="D135">
        <v>59.407899999999998</v>
      </c>
      <c r="E135">
        <v>82.688599999999994</v>
      </c>
      <c r="F135">
        <v>102.6127</v>
      </c>
      <c r="G135">
        <v>37.0398</v>
      </c>
      <c r="H135">
        <v>16.528700000000001</v>
      </c>
      <c r="I135">
        <v>-16.664000000000001</v>
      </c>
    </row>
    <row r="136" spans="1:9" ht="16" customHeight="1" x14ac:dyDescent="0.2">
      <c r="A136">
        <v>135</v>
      </c>
      <c r="B136">
        <v>11.166700000000001</v>
      </c>
      <c r="C136">
        <v>60.288899999999998</v>
      </c>
      <c r="D136">
        <v>59.741799999999998</v>
      </c>
      <c r="E136">
        <v>82.362300000000005</v>
      </c>
      <c r="F136">
        <v>103.1204</v>
      </c>
      <c r="G136">
        <v>37.394500000000001</v>
      </c>
      <c r="H136">
        <v>16.909500000000001</v>
      </c>
      <c r="I136">
        <v>-17.2591</v>
      </c>
    </row>
    <row r="137" spans="1:9" ht="16" customHeight="1" x14ac:dyDescent="0.2">
      <c r="A137">
        <v>136</v>
      </c>
      <c r="B137">
        <v>11.25</v>
      </c>
      <c r="C137">
        <v>60.254600000000003</v>
      </c>
      <c r="D137">
        <v>59.462400000000002</v>
      </c>
      <c r="E137">
        <v>82.827699999999993</v>
      </c>
      <c r="F137">
        <v>102.2724</v>
      </c>
      <c r="G137">
        <v>37.134700000000002</v>
      </c>
      <c r="H137">
        <v>17.6751</v>
      </c>
      <c r="I137">
        <v>-17.153700000000001</v>
      </c>
    </row>
    <row r="138" spans="1:9" ht="16" customHeight="1" x14ac:dyDescent="0.2">
      <c r="A138">
        <v>137</v>
      </c>
      <c r="B138">
        <v>11.333299999999999</v>
      </c>
      <c r="C138">
        <v>60.220399999999998</v>
      </c>
      <c r="D138">
        <v>59.789299999999997</v>
      </c>
      <c r="E138">
        <v>81.812700000000007</v>
      </c>
      <c r="F138">
        <v>102.1324</v>
      </c>
      <c r="G138">
        <v>37.368699999999997</v>
      </c>
      <c r="H138">
        <v>17.598199999999999</v>
      </c>
      <c r="I138">
        <v>-17.505700000000001</v>
      </c>
    </row>
    <row r="139" spans="1:9" ht="16" customHeight="1" x14ac:dyDescent="0.2">
      <c r="A139">
        <v>138</v>
      </c>
      <c r="B139">
        <v>11.416700000000001</v>
      </c>
      <c r="C139">
        <v>60.186100000000003</v>
      </c>
      <c r="D139">
        <v>59.872399999999999</v>
      </c>
      <c r="E139">
        <v>82.221199999999996</v>
      </c>
      <c r="F139">
        <v>102.39409999999999</v>
      </c>
      <c r="G139">
        <v>37.745699999999999</v>
      </c>
      <c r="H139">
        <v>17.371200000000002</v>
      </c>
      <c r="I139">
        <v>-17.065999999999999</v>
      </c>
    </row>
    <row r="140" spans="1:9" ht="16" customHeight="1" x14ac:dyDescent="0.2">
      <c r="A140">
        <v>139</v>
      </c>
      <c r="B140">
        <v>11.5</v>
      </c>
      <c r="C140">
        <v>60.151800000000001</v>
      </c>
      <c r="D140">
        <v>59.916400000000003</v>
      </c>
      <c r="E140">
        <v>81.778899999999993</v>
      </c>
      <c r="F140">
        <v>101.65049999999999</v>
      </c>
      <c r="G140">
        <v>37.711799999999997</v>
      </c>
      <c r="H140">
        <v>18.280899999999999</v>
      </c>
      <c r="I140">
        <v>-17.163499999999999</v>
      </c>
    </row>
    <row r="141" spans="1:9" ht="16" customHeight="1" x14ac:dyDescent="0.2">
      <c r="A141">
        <v>140</v>
      </c>
      <c r="B141">
        <v>11.583299999999999</v>
      </c>
      <c r="C141">
        <v>60.117600000000003</v>
      </c>
      <c r="D141">
        <v>60.414400000000001</v>
      </c>
      <c r="E141">
        <v>81.7453</v>
      </c>
      <c r="F141">
        <v>101.8997</v>
      </c>
      <c r="G141">
        <v>38.430399999999999</v>
      </c>
      <c r="H141">
        <v>18.337299999999999</v>
      </c>
      <c r="I141">
        <v>-18.004300000000001</v>
      </c>
    </row>
    <row r="142" spans="1:9" ht="16" customHeight="1" x14ac:dyDescent="0.2">
      <c r="A142">
        <v>141</v>
      </c>
      <c r="B142">
        <v>11.666700000000001</v>
      </c>
      <c r="C142">
        <v>60.083300000000001</v>
      </c>
      <c r="D142">
        <v>60.186</v>
      </c>
      <c r="E142">
        <v>82.183599999999998</v>
      </c>
      <c r="F142">
        <v>102.251</v>
      </c>
      <c r="G142">
        <v>38.145499999999998</v>
      </c>
      <c r="H142">
        <v>18.047799999999999</v>
      </c>
      <c r="I142">
        <v>-16.977399999999999</v>
      </c>
    </row>
    <row r="143" spans="1:9" ht="16" customHeight="1" x14ac:dyDescent="0.2">
      <c r="A143">
        <v>142</v>
      </c>
      <c r="B143">
        <v>11.75</v>
      </c>
      <c r="C143">
        <v>60.049100000000003</v>
      </c>
      <c r="D143">
        <v>60.031100000000002</v>
      </c>
      <c r="E143">
        <v>81.956900000000005</v>
      </c>
      <c r="F143">
        <v>102.3168</v>
      </c>
      <c r="G143">
        <v>38.319400000000002</v>
      </c>
      <c r="H143">
        <v>18.290099999999999</v>
      </c>
      <c r="I143">
        <v>-17.2578</v>
      </c>
    </row>
    <row r="144" spans="1:9" ht="16" customHeight="1" x14ac:dyDescent="0.2">
      <c r="A144">
        <v>143</v>
      </c>
      <c r="B144">
        <v>11.833299999999999</v>
      </c>
      <c r="C144">
        <v>60.014800000000001</v>
      </c>
      <c r="D144">
        <v>60.125399999999999</v>
      </c>
      <c r="E144">
        <v>82.466499999999996</v>
      </c>
      <c r="F144">
        <v>103.2574</v>
      </c>
      <c r="G144">
        <v>37.973500000000001</v>
      </c>
      <c r="H144">
        <v>17.267900000000001</v>
      </c>
      <c r="I144">
        <v>-14.4405</v>
      </c>
    </row>
    <row r="145" spans="1:9" ht="16" customHeight="1" x14ac:dyDescent="0.2">
      <c r="A145">
        <v>144</v>
      </c>
      <c r="B145">
        <v>11.916700000000001</v>
      </c>
      <c r="C145">
        <v>59.980499999999999</v>
      </c>
      <c r="D145">
        <v>59.919600000000003</v>
      </c>
      <c r="E145">
        <v>81.946399999999997</v>
      </c>
      <c r="F145">
        <v>102.6332</v>
      </c>
      <c r="G145">
        <v>38.187100000000001</v>
      </c>
      <c r="H145">
        <v>18.0763</v>
      </c>
      <c r="I145">
        <v>-16.2683</v>
      </c>
    </row>
    <row r="146" spans="1:9" ht="16" customHeight="1" x14ac:dyDescent="0.2">
      <c r="A146">
        <v>145</v>
      </c>
      <c r="B146">
        <v>12</v>
      </c>
      <c r="C146">
        <v>59.946300000000001</v>
      </c>
      <c r="D146">
        <v>59.594900000000003</v>
      </c>
      <c r="E146">
        <v>82.638800000000003</v>
      </c>
      <c r="F146">
        <v>102.9134</v>
      </c>
      <c r="G146">
        <v>37.593299999999999</v>
      </c>
      <c r="H146">
        <v>18.034099999999999</v>
      </c>
      <c r="I146">
        <v>-15.579700000000001</v>
      </c>
    </row>
    <row r="147" spans="1:9" ht="16" customHeight="1" x14ac:dyDescent="0.2">
      <c r="A147">
        <v>146</v>
      </c>
      <c r="B147">
        <v>12.083299999999999</v>
      </c>
      <c r="C147">
        <v>59.911999999999999</v>
      </c>
      <c r="D147">
        <v>59.667400000000001</v>
      </c>
      <c r="E147">
        <v>82.496200000000002</v>
      </c>
      <c r="F147">
        <v>102.5651</v>
      </c>
      <c r="G147">
        <v>37.524000000000001</v>
      </c>
      <c r="H147">
        <v>18.508700000000001</v>
      </c>
      <c r="I147">
        <v>-18.049800000000001</v>
      </c>
    </row>
    <row r="148" spans="1:9" ht="16" customHeight="1" x14ac:dyDescent="0.2">
      <c r="A148">
        <v>147</v>
      </c>
      <c r="B148">
        <v>12.166700000000001</v>
      </c>
      <c r="C148">
        <v>59.877699999999997</v>
      </c>
      <c r="D148">
        <v>59.491300000000003</v>
      </c>
      <c r="E148">
        <v>81.496799999999993</v>
      </c>
      <c r="F148">
        <v>102.9928</v>
      </c>
      <c r="G148">
        <v>37.503399999999999</v>
      </c>
      <c r="H148">
        <v>17.486699999999999</v>
      </c>
      <c r="I148">
        <v>-16.027100000000001</v>
      </c>
    </row>
    <row r="149" spans="1:9" ht="16" customHeight="1" x14ac:dyDescent="0.2">
      <c r="A149">
        <v>148</v>
      </c>
      <c r="B149">
        <v>12.25</v>
      </c>
      <c r="C149">
        <v>59.843499999999999</v>
      </c>
      <c r="D149">
        <v>59.798499999999997</v>
      </c>
      <c r="E149">
        <v>82.215800000000002</v>
      </c>
      <c r="F149">
        <v>102.6515</v>
      </c>
      <c r="G149">
        <v>37.0901</v>
      </c>
      <c r="H149">
        <v>17.319099999999999</v>
      </c>
      <c r="I149">
        <v>-16.786799999999999</v>
      </c>
    </row>
    <row r="150" spans="1:9" ht="16" customHeight="1" x14ac:dyDescent="0.2">
      <c r="A150">
        <v>149</v>
      </c>
      <c r="B150">
        <v>12.333299999999999</v>
      </c>
      <c r="C150">
        <v>59.809199999999997</v>
      </c>
      <c r="D150">
        <v>60.2316</v>
      </c>
      <c r="E150">
        <v>82.233999999999995</v>
      </c>
      <c r="F150">
        <v>101.60129999999999</v>
      </c>
      <c r="G150">
        <v>37.904200000000003</v>
      </c>
      <c r="H150">
        <v>17.452500000000001</v>
      </c>
      <c r="I150">
        <v>-16.519300000000001</v>
      </c>
    </row>
    <row r="151" spans="1:9" ht="16" customHeight="1" x14ac:dyDescent="0.2">
      <c r="A151">
        <v>150</v>
      </c>
      <c r="B151">
        <v>12.416700000000001</v>
      </c>
      <c r="C151">
        <v>59.774999999999999</v>
      </c>
      <c r="D151">
        <v>60.200200000000002</v>
      </c>
      <c r="E151">
        <v>82.255300000000005</v>
      </c>
      <c r="F151">
        <v>102.0462</v>
      </c>
      <c r="G151">
        <v>37.402700000000003</v>
      </c>
      <c r="H151">
        <v>16.848299999999998</v>
      </c>
      <c r="I151">
        <v>-16.265899999999998</v>
      </c>
    </row>
    <row r="152" spans="1:9" ht="16" customHeight="1" x14ac:dyDescent="0.2">
      <c r="A152">
        <v>151</v>
      </c>
      <c r="B152">
        <v>12.5</v>
      </c>
      <c r="C152">
        <v>59.740699999999997</v>
      </c>
      <c r="D152">
        <v>59.999000000000002</v>
      </c>
      <c r="E152">
        <v>83.132000000000005</v>
      </c>
      <c r="F152">
        <v>102.43300000000001</v>
      </c>
      <c r="G152">
        <v>37.143500000000003</v>
      </c>
      <c r="H152">
        <v>17.832999999999998</v>
      </c>
      <c r="I152">
        <v>-17.402699999999999</v>
      </c>
    </row>
    <row r="153" spans="1:9" ht="16" customHeight="1" x14ac:dyDescent="0.2">
      <c r="A153">
        <v>152</v>
      </c>
      <c r="B153">
        <v>12.583299999999999</v>
      </c>
      <c r="C153">
        <v>59.706400000000002</v>
      </c>
      <c r="D153">
        <v>59.941400000000002</v>
      </c>
      <c r="E153">
        <v>82.667299999999997</v>
      </c>
      <c r="F153">
        <v>101.99169999999999</v>
      </c>
      <c r="G153">
        <v>38.045999999999999</v>
      </c>
      <c r="H153">
        <v>17.8935</v>
      </c>
      <c r="I153">
        <v>-19.355499999999999</v>
      </c>
    </row>
    <row r="154" spans="1:9" ht="16" customHeight="1" x14ac:dyDescent="0.2">
      <c r="A154">
        <v>153</v>
      </c>
      <c r="B154">
        <v>12.666700000000001</v>
      </c>
      <c r="C154">
        <v>59.672199999999997</v>
      </c>
      <c r="D154">
        <v>60.151600000000002</v>
      </c>
      <c r="E154">
        <v>82.209100000000007</v>
      </c>
      <c r="F154">
        <v>101.5997</v>
      </c>
      <c r="G154">
        <v>38.311599999999999</v>
      </c>
      <c r="H154">
        <v>18.180099999999999</v>
      </c>
      <c r="I154">
        <v>-16.6891</v>
      </c>
    </row>
    <row r="155" spans="1:9" ht="16" customHeight="1" x14ac:dyDescent="0.2">
      <c r="A155">
        <v>154</v>
      </c>
      <c r="B155">
        <v>12.75</v>
      </c>
      <c r="C155">
        <v>59.637900000000002</v>
      </c>
      <c r="D155">
        <v>60.090600000000002</v>
      </c>
      <c r="E155">
        <v>82.221999999999994</v>
      </c>
      <c r="F155">
        <v>101.5175</v>
      </c>
      <c r="G155">
        <v>37.369100000000003</v>
      </c>
      <c r="H155">
        <v>17.659700000000001</v>
      </c>
      <c r="I155">
        <v>-16.014500000000002</v>
      </c>
    </row>
    <row r="156" spans="1:9" ht="16" customHeight="1" x14ac:dyDescent="0.2">
      <c r="A156">
        <v>155</v>
      </c>
      <c r="B156">
        <v>12.833299999999999</v>
      </c>
      <c r="C156">
        <v>59.603700000000003</v>
      </c>
      <c r="D156">
        <v>59.853000000000002</v>
      </c>
      <c r="E156">
        <v>82.213700000000003</v>
      </c>
      <c r="F156">
        <v>101.81180000000001</v>
      </c>
      <c r="G156">
        <v>37.685099999999998</v>
      </c>
      <c r="H156">
        <v>17.7957</v>
      </c>
      <c r="I156">
        <v>-16.781400000000001</v>
      </c>
    </row>
    <row r="157" spans="1:9" ht="16" customHeight="1" x14ac:dyDescent="0.2">
      <c r="A157">
        <v>156</v>
      </c>
      <c r="B157">
        <v>12.916700000000001</v>
      </c>
      <c r="C157">
        <v>59.569400000000002</v>
      </c>
      <c r="D157">
        <v>59.837600000000002</v>
      </c>
      <c r="E157">
        <v>81.928600000000003</v>
      </c>
      <c r="F157">
        <v>101.7285</v>
      </c>
      <c r="G157">
        <v>37.415100000000002</v>
      </c>
      <c r="H157">
        <v>17.967600000000001</v>
      </c>
      <c r="I157">
        <v>-14.247999999999999</v>
      </c>
    </row>
    <row r="158" spans="1:9" ht="16" customHeight="1" x14ac:dyDescent="0.2">
      <c r="A158">
        <v>157</v>
      </c>
      <c r="B158">
        <v>13</v>
      </c>
      <c r="C158">
        <v>59.5351</v>
      </c>
      <c r="D158">
        <v>59.904000000000003</v>
      </c>
      <c r="E158">
        <v>82.410600000000002</v>
      </c>
      <c r="F158">
        <v>101.84310000000001</v>
      </c>
      <c r="G158">
        <v>37.6935</v>
      </c>
      <c r="H158">
        <v>17.476099999999999</v>
      </c>
      <c r="I158">
        <v>-16.882000000000001</v>
      </c>
    </row>
    <row r="159" spans="1:9" ht="16" customHeight="1" x14ac:dyDescent="0.2">
      <c r="A159">
        <v>158</v>
      </c>
      <c r="B159">
        <v>13.083299999999999</v>
      </c>
      <c r="C159">
        <v>59.500900000000001</v>
      </c>
      <c r="D159">
        <v>60.064399999999999</v>
      </c>
      <c r="E159">
        <v>82.346599999999995</v>
      </c>
      <c r="F159">
        <v>102.3386</v>
      </c>
      <c r="G159">
        <v>37.544499999999999</v>
      </c>
      <c r="H159">
        <v>18.063199999999998</v>
      </c>
      <c r="I159">
        <v>-16.5929</v>
      </c>
    </row>
    <row r="160" spans="1:9" ht="16" customHeight="1" x14ac:dyDescent="0.2">
      <c r="A160">
        <v>159</v>
      </c>
      <c r="B160">
        <v>13.166700000000001</v>
      </c>
      <c r="C160">
        <v>59.4666</v>
      </c>
      <c r="D160">
        <v>60.2468</v>
      </c>
      <c r="E160">
        <v>82.359800000000007</v>
      </c>
      <c r="F160">
        <v>102.0985</v>
      </c>
      <c r="G160">
        <v>37.356200000000001</v>
      </c>
      <c r="H160">
        <v>17.808599999999998</v>
      </c>
      <c r="I160">
        <v>-18.084499999999998</v>
      </c>
    </row>
    <row r="161" spans="1:9" ht="16" customHeight="1" x14ac:dyDescent="0.2">
      <c r="A161">
        <v>160</v>
      </c>
      <c r="B161">
        <v>13.25</v>
      </c>
      <c r="C161">
        <v>59.432299999999998</v>
      </c>
      <c r="D161">
        <v>59.739600000000003</v>
      </c>
      <c r="E161">
        <v>82.299000000000007</v>
      </c>
      <c r="F161">
        <v>102.76649999999999</v>
      </c>
      <c r="G161">
        <v>37.259099999999997</v>
      </c>
      <c r="H161">
        <v>17.715800000000002</v>
      </c>
      <c r="I161">
        <v>-17.139099999999999</v>
      </c>
    </row>
    <row r="162" spans="1:9" ht="16" customHeight="1" x14ac:dyDescent="0.2">
      <c r="A162">
        <v>161</v>
      </c>
      <c r="B162">
        <v>13.333299999999999</v>
      </c>
      <c r="C162">
        <v>59.398099999999999</v>
      </c>
      <c r="D162">
        <v>59.525199999999998</v>
      </c>
      <c r="E162">
        <v>82.423500000000004</v>
      </c>
      <c r="F162">
        <v>102.9953</v>
      </c>
      <c r="G162">
        <v>37.326799999999999</v>
      </c>
      <c r="H162">
        <v>16.9605</v>
      </c>
      <c r="I162">
        <v>-17.9604</v>
      </c>
    </row>
    <row r="163" spans="1:9" ht="16" customHeight="1" x14ac:dyDescent="0.2">
      <c r="A163">
        <v>162</v>
      </c>
      <c r="B163">
        <v>13.416700000000001</v>
      </c>
      <c r="C163">
        <v>59.363799999999998</v>
      </c>
      <c r="D163">
        <v>59.8279</v>
      </c>
      <c r="E163">
        <v>82.469399999999993</v>
      </c>
      <c r="F163">
        <v>102.5698</v>
      </c>
      <c r="G163">
        <v>36.954000000000001</v>
      </c>
      <c r="H163">
        <v>17.151900000000001</v>
      </c>
      <c r="I163">
        <v>-14.891999999999999</v>
      </c>
    </row>
    <row r="164" spans="1:9" ht="16" customHeight="1" x14ac:dyDescent="0.2">
      <c r="A164">
        <v>163</v>
      </c>
      <c r="B164">
        <v>13.5</v>
      </c>
      <c r="C164">
        <v>59.329599999999999</v>
      </c>
      <c r="D164">
        <v>59.814599999999999</v>
      </c>
      <c r="E164">
        <v>82.018500000000003</v>
      </c>
      <c r="F164">
        <v>101.4092</v>
      </c>
      <c r="G164">
        <v>37.521299999999997</v>
      </c>
      <c r="H164">
        <v>17.455500000000001</v>
      </c>
      <c r="I164">
        <v>-16.716000000000001</v>
      </c>
    </row>
    <row r="165" spans="1:9" ht="16" customHeight="1" x14ac:dyDescent="0.2">
      <c r="A165">
        <v>164</v>
      </c>
      <c r="B165">
        <v>13.583299999999999</v>
      </c>
      <c r="C165">
        <v>59.295299999999997</v>
      </c>
      <c r="D165">
        <v>59.204599999999999</v>
      </c>
      <c r="E165">
        <v>81.557400000000001</v>
      </c>
      <c r="F165">
        <v>102.29349999999999</v>
      </c>
      <c r="G165">
        <v>36.869199999999999</v>
      </c>
      <c r="H165">
        <v>17.695</v>
      </c>
      <c r="I165">
        <v>-16.325600000000001</v>
      </c>
    </row>
    <row r="166" spans="1:9" ht="16" customHeight="1" x14ac:dyDescent="0.2">
      <c r="A166">
        <v>165</v>
      </c>
      <c r="B166">
        <v>13.666700000000001</v>
      </c>
      <c r="C166">
        <v>59.261000000000003</v>
      </c>
      <c r="D166">
        <v>59.776600000000002</v>
      </c>
      <c r="E166">
        <v>81.768799999999999</v>
      </c>
      <c r="F166">
        <v>102.44159999999999</v>
      </c>
      <c r="G166">
        <v>37.305399999999999</v>
      </c>
      <c r="H166">
        <v>17.045500000000001</v>
      </c>
      <c r="I166">
        <v>-16.284600000000001</v>
      </c>
    </row>
    <row r="167" spans="1:9" ht="16" customHeight="1" x14ac:dyDescent="0.2">
      <c r="A167">
        <v>166</v>
      </c>
      <c r="B167">
        <v>13.75</v>
      </c>
      <c r="C167">
        <v>59.226799999999997</v>
      </c>
      <c r="D167">
        <v>59.235399999999998</v>
      </c>
      <c r="E167">
        <v>82.294899999999998</v>
      </c>
      <c r="F167">
        <v>102.24160000000001</v>
      </c>
      <c r="G167">
        <v>36.8996</v>
      </c>
      <c r="H167">
        <v>16.7211</v>
      </c>
      <c r="I167">
        <v>-18.9238</v>
      </c>
    </row>
    <row r="168" spans="1:9" ht="16" customHeight="1" x14ac:dyDescent="0.2">
      <c r="A168">
        <v>167</v>
      </c>
      <c r="B168">
        <v>13.833299999999999</v>
      </c>
      <c r="C168">
        <v>59.192500000000003</v>
      </c>
      <c r="D168">
        <v>59.460599999999999</v>
      </c>
      <c r="E168">
        <v>82.221500000000006</v>
      </c>
      <c r="F168">
        <v>102.7966</v>
      </c>
      <c r="G168">
        <v>37.57</v>
      </c>
      <c r="H168">
        <v>16.755299999999998</v>
      </c>
      <c r="I168">
        <v>-18.526</v>
      </c>
    </row>
    <row r="169" spans="1:9" ht="16" customHeight="1" x14ac:dyDescent="0.2">
      <c r="A169">
        <v>168</v>
      </c>
      <c r="B169">
        <v>13.916700000000001</v>
      </c>
      <c r="C169">
        <v>59.158299999999997</v>
      </c>
      <c r="D169">
        <v>59.320799999999998</v>
      </c>
      <c r="E169">
        <v>82.071399999999997</v>
      </c>
      <c r="F169">
        <v>102.2007</v>
      </c>
      <c r="G169">
        <v>37.617400000000004</v>
      </c>
      <c r="H169">
        <v>16.608599999999999</v>
      </c>
      <c r="I169">
        <v>-17.8521</v>
      </c>
    </row>
    <row r="170" spans="1:9" ht="16" customHeight="1" x14ac:dyDescent="0.2">
      <c r="A170">
        <v>169</v>
      </c>
      <c r="B170">
        <v>14</v>
      </c>
      <c r="C170">
        <v>59.124000000000002</v>
      </c>
      <c r="D170">
        <v>59.476599999999998</v>
      </c>
      <c r="E170">
        <v>81.896799999999999</v>
      </c>
      <c r="F170">
        <v>101.8429</v>
      </c>
      <c r="G170">
        <v>37.369</v>
      </c>
      <c r="H170">
        <v>16.786100000000001</v>
      </c>
      <c r="I170">
        <v>-17.174700000000001</v>
      </c>
    </row>
    <row r="171" spans="1:9" ht="16" customHeight="1" x14ac:dyDescent="0.2">
      <c r="A171">
        <v>170</v>
      </c>
      <c r="B171">
        <v>14.083299999999999</v>
      </c>
      <c r="C171">
        <v>59.089700000000001</v>
      </c>
      <c r="D171">
        <v>59.312100000000001</v>
      </c>
      <c r="E171">
        <v>81.739900000000006</v>
      </c>
      <c r="F171">
        <v>101.6437</v>
      </c>
      <c r="G171">
        <v>37.148200000000003</v>
      </c>
      <c r="H171">
        <v>16.8462</v>
      </c>
      <c r="I171">
        <v>-16.756399999999999</v>
      </c>
    </row>
    <row r="172" spans="1:9" ht="16" customHeight="1" x14ac:dyDescent="0.2">
      <c r="A172">
        <v>171</v>
      </c>
      <c r="B172">
        <v>14.166700000000001</v>
      </c>
      <c r="C172">
        <v>59.055500000000002</v>
      </c>
      <c r="D172">
        <v>59.968200000000003</v>
      </c>
      <c r="E172">
        <v>81.491</v>
      </c>
      <c r="F172">
        <v>101.09010000000001</v>
      </c>
      <c r="G172">
        <v>36.998600000000003</v>
      </c>
      <c r="H172">
        <v>16.201699999999999</v>
      </c>
      <c r="I172">
        <v>-18.9239</v>
      </c>
    </row>
    <row r="173" spans="1:9" ht="16" customHeight="1" x14ac:dyDescent="0.2">
      <c r="A173">
        <v>172</v>
      </c>
      <c r="B173">
        <v>14.25</v>
      </c>
      <c r="C173">
        <v>59.0212</v>
      </c>
      <c r="D173">
        <v>59.154899999999998</v>
      </c>
      <c r="E173">
        <v>81.566199999999995</v>
      </c>
      <c r="F173">
        <v>101.45059999999999</v>
      </c>
      <c r="G173">
        <v>37.369999999999997</v>
      </c>
      <c r="H173">
        <v>16.806699999999999</v>
      </c>
      <c r="I173">
        <v>-18.308399999999999</v>
      </c>
    </row>
    <row r="174" spans="1:9" ht="16" customHeight="1" x14ac:dyDescent="0.2">
      <c r="A174">
        <v>173</v>
      </c>
      <c r="B174">
        <v>14.333299999999999</v>
      </c>
      <c r="C174">
        <v>58.986899999999999</v>
      </c>
      <c r="D174">
        <v>59.2273</v>
      </c>
      <c r="E174">
        <v>81.475300000000004</v>
      </c>
      <c r="F174">
        <v>101.36409999999999</v>
      </c>
      <c r="G174">
        <v>36.7254</v>
      </c>
      <c r="H174">
        <v>16.8111</v>
      </c>
      <c r="I174">
        <v>-17.3916</v>
      </c>
    </row>
    <row r="175" spans="1:9" ht="16" customHeight="1" x14ac:dyDescent="0.2">
      <c r="A175">
        <v>174</v>
      </c>
      <c r="B175">
        <v>14.416700000000001</v>
      </c>
      <c r="C175">
        <v>58.9527</v>
      </c>
      <c r="D175">
        <v>58.9161</v>
      </c>
      <c r="E175">
        <v>81.606300000000005</v>
      </c>
      <c r="F175">
        <v>101.1601</v>
      </c>
      <c r="G175">
        <v>36.258499999999998</v>
      </c>
      <c r="H175">
        <v>16.832699999999999</v>
      </c>
      <c r="I175">
        <v>-16.803999999999998</v>
      </c>
    </row>
    <row r="176" spans="1:9" ht="16" customHeight="1" x14ac:dyDescent="0.2">
      <c r="A176">
        <v>175</v>
      </c>
      <c r="B176">
        <v>14.5</v>
      </c>
      <c r="C176">
        <v>58.918399999999998</v>
      </c>
      <c r="D176">
        <v>58.901699999999998</v>
      </c>
      <c r="E176">
        <v>80.913499999999999</v>
      </c>
      <c r="F176">
        <v>101.69970000000001</v>
      </c>
      <c r="G176">
        <v>36.253799999999998</v>
      </c>
      <c r="H176">
        <v>16.1631</v>
      </c>
      <c r="I176">
        <v>-16.976299999999998</v>
      </c>
    </row>
    <row r="177" spans="1:9" ht="16" customHeight="1" x14ac:dyDescent="0.2">
      <c r="A177">
        <v>176</v>
      </c>
      <c r="B177">
        <v>14.583299999999999</v>
      </c>
      <c r="C177">
        <v>58.8842</v>
      </c>
      <c r="D177">
        <v>58.7956</v>
      </c>
      <c r="E177">
        <v>81.512900000000002</v>
      </c>
      <c r="F177">
        <v>101.75579999999999</v>
      </c>
      <c r="G177">
        <v>36.400300000000001</v>
      </c>
      <c r="H177">
        <v>16.48</v>
      </c>
      <c r="I177">
        <v>-18.064499999999999</v>
      </c>
    </row>
    <row r="178" spans="1:9" ht="16" customHeight="1" x14ac:dyDescent="0.2">
      <c r="A178">
        <v>177</v>
      </c>
      <c r="B178">
        <v>14.666700000000001</v>
      </c>
      <c r="C178">
        <v>58.849899999999998</v>
      </c>
      <c r="D178">
        <v>58.636499999999998</v>
      </c>
      <c r="E178">
        <v>81.165899999999993</v>
      </c>
      <c r="F178">
        <v>101.642</v>
      </c>
      <c r="G178">
        <v>36.574399999999997</v>
      </c>
      <c r="H178">
        <v>16.525300000000001</v>
      </c>
      <c r="I178">
        <v>-18.1587</v>
      </c>
    </row>
    <row r="179" spans="1:9" ht="16" customHeight="1" x14ac:dyDescent="0.2">
      <c r="A179">
        <v>178</v>
      </c>
      <c r="B179">
        <v>14.75</v>
      </c>
      <c r="C179">
        <v>58.815600000000003</v>
      </c>
      <c r="D179">
        <v>58.411799999999999</v>
      </c>
      <c r="E179">
        <v>81.237899999999996</v>
      </c>
      <c r="F179">
        <v>101.24079999999999</v>
      </c>
      <c r="G179">
        <v>36.243699999999997</v>
      </c>
      <c r="H179">
        <v>16.786899999999999</v>
      </c>
      <c r="I179">
        <v>-17.826499999999999</v>
      </c>
    </row>
    <row r="180" spans="1:9" ht="16" customHeight="1" x14ac:dyDescent="0.2">
      <c r="A180">
        <v>179</v>
      </c>
      <c r="B180">
        <v>14.833299999999999</v>
      </c>
      <c r="C180">
        <v>58.781399999999998</v>
      </c>
      <c r="D180">
        <v>59.124600000000001</v>
      </c>
      <c r="E180">
        <v>81.242900000000006</v>
      </c>
      <c r="F180">
        <v>101.84010000000001</v>
      </c>
      <c r="G180">
        <v>36.517400000000002</v>
      </c>
      <c r="H180">
        <v>16.671700000000001</v>
      </c>
      <c r="I180">
        <v>-18.7103</v>
      </c>
    </row>
    <row r="181" spans="1:9" ht="16" customHeight="1" x14ac:dyDescent="0.2">
      <c r="A181">
        <v>180</v>
      </c>
      <c r="B181">
        <v>14.916700000000001</v>
      </c>
      <c r="C181">
        <v>58.747100000000003</v>
      </c>
      <c r="D181">
        <v>58.524299999999997</v>
      </c>
      <c r="E181">
        <v>81.580100000000002</v>
      </c>
      <c r="F181">
        <v>102.12479999999999</v>
      </c>
      <c r="G181">
        <v>36.103499999999997</v>
      </c>
      <c r="H181">
        <v>16.5198</v>
      </c>
      <c r="I181">
        <v>-15.448600000000001</v>
      </c>
    </row>
    <row r="182" spans="1:9" ht="16" customHeight="1" x14ac:dyDescent="0.2">
      <c r="A182">
        <v>181</v>
      </c>
      <c r="B182">
        <v>15</v>
      </c>
      <c r="C182">
        <v>58.712899999999998</v>
      </c>
      <c r="D182">
        <v>58.806399999999996</v>
      </c>
      <c r="E182">
        <v>81.576999999999998</v>
      </c>
      <c r="F182">
        <v>102.17870000000001</v>
      </c>
      <c r="G182">
        <v>35.974699999999999</v>
      </c>
      <c r="H182">
        <v>15.863</v>
      </c>
      <c r="I182">
        <v>-18.7454</v>
      </c>
    </row>
    <row r="183" spans="1:9" ht="16" customHeight="1" x14ac:dyDescent="0.2">
      <c r="A183">
        <v>182</v>
      </c>
      <c r="B183">
        <v>15.083299999999999</v>
      </c>
      <c r="C183">
        <v>58.678600000000003</v>
      </c>
      <c r="D183">
        <v>58.637</v>
      </c>
      <c r="E183">
        <v>80.906099999999995</v>
      </c>
      <c r="F183">
        <v>101.43729999999999</v>
      </c>
      <c r="G183">
        <v>36.816200000000002</v>
      </c>
      <c r="H183">
        <v>16.5227</v>
      </c>
      <c r="I183">
        <v>-20.336500000000001</v>
      </c>
    </row>
    <row r="184" spans="1:9" ht="16" customHeight="1" x14ac:dyDescent="0.2">
      <c r="A184">
        <v>183</v>
      </c>
      <c r="B184">
        <v>15.166700000000001</v>
      </c>
      <c r="C184">
        <v>58.644300000000001</v>
      </c>
      <c r="D184">
        <v>58.421100000000003</v>
      </c>
      <c r="E184">
        <v>81.391199999999998</v>
      </c>
      <c r="F184">
        <v>101.8087</v>
      </c>
      <c r="G184">
        <v>36.4985</v>
      </c>
      <c r="H184">
        <v>16.520499999999998</v>
      </c>
      <c r="I184">
        <v>-18.9252</v>
      </c>
    </row>
    <row r="185" spans="1:9" ht="16" customHeight="1" x14ac:dyDescent="0.2">
      <c r="A185">
        <v>184</v>
      </c>
      <c r="B185">
        <v>15.25</v>
      </c>
      <c r="C185">
        <v>58.610100000000003</v>
      </c>
      <c r="D185">
        <v>58.748800000000003</v>
      </c>
      <c r="E185">
        <v>81.014200000000002</v>
      </c>
      <c r="F185">
        <v>101.7594</v>
      </c>
      <c r="G185">
        <v>35.9756</v>
      </c>
      <c r="H185">
        <v>16.5776</v>
      </c>
      <c r="I185">
        <v>-19.575399999999998</v>
      </c>
    </row>
    <row r="186" spans="1:9" ht="16" customHeight="1" x14ac:dyDescent="0.2">
      <c r="A186">
        <v>185</v>
      </c>
      <c r="B186">
        <v>15.333299999999999</v>
      </c>
      <c r="C186">
        <v>58.575800000000001</v>
      </c>
      <c r="D186">
        <v>58.416600000000003</v>
      </c>
      <c r="E186">
        <v>80.567599999999999</v>
      </c>
      <c r="F186">
        <v>100.8886</v>
      </c>
      <c r="G186">
        <v>36.828400000000002</v>
      </c>
      <c r="H186">
        <v>16.1526</v>
      </c>
      <c r="I186">
        <v>-19.1358</v>
      </c>
    </row>
    <row r="187" spans="1:9" ht="16" customHeight="1" x14ac:dyDescent="0.2">
      <c r="A187">
        <v>186</v>
      </c>
      <c r="B187">
        <v>15.416700000000001</v>
      </c>
      <c r="C187">
        <v>58.541499999999999</v>
      </c>
      <c r="D187">
        <v>58.813800000000001</v>
      </c>
      <c r="E187">
        <v>81.048699999999997</v>
      </c>
      <c r="F187">
        <v>101.7694</v>
      </c>
      <c r="G187">
        <v>36.615499999999997</v>
      </c>
      <c r="H187">
        <v>16.7606</v>
      </c>
      <c r="I187">
        <v>-18.389600000000002</v>
      </c>
    </row>
    <row r="188" spans="1:9" ht="16" customHeight="1" x14ac:dyDescent="0.2">
      <c r="A188">
        <v>187</v>
      </c>
      <c r="B188">
        <v>15.5</v>
      </c>
      <c r="C188">
        <v>58.507300000000001</v>
      </c>
      <c r="D188">
        <v>59.0899</v>
      </c>
      <c r="E188">
        <v>80.875100000000003</v>
      </c>
      <c r="F188">
        <v>101.6969</v>
      </c>
      <c r="G188">
        <v>36.767899999999997</v>
      </c>
      <c r="H188">
        <v>17.0852</v>
      </c>
      <c r="I188">
        <v>-16.8718</v>
      </c>
    </row>
    <row r="189" spans="1:9" ht="16" customHeight="1" x14ac:dyDescent="0.2">
      <c r="A189">
        <v>188</v>
      </c>
      <c r="B189">
        <v>15.583299999999999</v>
      </c>
      <c r="C189">
        <v>58.472999999999999</v>
      </c>
      <c r="D189">
        <v>59.006</v>
      </c>
      <c r="E189">
        <v>80.877099999999999</v>
      </c>
      <c r="F189">
        <v>100.7578</v>
      </c>
      <c r="G189">
        <v>36.749600000000001</v>
      </c>
      <c r="H189">
        <v>16.775099999999998</v>
      </c>
      <c r="I189">
        <v>-15.5593</v>
      </c>
    </row>
    <row r="190" spans="1:9" ht="16" customHeight="1" x14ac:dyDescent="0.2">
      <c r="A190">
        <v>189</v>
      </c>
      <c r="B190">
        <v>15.666700000000001</v>
      </c>
      <c r="C190">
        <v>58.438800000000001</v>
      </c>
      <c r="D190">
        <v>59.099899999999998</v>
      </c>
      <c r="E190">
        <v>80.6494</v>
      </c>
      <c r="F190">
        <v>100.8995</v>
      </c>
      <c r="G190">
        <v>36.700499999999998</v>
      </c>
      <c r="H190">
        <v>16.925000000000001</v>
      </c>
      <c r="I190">
        <v>-15.9483</v>
      </c>
    </row>
    <row r="191" spans="1:9" ht="16" customHeight="1" x14ac:dyDescent="0.2">
      <c r="A191">
        <v>190</v>
      </c>
      <c r="B191">
        <v>15.75</v>
      </c>
      <c r="C191">
        <v>58.404499999999999</v>
      </c>
      <c r="D191">
        <v>58.677100000000003</v>
      </c>
      <c r="E191">
        <v>80.401399999999995</v>
      </c>
      <c r="F191">
        <v>101.2963</v>
      </c>
      <c r="G191">
        <v>36.614600000000003</v>
      </c>
      <c r="H191">
        <v>16.739699999999999</v>
      </c>
      <c r="I191">
        <v>-16.099599999999999</v>
      </c>
    </row>
    <row r="192" spans="1:9" ht="16" customHeight="1" x14ac:dyDescent="0.2">
      <c r="A192">
        <v>191</v>
      </c>
      <c r="B192">
        <v>15.833299999999999</v>
      </c>
      <c r="C192">
        <v>58.370199999999997</v>
      </c>
      <c r="D192">
        <v>58.001899999999999</v>
      </c>
      <c r="E192">
        <v>80.876099999999994</v>
      </c>
      <c r="F192">
        <v>101.434</v>
      </c>
      <c r="G192">
        <v>36.544600000000003</v>
      </c>
      <c r="H192">
        <v>17.3003</v>
      </c>
      <c r="I192">
        <v>-16.348600000000001</v>
      </c>
    </row>
    <row r="193" spans="1:9" ht="16" customHeight="1" x14ac:dyDescent="0.2">
      <c r="A193">
        <v>192</v>
      </c>
      <c r="B193">
        <v>15.916700000000001</v>
      </c>
      <c r="C193">
        <v>58.335999999999999</v>
      </c>
      <c r="D193">
        <v>58.121000000000002</v>
      </c>
      <c r="E193">
        <v>80.2637</v>
      </c>
      <c r="F193">
        <v>101.25190000000001</v>
      </c>
      <c r="G193">
        <v>36.280099999999997</v>
      </c>
      <c r="H193">
        <v>16.9284</v>
      </c>
      <c r="I193">
        <v>-17.384599999999999</v>
      </c>
    </row>
    <row r="194" spans="1:9" ht="16" customHeight="1" x14ac:dyDescent="0.2">
      <c r="A194">
        <v>193</v>
      </c>
      <c r="B194">
        <v>16</v>
      </c>
      <c r="C194">
        <v>58.301699999999997</v>
      </c>
      <c r="D194">
        <v>58.175899999999999</v>
      </c>
      <c r="E194">
        <v>80.817300000000003</v>
      </c>
      <c r="F194">
        <v>101.35380000000001</v>
      </c>
      <c r="G194">
        <v>35.8673</v>
      </c>
      <c r="H194">
        <v>16.199000000000002</v>
      </c>
      <c r="I194">
        <v>-16.6051</v>
      </c>
    </row>
    <row r="195" spans="1:9" ht="16" customHeight="1" x14ac:dyDescent="0.2">
      <c r="A195">
        <v>194</v>
      </c>
      <c r="B195">
        <v>16.083300000000001</v>
      </c>
      <c r="C195">
        <v>58.267499999999998</v>
      </c>
      <c r="D195">
        <v>58.313699999999997</v>
      </c>
      <c r="E195">
        <v>80.858599999999996</v>
      </c>
      <c r="F195">
        <v>101.0924</v>
      </c>
      <c r="G195">
        <v>36.361600000000003</v>
      </c>
      <c r="H195">
        <v>15.9701</v>
      </c>
      <c r="I195">
        <v>-17.899100000000001</v>
      </c>
    </row>
    <row r="196" spans="1:9" ht="16" customHeight="1" x14ac:dyDescent="0.2">
      <c r="A196">
        <v>195</v>
      </c>
      <c r="B196">
        <v>16.166699999999999</v>
      </c>
      <c r="C196">
        <v>58.233199999999997</v>
      </c>
      <c r="D196">
        <v>58.316499999999998</v>
      </c>
      <c r="E196">
        <v>80.525300000000001</v>
      </c>
      <c r="F196">
        <v>100.7328</v>
      </c>
      <c r="G196">
        <v>36.711599999999997</v>
      </c>
      <c r="H196">
        <v>16.561299999999999</v>
      </c>
      <c r="I196">
        <v>-16.925699999999999</v>
      </c>
    </row>
    <row r="197" spans="1:9" ht="16" customHeight="1" x14ac:dyDescent="0.2">
      <c r="A197">
        <v>196</v>
      </c>
      <c r="B197">
        <v>16.25</v>
      </c>
      <c r="C197">
        <v>58.198900000000002</v>
      </c>
      <c r="D197">
        <v>59.061999999999998</v>
      </c>
      <c r="E197">
        <v>81.643299999999996</v>
      </c>
      <c r="F197">
        <v>101.4028</v>
      </c>
      <c r="G197">
        <v>36.492600000000003</v>
      </c>
      <c r="H197">
        <v>16.8383</v>
      </c>
      <c r="I197">
        <v>-18.071100000000001</v>
      </c>
    </row>
    <row r="198" spans="1:9" ht="16" customHeight="1" x14ac:dyDescent="0.2">
      <c r="A198">
        <v>197</v>
      </c>
      <c r="B198">
        <v>16.333300000000001</v>
      </c>
      <c r="C198">
        <v>58.164700000000003</v>
      </c>
      <c r="D198">
        <v>58.623699999999999</v>
      </c>
      <c r="E198">
        <v>81.180000000000007</v>
      </c>
      <c r="F198">
        <v>100.315</v>
      </c>
      <c r="G198">
        <v>36.381</v>
      </c>
      <c r="H198">
        <v>16.8794</v>
      </c>
      <c r="I198">
        <v>-17.4038</v>
      </c>
    </row>
    <row r="199" spans="1:9" ht="16" customHeight="1" x14ac:dyDescent="0.2">
      <c r="A199">
        <v>198</v>
      </c>
      <c r="B199">
        <v>16.416699999999999</v>
      </c>
      <c r="C199">
        <v>58.130400000000002</v>
      </c>
      <c r="D199">
        <v>58.728400000000001</v>
      </c>
      <c r="E199">
        <v>81.059899999999999</v>
      </c>
      <c r="F199">
        <v>100.7097</v>
      </c>
      <c r="G199">
        <v>36.5989</v>
      </c>
      <c r="H199">
        <v>16.308900000000001</v>
      </c>
      <c r="I199">
        <v>-18.041599999999999</v>
      </c>
    </row>
    <row r="200" spans="1:9" ht="16" customHeight="1" x14ac:dyDescent="0.2">
      <c r="A200">
        <v>199</v>
      </c>
      <c r="B200">
        <v>16.5</v>
      </c>
      <c r="C200">
        <v>58.0961</v>
      </c>
      <c r="D200">
        <v>58.811399999999999</v>
      </c>
      <c r="E200">
        <v>80.699399999999997</v>
      </c>
      <c r="F200">
        <v>99.936599999999999</v>
      </c>
      <c r="G200">
        <v>36.156399999999998</v>
      </c>
      <c r="H200">
        <v>16.752400000000002</v>
      </c>
      <c r="I200">
        <v>-17.633400000000002</v>
      </c>
    </row>
    <row r="201" spans="1:9" ht="16" customHeight="1" x14ac:dyDescent="0.2">
      <c r="A201">
        <v>200</v>
      </c>
      <c r="B201">
        <v>16.583300000000001</v>
      </c>
      <c r="C201">
        <v>58.061900000000001</v>
      </c>
      <c r="D201">
        <v>58.820300000000003</v>
      </c>
      <c r="E201">
        <v>80.965699999999998</v>
      </c>
      <c r="F201">
        <v>100.5244</v>
      </c>
      <c r="G201">
        <v>36.812399999999997</v>
      </c>
      <c r="H201">
        <v>16.581299999999999</v>
      </c>
      <c r="I201">
        <v>-17.7789</v>
      </c>
    </row>
    <row r="202" spans="1:9" ht="16" customHeight="1" x14ac:dyDescent="0.2">
      <c r="A202">
        <v>201</v>
      </c>
      <c r="B202">
        <v>16.666699999999999</v>
      </c>
      <c r="C202">
        <v>58.0276</v>
      </c>
      <c r="D202">
        <v>59.194299999999998</v>
      </c>
      <c r="E202">
        <v>80.991799999999998</v>
      </c>
      <c r="F202">
        <v>100.52979999999999</v>
      </c>
      <c r="G202">
        <v>36.231400000000001</v>
      </c>
      <c r="H202">
        <v>15.663600000000001</v>
      </c>
      <c r="I202">
        <v>-17.724799999999998</v>
      </c>
    </row>
    <row r="203" spans="1:9" ht="16" customHeight="1" x14ac:dyDescent="0.2">
      <c r="A203">
        <v>202</v>
      </c>
      <c r="B203">
        <v>16.75</v>
      </c>
      <c r="C203">
        <v>57.993400000000001</v>
      </c>
      <c r="D203">
        <v>58.099200000000003</v>
      </c>
      <c r="E203">
        <v>80.596000000000004</v>
      </c>
      <c r="F203">
        <v>100.56270000000001</v>
      </c>
      <c r="G203">
        <v>36.348300000000002</v>
      </c>
      <c r="H203">
        <v>16.971800000000002</v>
      </c>
      <c r="I203">
        <v>-17.967500000000001</v>
      </c>
    </row>
    <row r="204" spans="1:9" ht="16" customHeight="1" x14ac:dyDescent="0.2">
      <c r="A204">
        <v>203</v>
      </c>
      <c r="B204">
        <v>16.833300000000001</v>
      </c>
      <c r="C204">
        <v>57.959099999999999</v>
      </c>
      <c r="D204">
        <v>57.761600000000001</v>
      </c>
      <c r="E204">
        <v>80.656499999999994</v>
      </c>
      <c r="F204">
        <v>101.26730000000001</v>
      </c>
      <c r="G204">
        <v>35.4101</v>
      </c>
      <c r="H204">
        <v>15.977</v>
      </c>
      <c r="I204">
        <v>-17.124300000000002</v>
      </c>
    </row>
    <row r="205" spans="1:9" ht="16" customHeight="1" x14ac:dyDescent="0.2">
      <c r="A205">
        <v>204</v>
      </c>
      <c r="B205">
        <v>16.916699999999999</v>
      </c>
      <c r="C205">
        <v>57.924799999999998</v>
      </c>
      <c r="D205">
        <v>58.112400000000001</v>
      </c>
      <c r="E205">
        <v>80.607699999999994</v>
      </c>
      <c r="F205">
        <v>100.318</v>
      </c>
      <c r="G205">
        <v>35.263199999999998</v>
      </c>
      <c r="H205">
        <v>16.0639</v>
      </c>
      <c r="I205">
        <v>-18.203700000000001</v>
      </c>
    </row>
    <row r="206" spans="1:9" ht="16" customHeight="1" x14ac:dyDescent="0.2">
      <c r="A206">
        <v>205</v>
      </c>
      <c r="B206">
        <v>17</v>
      </c>
      <c r="C206">
        <v>57.890599999999999</v>
      </c>
      <c r="D206">
        <v>58.2211</v>
      </c>
      <c r="E206">
        <v>80.282200000000003</v>
      </c>
      <c r="F206">
        <v>101.14660000000001</v>
      </c>
      <c r="G206">
        <v>35.7014</v>
      </c>
      <c r="H206">
        <v>15.669700000000001</v>
      </c>
      <c r="I206">
        <v>-17.694800000000001</v>
      </c>
    </row>
    <row r="207" spans="1:9" ht="16" customHeight="1" x14ac:dyDescent="0.2">
      <c r="A207">
        <v>206</v>
      </c>
      <c r="B207">
        <v>17.083300000000001</v>
      </c>
      <c r="C207">
        <v>57.856299999999997</v>
      </c>
      <c r="D207">
        <v>57.723199999999999</v>
      </c>
      <c r="E207">
        <v>79.915400000000005</v>
      </c>
      <c r="F207">
        <v>100.39790000000001</v>
      </c>
      <c r="G207">
        <v>35.372399999999999</v>
      </c>
      <c r="H207">
        <v>15.343</v>
      </c>
      <c r="I207">
        <v>-17.1401</v>
      </c>
    </row>
    <row r="208" spans="1:9" ht="16" customHeight="1" x14ac:dyDescent="0.2">
      <c r="A208">
        <v>207</v>
      </c>
      <c r="B208">
        <v>17.166699999999999</v>
      </c>
      <c r="C208">
        <v>57.822099999999999</v>
      </c>
      <c r="D208">
        <v>57.688400000000001</v>
      </c>
      <c r="E208">
        <v>80.224299999999999</v>
      </c>
      <c r="F208">
        <v>100.2668</v>
      </c>
      <c r="G208">
        <v>35.5137</v>
      </c>
      <c r="H208">
        <v>15.369899999999999</v>
      </c>
      <c r="I208">
        <v>-18.300799999999999</v>
      </c>
    </row>
    <row r="209" spans="1:9" ht="16" customHeight="1" x14ac:dyDescent="0.2">
      <c r="A209">
        <v>208</v>
      </c>
      <c r="B209">
        <v>17.25</v>
      </c>
      <c r="C209">
        <v>57.787799999999997</v>
      </c>
      <c r="D209">
        <v>57.740200000000002</v>
      </c>
      <c r="E209">
        <v>80.041200000000003</v>
      </c>
      <c r="F209">
        <v>100.4824</v>
      </c>
      <c r="G209">
        <v>35.726799999999997</v>
      </c>
      <c r="H209">
        <v>15.703099999999999</v>
      </c>
      <c r="I209">
        <v>-18.218399999999999</v>
      </c>
    </row>
    <row r="210" spans="1:9" ht="16" customHeight="1" x14ac:dyDescent="0.2">
      <c r="A210">
        <v>209</v>
      </c>
      <c r="B210">
        <v>17.333300000000001</v>
      </c>
      <c r="C210">
        <v>57.753500000000003</v>
      </c>
      <c r="D210">
        <v>57.661700000000003</v>
      </c>
      <c r="E210">
        <v>79.754300000000001</v>
      </c>
      <c r="F210">
        <v>100.1611</v>
      </c>
      <c r="G210">
        <v>35.579099999999997</v>
      </c>
      <c r="H210">
        <v>16.0672</v>
      </c>
      <c r="I210">
        <v>-16.9313</v>
      </c>
    </row>
    <row r="211" spans="1:9" ht="16" customHeight="1" x14ac:dyDescent="0.2">
      <c r="A211">
        <v>210</v>
      </c>
      <c r="B211">
        <v>17.416699999999999</v>
      </c>
      <c r="C211">
        <v>57.719299999999997</v>
      </c>
      <c r="D211">
        <v>57.849299999999999</v>
      </c>
      <c r="E211">
        <v>80.366200000000006</v>
      </c>
      <c r="F211">
        <v>100.7315</v>
      </c>
      <c r="G211">
        <v>35.272599999999997</v>
      </c>
      <c r="H211">
        <v>15.667899999999999</v>
      </c>
      <c r="I211">
        <v>-18.604600000000001</v>
      </c>
    </row>
    <row r="212" spans="1:9" ht="16" customHeight="1" x14ac:dyDescent="0.2">
      <c r="A212">
        <v>211</v>
      </c>
      <c r="B212">
        <v>17.5</v>
      </c>
      <c r="C212">
        <v>57.685000000000002</v>
      </c>
      <c r="D212">
        <v>57.866100000000003</v>
      </c>
      <c r="E212">
        <v>80.201599999999999</v>
      </c>
      <c r="F212">
        <v>100.955</v>
      </c>
      <c r="G212">
        <v>35.466299999999997</v>
      </c>
      <c r="H212">
        <v>16.052</v>
      </c>
      <c r="I212">
        <v>-17.496400000000001</v>
      </c>
    </row>
    <row r="213" spans="1:9" ht="16" customHeight="1" x14ac:dyDescent="0.2">
      <c r="A213">
        <v>212</v>
      </c>
      <c r="B213">
        <v>17.583300000000001</v>
      </c>
      <c r="C213">
        <v>57.650700000000001</v>
      </c>
      <c r="D213">
        <v>57.361600000000003</v>
      </c>
      <c r="E213">
        <v>79.444400000000002</v>
      </c>
      <c r="F213">
        <v>100.3673</v>
      </c>
      <c r="G213">
        <v>35.466000000000001</v>
      </c>
      <c r="H213">
        <v>16.1785</v>
      </c>
      <c r="I213">
        <v>-17.353200000000001</v>
      </c>
    </row>
    <row r="214" spans="1:9" ht="16" customHeight="1" x14ac:dyDescent="0.2">
      <c r="A214">
        <v>213</v>
      </c>
      <c r="B214">
        <v>17.666699999999999</v>
      </c>
      <c r="C214">
        <v>57.616500000000002</v>
      </c>
      <c r="D214">
        <v>57.889800000000001</v>
      </c>
      <c r="E214">
        <v>80.195899999999995</v>
      </c>
      <c r="F214">
        <v>100.2337</v>
      </c>
      <c r="G214">
        <v>35.114400000000003</v>
      </c>
      <c r="H214">
        <v>15.334199999999999</v>
      </c>
      <c r="I214">
        <v>-17.677399999999999</v>
      </c>
    </row>
    <row r="215" spans="1:9" ht="16" customHeight="1" x14ac:dyDescent="0.2">
      <c r="A215">
        <v>214</v>
      </c>
      <c r="B215">
        <v>17.75</v>
      </c>
      <c r="C215">
        <v>57.5822</v>
      </c>
      <c r="D215">
        <v>57.627899999999997</v>
      </c>
      <c r="E215">
        <v>80.12</v>
      </c>
      <c r="F215">
        <v>100.1961</v>
      </c>
      <c r="G215">
        <v>35.265500000000003</v>
      </c>
      <c r="H215">
        <v>15.761100000000001</v>
      </c>
      <c r="I215">
        <v>-16.098600000000001</v>
      </c>
    </row>
    <row r="216" spans="1:9" ht="16" customHeight="1" x14ac:dyDescent="0.2">
      <c r="A216">
        <v>215</v>
      </c>
      <c r="B216">
        <v>17.833300000000001</v>
      </c>
      <c r="C216">
        <v>57.548000000000002</v>
      </c>
      <c r="D216">
        <v>57.475099999999998</v>
      </c>
      <c r="E216">
        <v>79.732799999999997</v>
      </c>
      <c r="F216">
        <v>99.870500000000007</v>
      </c>
      <c r="G216">
        <v>35.378700000000002</v>
      </c>
      <c r="H216">
        <v>15.6159</v>
      </c>
      <c r="I216">
        <v>-17.7699</v>
      </c>
    </row>
    <row r="217" spans="1:9" ht="16" customHeight="1" x14ac:dyDescent="0.2">
      <c r="A217">
        <v>216</v>
      </c>
      <c r="B217">
        <v>17.916699999999999</v>
      </c>
      <c r="C217">
        <v>57.5137</v>
      </c>
      <c r="D217">
        <v>57.366199999999999</v>
      </c>
      <c r="E217">
        <v>79.436899999999994</v>
      </c>
      <c r="F217">
        <v>99.554400000000001</v>
      </c>
      <c r="G217">
        <v>35.590899999999998</v>
      </c>
      <c r="H217">
        <v>15.2079</v>
      </c>
      <c r="I217">
        <v>-18.800899999999999</v>
      </c>
    </row>
    <row r="218" spans="1:9" ht="16" customHeight="1" x14ac:dyDescent="0.2">
      <c r="A218">
        <v>217</v>
      </c>
      <c r="B218">
        <v>18</v>
      </c>
      <c r="C218">
        <v>57.479399999999998</v>
      </c>
      <c r="D218">
        <v>57.380899999999997</v>
      </c>
      <c r="E218">
        <v>79.624700000000004</v>
      </c>
      <c r="F218">
        <v>99.727900000000005</v>
      </c>
      <c r="G218">
        <v>35.405000000000001</v>
      </c>
      <c r="H218">
        <v>15.223100000000001</v>
      </c>
      <c r="I218">
        <v>-19.770199999999999</v>
      </c>
    </row>
    <row r="219" spans="1:9" ht="16" customHeight="1" x14ac:dyDescent="0.2">
      <c r="A219">
        <v>218</v>
      </c>
      <c r="B219">
        <v>18.083300000000001</v>
      </c>
      <c r="C219">
        <v>57.4452</v>
      </c>
      <c r="D219">
        <v>57.518000000000001</v>
      </c>
      <c r="E219">
        <v>79.825199999999995</v>
      </c>
      <c r="F219">
        <v>100.1896</v>
      </c>
      <c r="G219">
        <v>35.742199999999997</v>
      </c>
      <c r="H219">
        <v>15.7111</v>
      </c>
      <c r="I219">
        <v>-19.703099999999999</v>
      </c>
    </row>
    <row r="220" spans="1:9" ht="16" customHeight="1" x14ac:dyDescent="0.2">
      <c r="A220">
        <v>219</v>
      </c>
      <c r="B220">
        <v>18.166699999999999</v>
      </c>
      <c r="C220">
        <v>57.410899999999998</v>
      </c>
      <c r="D220">
        <v>57.335099999999997</v>
      </c>
      <c r="E220">
        <v>79.832700000000003</v>
      </c>
      <c r="F220">
        <v>99.789100000000005</v>
      </c>
      <c r="G220">
        <v>35.340600000000002</v>
      </c>
      <c r="H220">
        <v>16.373899999999999</v>
      </c>
      <c r="I220">
        <v>-19.960599999999999</v>
      </c>
    </row>
    <row r="221" spans="1:9" ht="16" customHeight="1" x14ac:dyDescent="0.2">
      <c r="A221">
        <v>220</v>
      </c>
      <c r="B221">
        <v>18.25</v>
      </c>
      <c r="C221">
        <v>57.3767</v>
      </c>
      <c r="D221">
        <v>57.778300000000002</v>
      </c>
      <c r="E221">
        <v>80.357699999999994</v>
      </c>
      <c r="F221">
        <v>100.845</v>
      </c>
      <c r="G221">
        <v>35.331099999999999</v>
      </c>
      <c r="H221">
        <v>15.6214</v>
      </c>
      <c r="I221">
        <v>-19.046800000000001</v>
      </c>
    </row>
    <row r="222" spans="1:9" ht="16" customHeight="1" x14ac:dyDescent="0.2">
      <c r="A222">
        <v>221</v>
      </c>
      <c r="B222">
        <v>18.333300000000001</v>
      </c>
      <c r="C222">
        <v>57.342399999999998</v>
      </c>
      <c r="D222">
        <v>57.755600000000001</v>
      </c>
      <c r="E222">
        <v>80.684200000000004</v>
      </c>
      <c r="F222">
        <v>100.55240000000001</v>
      </c>
      <c r="G222">
        <v>35.576099999999997</v>
      </c>
      <c r="H222">
        <v>14.916</v>
      </c>
      <c r="I222">
        <v>-17.771100000000001</v>
      </c>
    </row>
    <row r="223" spans="1:9" ht="16" customHeight="1" x14ac:dyDescent="0.2">
      <c r="A223">
        <v>222</v>
      </c>
      <c r="B223">
        <v>18.416699999999999</v>
      </c>
      <c r="C223">
        <v>57.308100000000003</v>
      </c>
      <c r="D223">
        <v>57.5916</v>
      </c>
      <c r="E223">
        <v>80.174199999999999</v>
      </c>
      <c r="F223">
        <v>100.7236</v>
      </c>
      <c r="G223">
        <v>35.558599999999998</v>
      </c>
      <c r="H223">
        <v>14.955</v>
      </c>
      <c r="I223">
        <v>-18.825700000000001</v>
      </c>
    </row>
    <row r="224" spans="1:9" ht="16" customHeight="1" x14ac:dyDescent="0.2">
      <c r="A224">
        <v>223</v>
      </c>
      <c r="B224">
        <v>18.5</v>
      </c>
      <c r="C224">
        <v>57.273899999999998</v>
      </c>
      <c r="D224">
        <v>57.982799999999997</v>
      </c>
      <c r="E224">
        <v>80.284999999999997</v>
      </c>
      <c r="F224">
        <v>100.83150000000001</v>
      </c>
      <c r="G224">
        <v>35.083100000000002</v>
      </c>
      <c r="H224">
        <v>15.158899999999999</v>
      </c>
      <c r="I224">
        <v>-18.234100000000002</v>
      </c>
    </row>
    <row r="225" spans="1:9" ht="16" customHeight="1" x14ac:dyDescent="0.2">
      <c r="A225">
        <v>224</v>
      </c>
      <c r="B225">
        <v>18.583300000000001</v>
      </c>
      <c r="C225">
        <v>57.239600000000003</v>
      </c>
      <c r="D225">
        <v>58.2971</v>
      </c>
      <c r="E225">
        <v>80.638900000000007</v>
      </c>
      <c r="F225">
        <v>99.891400000000004</v>
      </c>
      <c r="G225">
        <v>35.515900000000002</v>
      </c>
      <c r="H225">
        <v>16.0029</v>
      </c>
      <c r="I225">
        <v>-19.758400000000002</v>
      </c>
    </row>
    <row r="226" spans="1:9" ht="16" customHeight="1" x14ac:dyDescent="0.2">
      <c r="A226">
        <v>225</v>
      </c>
      <c r="B226">
        <v>18.666699999999999</v>
      </c>
      <c r="C226">
        <v>57.205300000000001</v>
      </c>
      <c r="D226">
        <v>58.331000000000003</v>
      </c>
      <c r="E226">
        <v>80.741200000000006</v>
      </c>
      <c r="F226">
        <v>100.8745</v>
      </c>
      <c r="G226">
        <v>35.660899999999998</v>
      </c>
      <c r="H226">
        <v>14.9711</v>
      </c>
      <c r="I226">
        <v>-20.015699999999999</v>
      </c>
    </row>
    <row r="227" spans="1:9" ht="16" customHeight="1" x14ac:dyDescent="0.2">
      <c r="A227">
        <v>226</v>
      </c>
      <c r="B227">
        <v>18.75</v>
      </c>
      <c r="C227">
        <v>57.171100000000003</v>
      </c>
      <c r="D227">
        <v>58.040999999999997</v>
      </c>
      <c r="E227">
        <v>80.913399999999996</v>
      </c>
      <c r="F227">
        <v>100.49169999999999</v>
      </c>
      <c r="G227">
        <v>35.223399999999998</v>
      </c>
      <c r="H227">
        <v>15.511699999999999</v>
      </c>
      <c r="I227">
        <v>-19.678100000000001</v>
      </c>
    </row>
    <row r="228" spans="1:9" ht="16" customHeight="1" x14ac:dyDescent="0.2">
      <c r="A228">
        <v>227</v>
      </c>
      <c r="B228">
        <v>18.833300000000001</v>
      </c>
      <c r="C228">
        <v>57.136800000000001</v>
      </c>
      <c r="D228">
        <v>57.454799999999999</v>
      </c>
      <c r="E228">
        <v>80.304400000000001</v>
      </c>
      <c r="F228">
        <v>100.3511</v>
      </c>
      <c r="G228">
        <v>35.170499999999997</v>
      </c>
      <c r="H228">
        <v>14.8285</v>
      </c>
      <c r="I228">
        <v>-18.414400000000001</v>
      </c>
    </row>
    <row r="229" spans="1:9" ht="16" customHeight="1" x14ac:dyDescent="0.2">
      <c r="A229">
        <v>228</v>
      </c>
      <c r="B229">
        <v>18.916699999999999</v>
      </c>
      <c r="C229">
        <v>57.102600000000002</v>
      </c>
      <c r="D229">
        <v>57.5411</v>
      </c>
      <c r="E229">
        <v>80.191999999999993</v>
      </c>
      <c r="F229">
        <v>100.3754</v>
      </c>
      <c r="G229">
        <v>35.091700000000003</v>
      </c>
      <c r="H229">
        <v>14.979900000000001</v>
      </c>
      <c r="I229">
        <v>-17.879200000000001</v>
      </c>
    </row>
    <row r="230" spans="1:9" ht="16" customHeight="1" x14ac:dyDescent="0.2">
      <c r="A230">
        <v>229</v>
      </c>
      <c r="B230">
        <v>19</v>
      </c>
      <c r="C230">
        <v>57.068300000000001</v>
      </c>
      <c r="D230">
        <v>57.635800000000003</v>
      </c>
      <c r="E230">
        <v>80.528300000000002</v>
      </c>
      <c r="F230">
        <v>100.0886</v>
      </c>
      <c r="G230">
        <v>35.050600000000003</v>
      </c>
      <c r="H230">
        <v>15.027100000000001</v>
      </c>
      <c r="I230">
        <v>-17.197199999999999</v>
      </c>
    </row>
    <row r="231" spans="1:9" ht="16" customHeight="1" x14ac:dyDescent="0.2">
      <c r="A231">
        <v>230</v>
      </c>
      <c r="B231">
        <v>19.083300000000001</v>
      </c>
      <c r="C231">
        <v>57.033999999999999</v>
      </c>
      <c r="D231">
        <v>57.844799999999999</v>
      </c>
      <c r="E231">
        <v>79.868200000000002</v>
      </c>
      <c r="F231">
        <v>100.55289999999999</v>
      </c>
      <c r="G231">
        <v>34.956400000000002</v>
      </c>
      <c r="H231">
        <v>15.5022</v>
      </c>
      <c r="I231">
        <v>-19.5228</v>
      </c>
    </row>
    <row r="232" spans="1:9" ht="16" customHeight="1" x14ac:dyDescent="0.2">
      <c r="A232">
        <v>231</v>
      </c>
      <c r="B232">
        <v>19.166699999999999</v>
      </c>
      <c r="C232">
        <v>56.9998</v>
      </c>
      <c r="D232">
        <v>57.862699999999997</v>
      </c>
      <c r="E232">
        <v>80.306700000000006</v>
      </c>
      <c r="F232">
        <v>99.490899999999996</v>
      </c>
      <c r="G232">
        <v>35.375100000000003</v>
      </c>
      <c r="H232">
        <v>14.8103</v>
      </c>
      <c r="I232">
        <v>-17.334800000000001</v>
      </c>
    </row>
    <row r="233" spans="1:9" ht="16" customHeight="1" x14ac:dyDescent="0.2">
      <c r="A233">
        <v>232</v>
      </c>
      <c r="B233">
        <v>19.25</v>
      </c>
      <c r="C233">
        <v>56.965499999999999</v>
      </c>
      <c r="D233">
        <v>57.587800000000001</v>
      </c>
      <c r="E233">
        <v>79.488100000000003</v>
      </c>
      <c r="F233">
        <v>100.2533</v>
      </c>
      <c r="G233">
        <v>35.558500000000002</v>
      </c>
      <c r="H233">
        <v>15.7403</v>
      </c>
      <c r="I233">
        <v>-18.9572</v>
      </c>
    </row>
    <row r="234" spans="1:9" ht="16" customHeight="1" x14ac:dyDescent="0.2">
      <c r="A234">
        <v>233</v>
      </c>
      <c r="B234">
        <v>19.333300000000001</v>
      </c>
      <c r="C234">
        <v>56.9313</v>
      </c>
      <c r="D234">
        <v>57.799300000000002</v>
      </c>
      <c r="E234">
        <v>79.432699999999997</v>
      </c>
      <c r="F234">
        <v>99.635000000000005</v>
      </c>
      <c r="G234">
        <v>35.6205</v>
      </c>
      <c r="H234">
        <v>15.225899999999999</v>
      </c>
      <c r="I234">
        <v>-18.865300000000001</v>
      </c>
    </row>
    <row r="235" spans="1:9" ht="16" customHeight="1" x14ac:dyDescent="0.2">
      <c r="A235">
        <v>234</v>
      </c>
      <c r="B235">
        <v>19.416699999999999</v>
      </c>
      <c r="C235">
        <v>56.896999999999998</v>
      </c>
      <c r="D235">
        <v>57.183799999999998</v>
      </c>
      <c r="E235">
        <v>79.495599999999996</v>
      </c>
      <c r="F235">
        <v>99.327799999999996</v>
      </c>
      <c r="G235">
        <v>35.466900000000003</v>
      </c>
      <c r="H235">
        <v>15.514900000000001</v>
      </c>
      <c r="I235">
        <v>-17.145900000000001</v>
      </c>
    </row>
    <row r="236" spans="1:9" ht="16" customHeight="1" x14ac:dyDescent="0.2">
      <c r="A236">
        <v>235</v>
      </c>
      <c r="B236">
        <v>19.5</v>
      </c>
      <c r="C236">
        <v>56.862699999999997</v>
      </c>
      <c r="D236">
        <v>57.244700000000002</v>
      </c>
      <c r="E236">
        <v>79.587400000000002</v>
      </c>
      <c r="F236">
        <v>100.0309</v>
      </c>
      <c r="G236">
        <v>35.081699999999998</v>
      </c>
      <c r="H236">
        <v>15.3147</v>
      </c>
      <c r="I236">
        <v>-17.9178</v>
      </c>
    </row>
    <row r="237" spans="1:9" ht="16" customHeight="1" x14ac:dyDescent="0.2">
      <c r="A237">
        <v>236</v>
      </c>
      <c r="B237">
        <v>19.583300000000001</v>
      </c>
      <c r="C237">
        <v>56.828499999999998</v>
      </c>
      <c r="D237">
        <v>57.238900000000001</v>
      </c>
      <c r="E237">
        <v>79.660399999999996</v>
      </c>
      <c r="F237">
        <v>99.275700000000001</v>
      </c>
      <c r="G237">
        <v>35.177</v>
      </c>
      <c r="H237">
        <v>15.2203</v>
      </c>
      <c r="I237">
        <v>-18.2806</v>
      </c>
    </row>
    <row r="238" spans="1:9" ht="16" customHeight="1" x14ac:dyDescent="0.2">
      <c r="A238">
        <v>237</v>
      </c>
      <c r="B238">
        <v>19.666699999999999</v>
      </c>
      <c r="C238">
        <v>56.794199999999996</v>
      </c>
      <c r="D238">
        <v>57.369300000000003</v>
      </c>
      <c r="E238">
        <v>79.296499999999995</v>
      </c>
      <c r="F238">
        <v>99.905799999999999</v>
      </c>
      <c r="G238">
        <v>35.104300000000002</v>
      </c>
      <c r="H238">
        <v>15.1343</v>
      </c>
      <c r="I238">
        <v>-19.577000000000002</v>
      </c>
    </row>
    <row r="239" spans="1:9" ht="16" customHeight="1" x14ac:dyDescent="0.2">
      <c r="A239">
        <v>238</v>
      </c>
      <c r="B239">
        <v>19.75</v>
      </c>
      <c r="C239">
        <v>56.759900000000002</v>
      </c>
      <c r="D239">
        <v>57.975200000000001</v>
      </c>
      <c r="E239">
        <v>79.743700000000004</v>
      </c>
      <c r="F239">
        <v>99.717399999999998</v>
      </c>
      <c r="G239">
        <v>35.403799999999997</v>
      </c>
      <c r="H239">
        <v>14.58</v>
      </c>
      <c r="I239">
        <v>-19.3185</v>
      </c>
    </row>
    <row r="240" spans="1:9" ht="16" customHeight="1" x14ac:dyDescent="0.2">
      <c r="A240">
        <v>239</v>
      </c>
      <c r="B240">
        <v>19.833300000000001</v>
      </c>
      <c r="C240">
        <v>56.725700000000003</v>
      </c>
      <c r="D240">
        <v>57.563200000000002</v>
      </c>
      <c r="E240">
        <v>79.554100000000005</v>
      </c>
      <c r="F240">
        <v>99.501800000000003</v>
      </c>
      <c r="G240">
        <v>35.062399999999997</v>
      </c>
      <c r="H240">
        <v>14.746499999999999</v>
      </c>
      <c r="I240">
        <v>-20.639800000000001</v>
      </c>
    </row>
    <row r="241" spans="1:9" ht="16" customHeight="1" x14ac:dyDescent="0.2">
      <c r="A241">
        <v>240</v>
      </c>
      <c r="B241">
        <v>19.916699999999999</v>
      </c>
      <c r="C241">
        <v>56.691400000000002</v>
      </c>
      <c r="D241">
        <v>57.431699999999999</v>
      </c>
      <c r="E241">
        <v>79.680899999999994</v>
      </c>
      <c r="F241">
        <v>100.2013</v>
      </c>
      <c r="G241">
        <v>35.036700000000003</v>
      </c>
      <c r="H241">
        <v>14.710800000000001</v>
      </c>
      <c r="I241">
        <v>-19.553100000000001</v>
      </c>
    </row>
    <row r="242" spans="1:9" ht="16" customHeight="1" x14ac:dyDescent="0.2">
      <c r="A242">
        <v>241</v>
      </c>
      <c r="B242">
        <v>20</v>
      </c>
      <c r="C242">
        <v>56.657200000000003</v>
      </c>
      <c r="D242">
        <v>57.059800000000003</v>
      </c>
      <c r="E242">
        <v>79.676000000000002</v>
      </c>
      <c r="F242">
        <v>99.924599999999998</v>
      </c>
      <c r="G242">
        <v>35.004100000000001</v>
      </c>
      <c r="H242">
        <v>14.5213</v>
      </c>
      <c r="I242">
        <v>-18.9878</v>
      </c>
    </row>
    <row r="243" spans="1:9" ht="16" customHeight="1" x14ac:dyDescent="0.2">
      <c r="A243">
        <v>242</v>
      </c>
      <c r="B243">
        <v>20.083300000000001</v>
      </c>
      <c r="C243">
        <v>56.622900000000001</v>
      </c>
      <c r="D243">
        <v>57.019500000000001</v>
      </c>
      <c r="E243">
        <v>79.6935</v>
      </c>
      <c r="F243">
        <v>99.6434</v>
      </c>
      <c r="G243">
        <v>35.082700000000003</v>
      </c>
      <c r="H243">
        <v>14.7887</v>
      </c>
      <c r="I243">
        <v>-18.323599999999999</v>
      </c>
    </row>
    <row r="244" spans="1:9" ht="16" customHeight="1" x14ac:dyDescent="0.2">
      <c r="A244">
        <v>243</v>
      </c>
      <c r="B244">
        <v>20.166699999999999</v>
      </c>
      <c r="C244">
        <v>56.5886</v>
      </c>
      <c r="D244">
        <v>57.063699999999997</v>
      </c>
      <c r="E244">
        <v>79.744600000000005</v>
      </c>
      <c r="F244">
        <v>100.2641</v>
      </c>
      <c r="G244">
        <v>35.119900000000001</v>
      </c>
      <c r="H244">
        <v>14.1911</v>
      </c>
      <c r="I244">
        <v>-19.716000000000001</v>
      </c>
    </row>
    <row r="245" spans="1:9" ht="16" customHeight="1" x14ac:dyDescent="0.2">
      <c r="A245">
        <v>244</v>
      </c>
      <c r="B245">
        <v>20.25</v>
      </c>
      <c r="C245">
        <v>56.554400000000001</v>
      </c>
      <c r="D245">
        <v>57.352400000000003</v>
      </c>
      <c r="E245">
        <v>79.493099999999998</v>
      </c>
      <c r="F245">
        <v>99.823700000000002</v>
      </c>
      <c r="G245">
        <v>34.9041</v>
      </c>
      <c r="H245">
        <v>14.8307</v>
      </c>
      <c r="I245">
        <v>-19.682099999999998</v>
      </c>
    </row>
    <row r="246" spans="1:9" ht="16" customHeight="1" x14ac:dyDescent="0.2">
      <c r="A246">
        <v>245</v>
      </c>
      <c r="B246">
        <v>20.333300000000001</v>
      </c>
      <c r="C246">
        <v>56.520099999999999</v>
      </c>
      <c r="D246">
        <v>57.4925</v>
      </c>
      <c r="E246">
        <v>79.669499999999999</v>
      </c>
      <c r="F246">
        <v>99.422300000000007</v>
      </c>
      <c r="G246">
        <v>35.153700000000001</v>
      </c>
      <c r="H246">
        <v>15.183299999999999</v>
      </c>
      <c r="I246">
        <v>-21.8307</v>
      </c>
    </row>
    <row r="247" spans="1:9" ht="16" customHeight="1" x14ac:dyDescent="0.2">
      <c r="A247">
        <v>246</v>
      </c>
      <c r="B247">
        <v>20.416699999999999</v>
      </c>
      <c r="C247">
        <v>56.485900000000001</v>
      </c>
      <c r="D247">
        <v>56.979799999999997</v>
      </c>
      <c r="E247">
        <v>79.484200000000001</v>
      </c>
      <c r="F247">
        <v>100.1323</v>
      </c>
      <c r="G247">
        <v>35.061199999999999</v>
      </c>
      <c r="H247">
        <v>14.9857</v>
      </c>
      <c r="I247">
        <v>-19.042899999999999</v>
      </c>
    </row>
    <row r="248" spans="1:9" ht="16" customHeight="1" x14ac:dyDescent="0.2">
      <c r="A248">
        <v>247</v>
      </c>
      <c r="B248">
        <v>20.5</v>
      </c>
      <c r="C248">
        <v>56.451599999999999</v>
      </c>
      <c r="D248">
        <v>57.054400000000001</v>
      </c>
      <c r="E248">
        <v>78.8857</v>
      </c>
      <c r="F248">
        <v>99.182299999999998</v>
      </c>
      <c r="G248">
        <v>34.953800000000001</v>
      </c>
      <c r="H248">
        <v>15.155799999999999</v>
      </c>
      <c r="I248">
        <v>-19.404</v>
      </c>
    </row>
    <row r="249" spans="1:9" ht="16" customHeight="1" x14ac:dyDescent="0.2">
      <c r="A249">
        <v>248</v>
      </c>
      <c r="B249">
        <v>20.583300000000001</v>
      </c>
      <c r="C249">
        <v>56.417299999999997</v>
      </c>
      <c r="D249">
        <v>56.621000000000002</v>
      </c>
      <c r="E249">
        <v>79.354699999999994</v>
      </c>
      <c r="F249">
        <v>98.911799999999999</v>
      </c>
      <c r="G249">
        <v>35.0122</v>
      </c>
      <c r="H249">
        <v>15.0989</v>
      </c>
      <c r="I249">
        <v>-21.252700000000001</v>
      </c>
    </row>
    <row r="250" spans="1:9" ht="16" customHeight="1" x14ac:dyDescent="0.2">
      <c r="A250">
        <v>249</v>
      </c>
      <c r="B250">
        <v>20.666699999999999</v>
      </c>
      <c r="C250">
        <v>56.383099999999999</v>
      </c>
      <c r="D250">
        <v>56.545400000000001</v>
      </c>
      <c r="E250">
        <v>78.630799999999994</v>
      </c>
      <c r="F250">
        <v>98.702699999999993</v>
      </c>
      <c r="G250">
        <v>34.118000000000002</v>
      </c>
      <c r="H250">
        <v>14.5525</v>
      </c>
      <c r="I250">
        <v>-20.4452</v>
      </c>
    </row>
    <row r="251" spans="1:9" ht="16" customHeight="1" x14ac:dyDescent="0.2">
      <c r="A251">
        <v>250</v>
      </c>
      <c r="B251">
        <v>20.75</v>
      </c>
      <c r="C251">
        <v>56.348799999999997</v>
      </c>
      <c r="D251">
        <v>56.317799999999998</v>
      </c>
      <c r="E251">
        <v>78.583399999999997</v>
      </c>
      <c r="F251">
        <v>98.417500000000004</v>
      </c>
      <c r="G251">
        <v>33.8337</v>
      </c>
      <c r="H251">
        <v>13.5807</v>
      </c>
      <c r="I251">
        <v>-19.484000000000002</v>
      </c>
    </row>
    <row r="252" spans="1:9" ht="16" customHeight="1" x14ac:dyDescent="0.2">
      <c r="A252">
        <v>251</v>
      </c>
      <c r="B252">
        <v>20.833300000000001</v>
      </c>
      <c r="C252">
        <v>56.314500000000002</v>
      </c>
      <c r="D252">
        <v>56.343299999999999</v>
      </c>
      <c r="E252">
        <v>78.869200000000006</v>
      </c>
      <c r="F252">
        <v>99.028000000000006</v>
      </c>
      <c r="G252">
        <v>33.916899999999998</v>
      </c>
      <c r="H252">
        <v>13.901300000000001</v>
      </c>
      <c r="I252">
        <v>-20.141200000000001</v>
      </c>
    </row>
    <row r="253" spans="1:9" ht="16" customHeight="1" x14ac:dyDescent="0.2">
      <c r="A253">
        <v>252</v>
      </c>
      <c r="B253">
        <v>20.916699999999999</v>
      </c>
      <c r="C253">
        <v>56.280299999999997</v>
      </c>
      <c r="D253">
        <v>56.133899999999997</v>
      </c>
      <c r="E253">
        <v>78.778899999999993</v>
      </c>
      <c r="F253">
        <v>99.036799999999999</v>
      </c>
      <c r="G253">
        <v>34.259599999999999</v>
      </c>
      <c r="H253">
        <v>13.434100000000001</v>
      </c>
      <c r="I253">
        <v>-18.296500000000002</v>
      </c>
    </row>
    <row r="254" spans="1:9" ht="16" customHeight="1" x14ac:dyDescent="0.2">
      <c r="A254">
        <v>253</v>
      </c>
      <c r="B254">
        <v>21</v>
      </c>
      <c r="C254">
        <v>56.246000000000002</v>
      </c>
      <c r="D254">
        <v>56.307299999999998</v>
      </c>
      <c r="E254">
        <v>78.953100000000006</v>
      </c>
      <c r="F254">
        <v>99.232799999999997</v>
      </c>
      <c r="G254">
        <v>33.895099999999999</v>
      </c>
      <c r="H254">
        <v>14.089</v>
      </c>
      <c r="I254">
        <v>-19.8691</v>
      </c>
    </row>
    <row r="255" spans="1:9" ht="16" customHeight="1" x14ac:dyDescent="0.2">
      <c r="A255">
        <v>254</v>
      </c>
      <c r="B255">
        <v>21.083300000000001</v>
      </c>
      <c r="C255">
        <v>56.211799999999997</v>
      </c>
      <c r="D255">
        <v>56.3294</v>
      </c>
      <c r="E255">
        <v>78.660200000000003</v>
      </c>
      <c r="F255">
        <v>98.9131</v>
      </c>
      <c r="G255">
        <v>34.492699999999999</v>
      </c>
      <c r="H255">
        <v>14.3483</v>
      </c>
      <c r="I255">
        <v>-21.284300000000002</v>
      </c>
    </row>
    <row r="256" spans="1:9" ht="16" customHeight="1" x14ac:dyDescent="0.2">
      <c r="A256">
        <v>255</v>
      </c>
      <c r="B256">
        <v>21.166699999999999</v>
      </c>
      <c r="C256">
        <v>56.177500000000002</v>
      </c>
      <c r="D256">
        <v>56.040100000000002</v>
      </c>
      <c r="E256">
        <v>78.619299999999996</v>
      </c>
      <c r="F256">
        <v>99.431899999999999</v>
      </c>
      <c r="G256">
        <v>33.568800000000003</v>
      </c>
      <c r="H256">
        <v>13.906000000000001</v>
      </c>
      <c r="I256">
        <v>-19.895199999999999</v>
      </c>
    </row>
    <row r="257" spans="1:9" ht="16" customHeight="1" x14ac:dyDescent="0.2">
      <c r="A257">
        <v>256</v>
      </c>
      <c r="B257">
        <v>21.25</v>
      </c>
      <c r="C257">
        <v>56.1432</v>
      </c>
      <c r="D257">
        <v>55.600900000000003</v>
      </c>
      <c r="E257">
        <v>78.760199999999998</v>
      </c>
      <c r="F257">
        <v>99.149299999999997</v>
      </c>
      <c r="G257">
        <v>33.942300000000003</v>
      </c>
      <c r="H257">
        <v>14.292999999999999</v>
      </c>
      <c r="I257">
        <v>-22.093</v>
      </c>
    </row>
    <row r="258" spans="1:9" ht="16" customHeight="1" x14ac:dyDescent="0.2">
      <c r="A258">
        <v>257</v>
      </c>
      <c r="B258">
        <v>21.333300000000001</v>
      </c>
      <c r="C258">
        <v>56.109000000000002</v>
      </c>
      <c r="D258">
        <v>55.866799999999998</v>
      </c>
      <c r="E258">
        <v>78.669899999999998</v>
      </c>
      <c r="F258">
        <v>99.001199999999997</v>
      </c>
      <c r="G258">
        <v>34.121099999999998</v>
      </c>
      <c r="H258">
        <v>14.805899999999999</v>
      </c>
      <c r="I258">
        <v>-20.2545</v>
      </c>
    </row>
    <row r="259" spans="1:9" ht="16" customHeight="1" x14ac:dyDescent="0.2">
      <c r="A259">
        <v>258</v>
      </c>
      <c r="B259">
        <v>21.416699999999999</v>
      </c>
      <c r="C259">
        <v>56.0747</v>
      </c>
      <c r="D259">
        <v>56.117699999999999</v>
      </c>
      <c r="E259">
        <v>78.921899999999994</v>
      </c>
      <c r="F259">
        <v>98.410899999999998</v>
      </c>
      <c r="G259">
        <v>34.184399999999997</v>
      </c>
      <c r="H259">
        <v>13.8591</v>
      </c>
      <c r="I259">
        <v>-18.61</v>
      </c>
    </row>
    <row r="260" spans="1:9" ht="16" customHeight="1" x14ac:dyDescent="0.2">
      <c r="A260">
        <v>259</v>
      </c>
      <c r="B260">
        <v>21.5</v>
      </c>
      <c r="C260">
        <v>56.040500000000002</v>
      </c>
      <c r="D260">
        <v>56.387900000000002</v>
      </c>
      <c r="E260">
        <v>78.997299999999996</v>
      </c>
      <c r="F260">
        <v>98.407200000000003</v>
      </c>
      <c r="G260">
        <v>34.165500000000002</v>
      </c>
      <c r="H260">
        <v>14.170400000000001</v>
      </c>
      <c r="I260">
        <v>-19.4603</v>
      </c>
    </row>
    <row r="261" spans="1:9" ht="16" customHeight="1" x14ac:dyDescent="0.2">
      <c r="A261">
        <v>260</v>
      </c>
      <c r="B261">
        <v>21.583300000000001</v>
      </c>
      <c r="C261">
        <v>56.0062</v>
      </c>
      <c r="D261">
        <v>56.37</v>
      </c>
      <c r="E261">
        <v>78.606999999999999</v>
      </c>
      <c r="F261">
        <v>98.131100000000004</v>
      </c>
      <c r="G261">
        <v>33.824800000000003</v>
      </c>
      <c r="H261">
        <v>14.005599999999999</v>
      </c>
      <c r="I261">
        <v>-21.2194</v>
      </c>
    </row>
    <row r="262" spans="1:9" ht="16" customHeight="1" x14ac:dyDescent="0.2">
      <c r="A262">
        <v>261</v>
      </c>
      <c r="B262">
        <v>21.666699999999999</v>
      </c>
      <c r="C262">
        <v>55.971899999999998</v>
      </c>
      <c r="D262">
        <v>56.283799999999999</v>
      </c>
      <c r="E262">
        <v>78.361199999999997</v>
      </c>
      <c r="F262">
        <v>98.128500000000003</v>
      </c>
      <c r="G262">
        <v>34.006999999999998</v>
      </c>
      <c r="H262">
        <v>13.4427</v>
      </c>
      <c r="I262">
        <v>-20.899000000000001</v>
      </c>
    </row>
    <row r="263" spans="1:9" ht="16" customHeight="1" x14ac:dyDescent="0.2">
      <c r="A263">
        <v>262</v>
      </c>
      <c r="B263">
        <v>21.75</v>
      </c>
      <c r="C263">
        <v>55.9377</v>
      </c>
      <c r="D263">
        <v>56.153399999999998</v>
      </c>
      <c r="E263">
        <v>78.036600000000007</v>
      </c>
      <c r="F263">
        <v>98.080600000000004</v>
      </c>
      <c r="G263">
        <v>33.643999999999998</v>
      </c>
      <c r="H263">
        <v>13.7448</v>
      </c>
      <c r="I263">
        <v>-21.126799999999999</v>
      </c>
    </row>
    <row r="264" spans="1:9" ht="16" customHeight="1" x14ac:dyDescent="0.2">
      <c r="A264">
        <v>263</v>
      </c>
      <c r="B264">
        <v>21.833300000000001</v>
      </c>
      <c r="C264">
        <v>55.903399999999998</v>
      </c>
      <c r="D264">
        <v>55.9422</v>
      </c>
      <c r="E264">
        <v>78.383200000000002</v>
      </c>
      <c r="F264">
        <v>97.723500000000001</v>
      </c>
      <c r="G264">
        <v>33.957599999999999</v>
      </c>
      <c r="H264">
        <v>14.099399999999999</v>
      </c>
      <c r="I264">
        <v>-21.332599999999999</v>
      </c>
    </row>
    <row r="265" spans="1:9" ht="16" customHeight="1" x14ac:dyDescent="0.2">
      <c r="A265">
        <v>264</v>
      </c>
      <c r="B265">
        <v>21.916699999999999</v>
      </c>
      <c r="C265">
        <v>55.869100000000003</v>
      </c>
      <c r="D265">
        <v>56.049100000000003</v>
      </c>
      <c r="E265">
        <v>77.851299999999995</v>
      </c>
      <c r="F265">
        <v>98.469200000000001</v>
      </c>
      <c r="G265">
        <v>33.781799999999997</v>
      </c>
      <c r="H265">
        <v>13.8071</v>
      </c>
      <c r="I265">
        <v>-19.827300000000001</v>
      </c>
    </row>
    <row r="266" spans="1:9" ht="16" customHeight="1" x14ac:dyDescent="0.2">
      <c r="A266">
        <v>265</v>
      </c>
      <c r="B266">
        <v>22</v>
      </c>
      <c r="C266">
        <v>55.834899999999998</v>
      </c>
      <c r="D266">
        <v>56.027000000000001</v>
      </c>
      <c r="E266">
        <v>78.239199999999997</v>
      </c>
      <c r="F266">
        <v>97.911600000000007</v>
      </c>
      <c r="G266">
        <v>33.758400000000002</v>
      </c>
      <c r="H266">
        <v>14.293900000000001</v>
      </c>
      <c r="I266">
        <v>-20.049399999999999</v>
      </c>
    </row>
    <row r="267" spans="1:9" ht="16" customHeight="1" x14ac:dyDescent="0.2">
      <c r="A267">
        <v>266</v>
      </c>
      <c r="B267">
        <v>22.083300000000001</v>
      </c>
      <c r="C267">
        <v>55.800600000000003</v>
      </c>
      <c r="D267">
        <v>56.292099999999998</v>
      </c>
      <c r="E267">
        <v>78.299199999999999</v>
      </c>
      <c r="F267">
        <v>98.0792</v>
      </c>
      <c r="G267">
        <v>33.553400000000003</v>
      </c>
      <c r="H267">
        <v>14.1785</v>
      </c>
      <c r="I267">
        <v>-18.419</v>
      </c>
    </row>
    <row r="268" spans="1:9" ht="16" customHeight="1" x14ac:dyDescent="0.2">
      <c r="A268">
        <v>267</v>
      </c>
      <c r="B268">
        <v>22.166699999999999</v>
      </c>
      <c r="C268">
        <v>55.766399999999997</v>
      </c>
      <c r="D268">
        <v>56.020099999999999</v>
      </c>
      <c r="E268">
        <v>78.440100000000001</v>
      </c>
      <c r="F268">
        <v>98.495800000000003</v>
      </c>
      <c r="G268">
        <v>34.147799999999997</v>
      </c>
      <c r="H268">
        <v>13.073499999999999</v>
      </c>
      <c r="I268">
        <v>-18.87</v>
      </c>
    </row>
    <row r="269" spans="1:9" ht="16" customHeight="1" x14ac:dyDescent="0.2">
      <c r="A269">
        <v>268</v>
      </c>
      <c r="B269">
        <v>22.25</v>
      </c>
      <c r="C269">
        <v>55.732100000000003</v>
      </c>
      <c r="D269">
        <v>55.575099999999999</v>
      </c>
      <c r="E269">
        <v>77.837199999999996</v>
      </c>
      <c r="F269">
        <v>98.351200000000006</v>
      </c>
      <c r="G269">
        <v>33.969700000000003</v>
      </c>
      <c r="H269">
        <v>13.641</v>
      </c>
      <c r="I269">
        <v>-19.613399999999999</v>
      </c>
    </row>
    <row r="270" spans="1:9" ht="16" customHeight="1" x14ac:dyDescent="0.2">
      <c r="A270">
        <v>269</v>
      </c>
      <c r="B270">
        <v>22.333300000000001</v>
      </c>
      <c r="C270">
        <v>55.697800000000001</v>
      </c>
      <c r="D270">
        <v>55.430799999999998</v>
      </c>
      <c r="E270">
        <v>78.171499999999995</v>
      </c>
      <c r="F270">
        <v>97.255099999999999</v>
      </c>
      <c r="G270">
        <v>33.874499999999998</v>
      </c>
      <c r="H270">
        <v>13.453099999999999</v>
      </c>
      <c r="I270">
        <v>-22.0198</v>
      </c>
    </row>
    <row r="271" spans="1:9" ht="16" customHeight="1" x14ac:dyDescent="0.2">
      <c r="A271">
        <v>270</v>
      </c>
      <c r="B271">
        <v>22.416699999999999</v>
      </c>
      <c r="C271">
        <v>55.663600000000002</v>
      </c>
      <c r="D271">
        <v>55.918999999999997</v>
      </c>
      <c r="E271">
        <v>77.878299999999996</v>
      </c>
      <c r="F271">
        <v>97.260800000000003</v>
      </c>
      <c r="G271">
        <v>33.646099999999997</v>
      </c>
      <c r="H271">
        <v>14.0448</v>
      </c>
      <c r="I271">
        <v>-23.071300000000001</v>
      </c>
    </row>
    <row r="272" spans="1:9" ht="16" customHeight="1" x14ac:dyDescent="0.2">
      <c r="A272">
        <v>271</v>
      </c>
      <c r="B272">
        <v>22.5</v>
      </c>
      <c r="C272">
        <v>55.629300000000001</v>
      </c>
      <c r="D272">
        <v>55.1798</v>
      </c>
      <c r="E272">
        <v>77.725200000000001</v>
      </c>
      <c r="F272">
        <v>97.0364</v>
      </c>
      <c r="G272">
        <v>33.055</v>
      </c>
      <c r="H272">
        <v>12.885999999999999</v>
      </c>
      <c r="I272">
        <v>-21.671600000000002</v>
      </c>
    </row>
    <row r="273" spans="1:9" ht="16" customHeight="1" x14ac:dyDescent="0.2">
      <c r="A273">
        <v>272</v>
      </c>
      <c r="B273">
        <v>22.583300000000001</v>
      </c>
      <c r="C273">
        <v>55.595100000000002</v>
      </c>
      <c r="D273">
        <v>55.441099999999999</v>
      </c>
      <c r="E273">
        <v>77.2453</v>
      </c>
      <c r="F273">
        <v>97.063800000000001</v>
      </c>
      <c r="G273">
        <v>33.033900000000003</v>
      </c>
      <c r="H273">
        <v>13.3748</v>
      </c>
      <c r="I273">
        <v>-22.294</v>
      </c>
    </row>
    <row r="274" spans="1:9" ht="16" customHeight="1" x14ac:dyDescent="0.2">
      <c r="A274">
        <v>273</v>
      </c>
      <c r="B274">
        <v>22.666699999999999</v>
      </c>
      <c r="C274">
        <v>55.5608</v>
      </c>
      <c r="D274">
        <v>55.448999999999998</v>
      </c>
      <c r="E274">
        <v>77.168300000000002</v>
      </c>
      <c r="F274">
        <v>96.849900000000005</v>
      </c>
      <c r="G274">
        <v>33.126100000000001</v>
      </c>
      <c r="H274">
        <v>12.9093</v>
      </c>
      <c r="I274">
        <v>-22.080500000000001</v>
      </c>
    </row>
    <row r="275" spans="1:9" ht="16" customHeight="1" x14ac:dyDescent="0.2">
      <c r="A275">
        <v>274</v>
      </c>
      <c r="B275">
        <v>22.75</v>
      </c>
      <c r="C275">
        <v>55.526499999999999</v>
      </c>
      <c r="D275">
        <v>54.765999999999998</v>
      </c>
      <c r="E275">
        <v>76.826300000000003</v>
      </c>
      <c r="F275">
        <v>96.576599999999999</v>
      </c>
      <c r="G275">
        <v>33.118299999999998</v>
      </c>
      <c r="H275">
        <v>12.536199999999999</v>
      </c>
      <c r="I275">
        <v>-20.567499999999999</v>
      </c>
    </row>
    <row r="276" spans="1:9" ht="16" customHeight="1" x14ac:dyDescent="0.2">
      <c r="A276">
        <v>275</v>
      </c>
      <c r="B276">
        <v>22.833300000000001</v>
      </c>
      <c r="C276">
        <v>55.4923</v>
      </c>
      <c r="D276">
        <v>54.488</v>
      </c>
      <c r="E276">
        <v>77.040000000000006</v>
      </c>
      <c r="F276">
        <v>97.297300000000007</v>
      </c>
      <c r="G276">
        <v>32.732500000000002</v>
      </c>
      <c r="H276">
        <v>12.583399999999999</v>
      </c>
      <c r="I276">
        <v>-22.7302</v>
      </c>
    </row>
    <row r="277" spans="1:9" ht="16" customHeight="1" x14ac:dyDescent="0.2">
      <c r="A277">
        <v>276</v>
      </c>
      <c r="B277">
        <v>22.916699999999999</v>
      </c>
      <c r="C277">
        <v>55.457999999999998</v>
      </c>
      <c r="D277">
        <v>54.8748</v>
      </c>
      <c r="E277">
        <v>76.741399999999999</v>
      </c>
      <c r="F277">
        <v>97.022900000000007</v>
      </c>
      <c r="G277">
        <v>32.035400000000003</v>
      </c>
      <c r="H277">
        <v>12.362</v>
      </c>
      <c r="I277">
        <v>-22.1435</v>
      </c>
    </row>
    <row r="278" spans="1:9" ht="16" customHeight="1" x14ac:dyDescent="0.2">
      <c r="A278">
        <v>277</v>
      </c>
      <c r="B278">
        <v>23</v>
      </c>
      <c r="C278">
        <v>55.423699999999997</v>
      </c>
      <c r="D278">
        <v>54.854999999999997</v>
      </c>
      <c r="E278">
        <v>77.515299999999996</v>
      </c>
      <c r="F278">
        <v>96.806799999999996</v>
      </c>
      <c r="G278">
        <v>32.759500000000003</v>
      </c>
      <c r="H278">
        <v>12.958399999999999</v>
      </c>
      <c r="I278">
        <v>-22.362300000000001</v>
      </c>
    </row>
    <row r="279" spans="1:9" ht="16" customHeight="1" x14ac:dyDescent="0.2">
      <c r="A279">
        <v>278</v>
      </c>
      <c r="B279">
        <v>23.083300000000001</v>
      </c>
      <c r="C279">
        <v>55.389499999999998</v>
      </c>
      <c r="D279">
        <v>54.994700000000002</v>
      </c>
      <c r="E279">
        <v>77.170100000000005</v>
      </c>
      <c r="F279">
        <v>97.090900000000005</v>
      </c>
      <c r="G279">
        <v>33.011600000000001</v>
      </c>
      <c r="H279">
        <v>11.9138</v>
      </c>
      <c r="I279">
        <v>-25.4892</v>
      </c>
    </row>
    <row r="280" spans="1:9" ht="16" customHeight="1" x14ac:dyDescent="0.2">
      <c r="A280">
        <v>279</v>
      </c>
      <c r="B280">
        <v>23.166699999999999</v>
      </c>
      <c r="C280">
        <v>55.355200000000004</v>
      </c>
      <c r="D280">
        <v>55.0124</v>
      </c>
      <c r="E280">
        <v>77.805999999999997</v>
      </c>
      <c r="F280">
        <v>97.3078</v>
      </c>
      <c r="G280">
        <v>32.2883</v>
      </c>
      <c r="H280">
        <v>12.512</v>
      </c>
      <c r="I280">
        <v>-23.565000000000001</v>
      </c>
    </row>
    <row r="281" spans="1:9" ht="16" customHeight="1" x14ac:dyDescent="0.2">
      <c r="A281">
        <v>280</v>
      </c>
      <c r="B281">
        <v>23.25</v>
      </c>
      <c r="C281">
        <v>55.320999999999998</v>
      </c>
      <c r="D281">
        <v>55.299900000000001</v>
      </c>
      <c r="E281">
        <v>77.337599999999995</v>
      </c>
      <c r="F281">
        <v>98.006799999999998</v>
      </c>
      <c r="G281">
        <v>32.9876</v>
      </c>
      <c r="H281">
        <v>12.753500000000001</v>
      </c>
      <c r="I281">
        <v>-23.048500000000001</v>
      </c>
    </row>
    <row r="282" spans="1:9" ht="16" customHeight="1" x14ac:dyDescent="0.2">
      <c r="A282">
        <v>281</v>
      </c>
      <c r="B282">
        <v>23.333300000000001</v>
      </c>
      <c r="C282">
        <v>55.286700000000003</v>
      </c>
      <c r="D282">
        <v>55.047499999999999</v>
      </c>
      <c r="E282">
        <v>76.892700000000005</v>
      </c>
      <c r="F282">
        <v>97.8</v>
      </c>
      <c r="G282">
        <v>32.855400000000003</v>
      </c>
      <c r="H282">
        <v>12.9566</v>
      </c>
      <c r="I282">
        <v>-22.260100000000001</v>
      </c>
    </row>
    <row r="283" spans="1:9" ht="16" customHeight="1" x14ac:dyDescent="0.2">
      <c r="A283">
        <v>282</v>
      </c>
      <c r="B283">
        <v>23.416699999999999</v>
      </c>
      <c r="C283">
        <v>55.252400000000002</v>
      </c>
      <c r="D283">
        <v>54.958300000000001</v>
      </c>
      <c r="E283">
        <v>77.6417</v>
      </c>
      <c r="F283">
        <v>97.215900000000005</v>
      </c>
      <c r="G283">
        <v>32.599699999999999</v>
      </c>
      <c r="H283">
        <v>12.370900000000001</v>
      </c>
      <c r="I283">
        <v>-21.223500000000001</v>
      </c>
    </row>
    <row r="284" spans="1:9" ht="16" customHeight="1" x14ac:dyDescent="0.2">
      <c r="A284">
        <v>283</v>
      </c>
      <c r="B284">
        <v>23.5</v>
      </c>
      <c r="C284">
        <v>55.218200000000003</v>
      </c>
      <c r="D284">
        <v>55.636099999999999</v>
      </c>
      <c r="E284">
        <v>77.500500000000002</v>
      </c>
      <c r="F284">
        <v>97.407399999999996</v>
      </c>
      <c r="G284">
        <v>33.228900000000003</v>
      </c>
      <c r="H284">
        <v>12.6478</v>
      </c>
      <c r="I284">
        <v>-21.1982</v>
      </c>
    </row>
    <row r="285" spans="1:9" ht="16" customHeight="1" x14ac:dyDescent="0.2">
      <c r="A285">
        <v>284</v>
      </c>
      <c r="B285">
        <v>23.583300000000001</v>
      </c>
      <c r="C285">
        <v>55.183900000000001</v>
      </c>
      <c r="D285">
        <v>55.528500000000001</v>
      </c>
      <c r="E285">
        <v>77.722200000000001</v>
      </c>
      <c r="F285">
        <v>97</v>
      </c>
      <c r="G285">
        <v>32.451000000000001</v>
      </c>
      <c r="H285">
        <v>12.542299999999999</v>
      </c>
      <c r="I285">
        <v>-21.7029</v>
      </c>
    </row>
    <row r="286" spans="1:9" ht="16" customHeight="1" x14ac:dyDescent="0.2">
      <c r="A286">
        <v>285</v>
      </c>
      <c r="B286">
        <v>23.666699999999999</v>
      </c>
      <c r="C286">
        <v>55.149700000000003</v>
      </c>
      <c r="D286">
        <v>55.348599999999998</v>
      </c>
      <c r="E286">
        <v>77.280100000000004</v>
      </c>
      <c r="F286">
        <v>97.294799999999995</v>
      </c>
      <c r="G286">
        <v>32.529600000000002</v>
      </c>
      <c r="H286">
        <v>12.4162</v>
      </c>
      <c r="I286">
        <v>-21.6966</v>
      </c>
    </row>
    <row r="287" spans="1:9" ht="16" customHeight="1" x14ac:dyDescent="0.2">
      <c r="A287">
        <v>286</v>
      </c>
      <c r="B287">
        <v>23.75</v>
      </c>
      <c r="C287">
        <v>55.115400000000001</v>
      </c>
      <c r="D287">
        <v>54.8767</v>
      </c>
      <c r="E287">
        <v>77.034000000000006</v>
      </c>
      <c r="F287">
        <v>98.680199999999999</v>
      </c>
      <c r="G287">
        <v>32.659700000000001</v>
      </c>
      <c r="H287">
        <v>13.144399999999999</v>
      </c>
      <c r="I287">
        <v>-23.187899999999999</v>
      </c>
    </row>
    <row r="288" spans="1:9" ht="16" customHeight="1" x14ac:dyDescent="0.2">
      <c r="A288">
        <v>287</v>
      </c>
      <c r="B288">
        <v>23.833300000000001</v>
      </c>
      <c r="C288">
        <v>55.081099999999999</v>
      </c>
      <c r="D288">
        <v>54.9223</v>
      </c>
      <c r="E288">
        <v>77.249200000000002</v>
      </c>
      <c r="F288">
        <v>97.782399999999996</v>
      </c>
      <c r="G288">
        <v>33.044400000000003</v>
      </c>
      <c r="H288">
        <v>12.5557</v>
      </c>
      <c r="I288">
        <v>-23.2956</v>
      </c>
    </row>
    <row r="289" spans="1:9" ht="16" customHeight="1" x14ac:dyDescent="0.2">
      <c r="A289">
        <v>288</v>
      </c>
      <c r="B289">
        <v>23.916699999999999</v>
      </c>
      <c r="C289">
        <v>55.046900000000001</v>
      </c>
      <c r="D289">
        <v>55.137</v>
      </c>
      <c r="E289">
        <v>77.203500000000005</v>
      </c>
      <c r="F289">
        <v>97.395799999999994</v>
      </c>
      <c r="G289">
        <v>33.534399999999998</v>
      </c>
      <c r="H289">
        <v>14.086600000000001</v>
      </c>
      <c r="I289">
        <v>-23.188600000000001</v>
      </c>
    </row>
    <row r="290" spans="1:9" ht="16" customHeight="1" x14ac:dyDescent="0.2">
      <c r="A290">
        <v>289</v>
      </c>
      <c r="B290">
        <v>24</v>
      </c>
      <c r="C290">
        <v>55.012599999999999</v>
      </c>
      <c r="D290">
        <v>55.7804</v>
      </c>
      <c r="E290">
        <v>76.948300000000003</v>
      </c>
      <c r="F290">
        <v>97.242599999999996</v>
      </c>
      <c r="G290">
        <v>33.166200000000003</v>
      </c>
      <c r="H290">
        <v>13.3277</v>
      </c>
      <c r="I290">
        <v>-21.275200000000002</v>
      </c>
    </row>
    <row r="291" spans="1:9" ht="16" customHeight="1" x14ac:dyDescent="0.2">
      <c r="A291">
        <v>290</v>
      </c>
      <c r="B291">
        <v>24.083300000000001</v>
      </c>
      <c r="C291">
        <v>54.978299999999997</v>
      </c>
      <c r="D291">
        <v>55.0518</v>
      </c>
      <c r="E291">
        <v>77.039299999999997</v>
      </c>
      <c r="F291">
        <v>97.208399999999997</v>
      </c>
      <c r="G291">
        <v>33.226599999999998</v>
      </c>
      <c r="H291">
        <v>13.555099999999999</v>
      </c>
      <c r="I291">
        <v>-22.515699999999999</v>
      </c>
    </row>
    <row r="292" spans="1:9" ht="16" customHeight="1" x14ac:dyDescent="0.2">
      <c r="A292">
        <v>291</v>
      </c>
      <c r="B292">
        <v>24.166699999999999</v>
      </c>
      <c r="C292">
        <v>54.944099999999999</v>
      </c>
      <c r="D292">
        <v>55.185499999999998</v>
      </c>
      <c r="E292">
        <v>77.229200000000006</v>
      </c>
      <c r="F292">
        <v>97.206599999999995</v>
      </c>
      <c r="G292">
        <v>33.658999999999999</v>
      </c>
      <c r="H292">
        <v>13.044</v>
      </c>
      <c r="I292">
        <v>-22.422000000000001</v>
      </c>
    </row>
    <row r="293" spans="1:9" ht="16" customHeight="1" x14ac:dyDescent="0.2">
      <c r="A293">
        <v>292</v>
      </c>
      <c r="B293">
        <v>24.25</v>
      </c>
      <c r="C293">
        <v>54.909799999999997</v>
      </c>
      <c r="D293">
        <v>55.273200000000003</v>
      </c>
      <c r="E293">
        <v>77.529600000000002</v>
      </c>
      <c r="F293">
        <v>97.394599999999997</v>
      </c>
      <c r="G293">
        <v>32.844700000000003</v>
      </c>
      <c r="H293">
        <v>13.5158</v>
      </c>
      <c r="I293">
        <v>-20.835699999999999</v>
      </c>
    </row>
    <row r="294" spans="1:9" ht="16" customHeight="1" x14ac:dyDescent="0.2">
      <c r="A294">
        <v>293</v>
      </c>
      <c r="B294">
        <v>24.333300000000001</v>
      </c>
      <c r="C294">
        <v>54.875599999999999</v>
      </c>
      <c r="D294">
        <v>54.8977</v>
      </c>
      <c r="E294">
        <v>77.142399999999995</v>
      </c>
      <c r="F294">
        <v>98.322400000000002</v>
      </c>
      <c r="G294">
        <v>32.934100000000001</v>
      </c>
      <c r="H294">
        <v>13.2181</v>
      </c>
      <c r="I294">
        <v>-22.172599999999999</v>
      </c>
    </row>
    <row r="295" spans="1:9" ht="16" customHeight="1" x14ac:dyDescent="0.2">
      <c r="A295">
        <v>294</v>
      </c>
      <c r="B295">
        <v>24.416699999999999</v>
      </c>
      <c r="C295">
        <v>54.841299999999997</v>
      </c>
      <c r="D295">
        <v>55.2318</v>
      </c>
      <c r="E295">
        <v>78.008799999999994</v>
      </c>
      <c r="F295">
        <v>97.313299999999998</v>
      </c>
      <c r="G295">
        <v>32.703899999999997</v>
      </c>
      <c r="H295">
        <v>12.779400000000001</v>
      </c>
      <c r="I295">
        <v>-21.653700000000001</v>
      </c>
    </row>
    <row r="296" spans="1:9" ht="16" customHeight="1" x14ac:dyDescent="0.2">
      <c r="A296">
        <v>295</v>
      </c>
      <c r="B296">
        <v>24.5</v>
      </c>
      <c r="C296">
        <v>54.807000000000002</v>
      </c>
      <c r="D296">
        <v>55.400799999999997</v>
      </c>
      <c r="E296">
        <v>78.013199999999998</v>
      </c>
      <c r="F296">
        <v>97.4803</v>
      </c>
      <c r="G296">
        <v>32.987499999999997</v>
      </c>
      <c r="H296">
        <v>13.139200000000001</v>
      </c>
      <c r="I296">
        <v>-22.9984</v>
      </c>
    </row>
    <row r="297" spans="1:9" ht="16" customHeight="1" x14ac:dyDescent="0.2">
      <c r="A297">
        <v>296</v>
      </c>
      <c r="B297">
        <v>24.583300000000001</v>
      </c>
      <c r="C297">
        <v>54.772799999999997</v>
      </c>
      <c r="D297">
        <v>55.449399999999997</v>
      </c>
      <c r="E297">
        <v>78.259600000000006</v>
      </c>
      <c r="F297">
        <v>98.040599999999998</v>
      </c>
      <c r="G297">
        <v>33.273099999999999</v>
      </c>
      <c r="H297">
        <v>12.9975</v>
      </c>
      <c r="I297">
        <v>-22.098800000000001</v>
      </c>
    </row>
    <row r="298" spans="1:9" ht="16" customHeight="1" x14ac:dyDescent="0.2">
      <c r="A298">
        <v>297</v>
      </c>
      <c r="B298">
        <v>24.666699999999999</v>
      </c>
      <c r="C298">
        <v>54.738500000000002</v>
      </c>
      <c r="D298">
        <v>55.0685</v>
      </c>
      <c r="E298">
        <v>77.516300000000001</v>
      </c>
      <c r="F298">
        <v>97.702799999999996</v>
      </c>
      <c r="G298">
        <v>32.586300000000001</v>
      </c>
      <c r="H298">
        <v>12.8751</v>
      </c>
      <c r="I298">
        <v>-21.165700000000001</v>
      </c>
    </row>
    <row r="299" spans="1:9" ht="16" customHeight="1" x14ac:dyDescent="0.2">
      <c r="A299">
        <v>298</v>
      </c>
      <c r="B299">
        <v>24.75</v>
      </c>
      <c r="C299">
        <v>54.704300000000003</v>
      </c>
      <c r="D299">
        <v>55.167099999999998</v>
      </c>
      <c r="E299">
        <v>77.746499999999997</v>
      </c>
      <c r="F299">
        <v>97.2149</v>
      </c>
      <c r="G299">
        <v>32.478499999999997</v>
      </c>
      <c r="H299">
        <v>12.0281</v>
      </c>
      <c r="I299">
        <v>-21.847300000000001</v>
      </c>
    </row>
    <row r="300" spans="1:9" ht="16" customHeight="1" x14ac:dyDescent="0.2">
      <c r="A300">
        <v>299</v>
      </c>
      <c r="B300">
        <v>24.833300000000001</v>
      </c>
      <c r="C300">
        <v>54.67</v>
      </c>
      <c r="D300">
        <v>55.203600000000002</v>
      </c>
      <c r="E300">
        <v>77.509399999999999</v>
      </c>
      <c r="F300">
        <v>97.247100000000003</v>
      </c>
      <c r="G300">
        <v>32.408099999999997</v>
      </c>
      <c r="H300">
        <v>12.642099999999999</v>
      </c>
      <c r="I300">
        <v>-21.403300000000002</v>
      </c>
    </row>
    <row r="301" spans="1:9" ht="16" customHeight="1" x14ac:dyDescent="0.2">
      <c r="A301">
        <v>300</v>
      </c>
      <c r="B301">
        <v>24.916699999999999</v>
      </c>
      <c r="C301">
        <v>54.6357</v>
      </c>
      <c r="D301">
        <v>54.787700000000001</v>
      </c>
      <c r="E301">
        <v>77.566400000000002</v>
      </c>
      <c r="F301">
        <v>97.016499999999994</v>
      </c>
      <c r="G301">
        <v>32.595599999999997</v>
      </c>
      <c r="H301">
        <v>12.547000000000001</v>
      </c>
      <c r="I301">
        <v>-22.495999999999999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G46"/>
  <sheetViews>
    <sheetView showGridLines="0" topLeftCell="A3" workbookViewId="0">
      <selection activeCell="I7" sqref="I7"/>
    </sheetView>
  </sheetViews>
  <sheetFormatPr baseColWidth="10" defaultRowHeight="16" x14ac:dyDescent="0.2"/>
  <cols>
    <col min="1" max="1" width="2.83203125" style="37" customWidth="1"/>
    <col min="2" max="2" width="3" style="37" customWidth="1"/>
    <col min="3" max="3" width="34.83203125" style="37" customWidth="1"/>
    <col min="4" max="5" width="13.83203125" style="37" customWidth="1"/>
    <col min="6" max="6" width="2.83203125" style="37" customWidth="1"/>
    <col min="7" max="7" width="90.83203125" style="37" customWidth="1"/>
    <col min="8" max="16" width="10.83203125" style="37" customWidth="1"/>
    <col min="17" max="16384" width="10.83203125" style="37"/>
  </cols>
  <sheetData>
    <row r="1" spans="2:7" s="36" customFormat="1" ht="15" customHeight="1" x14ac:dyDescent="0.2"/>
    <row r="2" spans="2:7" s="36" customFormat="1" ht="45" customHeight="1" x14ac:dyDescent="0.2">
      <c r="B2" s="6" t="s">
        <v>224</v>
      </c>
      <c r="C2" s="8"/>
      <c r="D2" s="8"/>
      <c r="E2" s="8"/>
      <c r="F2" s="8"/>
      <c r="G2" s="9"/>
    </row>
    <row r="3" spans="2:7" s="44" customFormat="1" ht="15" customHeight="1" x14ac:dyDescent="0.2"/>
    <row r="4" spans="2:7" s="44" customFormat="1" ht="18" customHeight="1" x14ac:dyDescent="0.2">
      <c r="B4" s="43" t="s">
        <v>80</v>
      </c>
      <c r="C4" s="45" t="s">
        <v>3</v>
      </c>
      <c r="D4" s="46" t="s">
        <v>8</v>
      </c>
      <c r="E4" s="46" t="s">
        <v>82</v>
      </c>
      <c r="F4" s="8"/>
      <c r="G4" s="72" t="s">
        <v>225</v>
      </c>
    </row>
    <row r="5" spans="2:7" s="44" customFormat="1" ht="18" customHeight="1" x14ac:dyDescent="0.2">
      <c r="C5" s="39"/>
      <c r="D5" s="40"/>
      <c r="E5" s="40"/>
      <c r="G5" s="40"/>
    </row>
    <row r="6" spans="2:7" s="44" customFormat="1" ht="16" customHeight="1" x14ac:dyDescent="0.2">
      <c r="B6" s="43">
        <v>1</v>
      </c>
      <c r="C6" s="45" t="s">
        <v>226</v>
      </c>
      <c r="D6" s="46"/>
      <c r="E6" s="46"/>
      <c r="F6" s="8"/>
      <c r="G6" s="47"/>
    </row>
    <row r="7" spans="2:7" s="44" customFormat="1" ht="16" customHeight="1" x14ac:dyDescent="0.2">
      <c r="C7" s="48"/>
    </row>
    <row r="8" spans="2:7" s="44" customFormat="1" ht="20" customHeight="1" x14ac:dyDescent="0.2">
      <c r="C8" s="49" t="s">
        <v>118</v>
      </c>
      <c r="D8" s="50" t="s">
        <v>105</v>
      </c>
      <c r="E8" s="61">
        <f>+'Data Log'!E23</f>
        <v>2.2499999999999999E-2</v>
      </c>
      <c r="G8" s="51" t="s">
        <v>201</v>
      </c>
    </row>
    <row r="9" spans="2:7" s="44" customFormat="1" ht="20" customHeight="1" x14ac:dyDescent="0.2">
      <c r="C9" s="49" t="s">
        <v>124</v>
      </c>
      <c r="D9" s="50" t="s">
        <v>105</v>
      </c>
      <c r="E9" s="61">
        <f>+'Data Log'!E24</f>
        <v>4.2299999999999997E-2</v>
      </c>
      <c r="G9" s="51" t="s">
        <v>201</v>
      </c>
    </row>
    <row r="10" spans="2:7" s="44" customFormat="1" ht="20" customHeight="1" x14ac:dyDescent="0.2">
      <c r="C10" s="49" t="s">
        <v>148</v>
      </c>
      <c r="D10" s="50" t="s">
        <v>105</v>
      </c>
      <c r="E10" s="61">
        <f>+'Data Log'!E35</f>
        <v>0.22</v>
      </c>
      <c r="G10" s="51" t="s">
        <v>201</v>
      </c>
    </row>
    <row r="11" spans="2:7" s="44" customFormat="1" ht="15" customHeight="1" x14ac:dyDescent="0.2">
      <c r="C11" s="52"/>
    </row>
    <row r="12" spans="2:7" s="44" customFormat="1" ht="16" customHeight="1" x14ac:dyDescent="0.2">
      <c r="B12" s="43">
        <v>2</v>
      </c>
      <c r="C12" s="45" t="s">
        <v>227</v>
      </c>
      <c r="D12" s="46"/>
      <c r="E12" s="46"/>
      <c r="F12" s="8"/>
      <c r="G12" s="47"/>
    </row>
    <row r="13" spans="2:7" s="44" customFormat="1" ht="16" customHeight="1" x14ac:dyDescent="0.2">
      <c r="C13" s="48"/>
    </row>
    <row r="14" spans="2:7" s="44" customFormat="1" ht="20" customHeight="1" x14ac:dyDescent="0.2">
      <c r="C14" s="49" t="s">
        <v>228</v>
      </c>
      <c r="D14" s="50" t="s">
        <v>91</v>
      </c>
      <c r="E14" s="62">
        <f>+'Data Log'!E26</f>
        <v>0.46</v>
      </c>
      <c r="G14" s="51" t="s">
        <v>201</v>
      </c>
    </row>
    <row r="15" spans="2:7" s="44" customFormat="1" ht="20" customHeight="1" x14ac:dyDescent="0.2">
      <c r="C15" s="49" t="s">
        <v>229</v>
      </c>
      <c r="D15" s="50" t="s">
        <v>105</v>
      </c>
      <c r="E15" s="74">
        <f>+'Data Log'!E32</f>
        <v>0.25</v>
      </c>
      <c r="G15" s="51" t="s">
        <v>201</v>
      </c>
    </row>
    <row r="16" spans="2:7" s="44" customFormat="1" ht="20" customHeight="1" x14ac:dyDescent="0.2">
      <c r="C16" s="49" t="s">
        <v>230</v>
      </c>
      <c r="D16" s="50" t="s">
        <v>105</v>
      </c>
      <c r="E16" s="151">
        <f>1-E15</f>
        <v>0.75</v>
      </c>
      <c r="G16" s="51" t="s">
        <v>231</v>
      </c>
    </row>
    <row r="17" spans="2:7" s="44" customFormat="1" ht="20" customHeight="1" x14ac:dyDescent="0.2">
      <c r="C17" s="49" t="s">
        <v>232</v>
      </c>
      <c r="D17" s="50" t="s">
        <v>105</v>
      </c>
      <c r="E17" s="61">
        <f>+'Data Log'!E29</f>
        <v>1.7500000000000002E-2</v>
      </c>
      <c r="G17" s="51" t="s">
        <v>201</v>
      </c>
    </row>
    <row r="18" spans="2:7" s="44" customFormat="1" ht="20" customHeight="1" x14ac:dyDescent="0.2">
      <c r="C18" s="49" t="s">
        <v>233</v>
      </c>
      <c r="D18" s="50" t="s">
        <v>105</v>
      </c>
      <c r="E18" s="147">
        <f>E8+E14*E9</f>
        <v>4.1957999999999995E-2</v>
      </c>
      <c r="G18" s="51" t="s">
        <v>234</v>
      </c>
    </row>
    <row r="19" spans="2:7" s="44" customFormat="1" ht="20" customHeight="1" x14ac:dyDescent="0.2">
      <c r="C19" s="49" t="s">
        <v>235</v>
      </c>
      <c r="D19" s="50" t="s">
        <v>105</v>
      </c>
      <c r="E19" s="147">
        <f>E8+E17</f>
        <v>0.04</v>
      </c>
      <c r="G19" s="51" t="s">
        <v>236</v>
      </c>
    </row>
    <row r="20" spans="2:7" s="44" customFormat="1" ht="22" customHeight="1" x14ac:dyDescent="0.2">
      <c r="C20" s="54" t="s">
        <v>237</v>
      </c>
      <c r="D20" s="50" t="s">
        <v>105</v>
      </c>
      <c r="E20" s="147">
        <f>E15*E18+E16*E19*(1-E10)</f>
        <v>3.3889500000000003E-2</v>
      </c>
      <c r="G20" s="51" t="s">
        <v>238</v>
      </c>
    </row>
    <row r="21" spans="2:7" s="44" customFormat="1" ht="15" customHeight="1" x14ac:dyDescent="0.2">
      <c r="C21" s="52"/>
    </row>
    <row r="22" spans="2:7" s="44" customFormat="1" ht="16" customHeight="1" x14ac:dyDescent="0.2">
      <c r="B22" s="43">
        <v>3</v>
      </c>
      <c r="C22" s="45" t="s">
        <v>239</v>
      </c>
      <c r="D22" s="46"/>
      <c r="E22" s="46"/>
      <c r="F22" s="8"/>
      <c r="G22" s="47"/>
    </row>
    <row r="23" spans="2:7" s="44" customFormat="1" ht="16" customHeight="1" x14ac:dyDescent="0.2">
      <c r="C23" s="48"/>
    </row>
    <row r="24" spans="2:7" s="44" customFormat="1" ht="20" customHeight="1" x14ac:dyDescent="0.2">
      <c r="C24" s="49" t="s">
        <v>240</v>
      </c>
      <c r="D24" s="50" t="s">
        <v>91</v>
      </c>
      <c r="E24" s="62">
        <f>+'Data Log'!E27</f>
        <v>0.56999999999999995</v>
      </c>
      <c r="G24" s="51" t="s">
        <v>201</v>
      </c>
    </row>
    <row r="25" spans="2:7" s="44" customFormat="1" ht="20" customHeight="1" x14ac:dyDescent="0.2">
      <c r="C25" s="49" t="s">
        <v>241</v>
      </c>
      <c r="D25" s="50" t="s">
        <v>105</v>
      </c>
      <c r="E25" s="63">
        <f>+'Data Log'!E33</f>
        <v>0.45</v>
      </c>
      <c r="G25" s="51" t="s">
        <v>201</v>
      </c>
    </row>
    <row r="26" spans="2:7" s="44" customFormat="1" ht="20" customHeight="1" x14ac:dyDescent="0.2">
      <c r="C26" s="49" t="s">
        <v>242</v>
      </c>
      <c r="D26" s="50" t="s">
        <v>105</v>
      </c>
      <c r="E26" s="150">
        <f>1-E25</f>
        <v>0.55000000000000004</v>
      </c>
      <c r="G26" s="51" t="s">
        <v>243</v>
      </c>
    </row>
    <row r="27" spans="2:7" s="44" customFormat="1" ht="20" customHeight="1" x14ac:dyDescent="0.2">
      <c r="C27" s="49" t="s">
        <v>244</v>
      </c>
      <c r="D27" s="50" t="s">
        <v>105</v>
      </c>
      <c r="E27" s="61">
        <f>+'Data Log'!E30</f>
        <v>3.2500000000000001E-2</v>
      </c>
      <c r="G27" s="51" t="s">
        <v>201</v>
      </c>
    </row>
    <row r="28" spans="2:7" s="44" customFormat="1" ht="20" customHeight="1" x14ac:dyDescent="0.2">
      <c r="C28" s="49" t="s">
        <v>245</v>
      </c>
      <c r="D28" s="50" t="s">
        <v>105</v>
      </c>
      <c r="E28" s="147">
        <f>E8+E24*E9</f>
        <v>4.6611E-2</v>
      </c>
      <c r="G28" s="51" t="s">
        <v>246</v>
      </c>
    </row>
    <row r="29" spans="2:7" s="44" customFormat="1" ht="20" customHeight="1" x14ac:dyDescent="0.2">
      <c r="C29" s="49" t="s">
        <v>247</v>
      </c>
      <c r="D29" s="50" t="s">
        <v>105</v>
      </c>
      <c r="E29" s="147">
        <f>E8+E27</f>
        <v>5.5E-2</v>
      </c>
      <c r="G29" s="51" t="s">
        <v>248</v>
      </c>
    </row>
    <row r="30" spans="2:7" s="44" customFormat="1" ht="22" customHeight="1" x14ac:dyDescent="0.2">
      <c r="C30" s="54" t="s">
        <v>249</v>
      </c>
      <c r="D30" s="50" t="s">
        <v>105</v>
      </c>
      <c r="E30" s="147">
        <f>E25*E28+E26*E29*(1-E10)</f>
        <v>4.4569949999999997E-2</v>
      </c>
      <c r="G30" s="51" t="s">
        <v>250</v>
      </c>
    </row>
    <row r="31" spans="2:7" s="44" customFormat="1" ht="15" customHeight="1" x14ac:dyDescent="0.2">
      <c r="C31" s="52"/>
    </row>
    <row r="32" spans="2:7" s="44" customFormat="1" ht="16" customHeight="1" x14ac:dyDescent="0.2">
      <c r="B32" s="43">
        <v>4</v>
      </c>
      <c r="C32" s="45" t="s">
        <v>251</v>
      </c>
      <c r="D32" s="46"/>
      <c r="E32" s="46"/>
      <c r="F32" s="8"/>
      <c r="G32" s="47"/>
    </row>
    <row r="33" spans="2:7" s="44" customFormat="1" ht="16" customHeight="1" x14ac:dyDescent="0.2">
      <c r="C33" s="48"/>
    </row>
    <row r="34" spans="2:7" s="44" customFormat="1" ht="20" customHeight="1" x14ac:dyDescent="0.2">
      <c r="C34" s="54" t="s">
        <v>252</v>
      </c>
      <c r="D34" s="50" t="s">
        <v>105</v>
      </c>
      <c r="E34" s="148">
        <f>(1+E20)^(1/12)-1</f>
        <v>2.7811856607700136E-3</v>
      </c>
      <c r="G34" s="51" t="s">
        <v>253</v>
      </c>
    </row>
    <row r="35" spans="2:7" s="44" customFormat="1" ht="20" customHeight="1" x14ac:dyDescent="0.2">
      <c r="C35" s="54" t="s">
        <v>254</v>
      </c>
      <c r="D35" s="50" t="s">
        <v>105</v>
      </c>
      <c r="E35" s="148">
        <f>(1+E30)^(1/12)-1</f>
        <v>3.6403826231936609E-3</v>
      </c>
      <c r="G35" s="51" t="s">
        <v>253</v>
      </c>
    </row>
    <row r="36" spans="2:7" s="44" customFormat="1" ht="15" customHeight="1" x14ac:dyDescent="0.2">
      <c r="C36" s="52"/>
    </row>
    <row r="37" spans="2:7" s="44" customFormat="1" ht="16" customHeight="1" x14ac:dyDescent="0.2">
      <c r="B37" s="43">
        <v>5</v>
      </c>
      <c r="C37" s="45" t="s">
        <v>255</v>
      </c>
      <c r="D37" s="46"/>
      <c r="E37" s="46"/>
      <c r="F37" s="8"/>
      <c r="G37" s="47"/>
    </row>
    <row r="38" spans="2:7" s="44" customFormat="1" ht="16" customHeight="1" x14ac:dyDescent="0.2">
      <c r="C38" s="48"/>
    </row>
    <row r="39" spans="2:7" s="44" customFormat="1" ht="20" customHeight="1" x14ac:dyDescent="0.2">
      <c r="C39" s="49" t="s">
        <v>256</v>
      </c>
      <c r="D39" s="50" t="s">
        <v>91</v>
      </c>
      <c r="E39" s="149">
        <f>E24-E14</f>
        <v>0.10999999999999993</v>
      </c>
      <c r="G39" s="44" t="s">
        <v>257</v>
      </c>
    </row>
    <row r="40" spans="2:7" s="44" customFormat="1" ht="20" customHeight="1" x14ac:dyDescent="0.2">
      <c r="C40" s="49" t="s">
        <v>258</v>
      </c>
      <c r="D40" s="50" t="s">
        <v>105</v>
      </c>
      <c r="E40" s="147">
        <f>E30-E20</f>
        <v>1.0680449999999994E-2</v>
      </c>
      <c r="G40" s="44" t="s">
        <v>259</v>
      </c>
    </row>
    <row r="41" spans="2:7" s="44" customFormat="1" ht="20" customHeight="1" x14ac:dyDescent="0.2">
      <c r="C41" s="49"/>
      <c r="D41" s="50"/>
      <c r="E41" s="55"/>
    </row>
    <row r="42" spans="2:7" s="44" customFormat="1" ht="20" customHeight="1" x14ac:dyDescent="0.2">
      <c r="C42" s="54" t="s">
        <v>260</v>
      </c>
      <c r="E42" s="55"/>
      <c r="G42" s="44" t="s">
        <v>261</v>
      </c>
    </row>
    <row r="43" spans="2:7" s="44" customFormat="1" ht="20" customHeight="1" x14ac:dyDescent="0.2">
      <c r="E43" s="55"/>
      <c r="G43" s="44" t="s">
        <v>262</v>
      </c>
    </row>
    <row r="44" spans="2:7" s="44" customFormat="1" ht="20" customHeight="1" x14ac:dyDescent="0.2">
      <c r="E44" s="55"/>
      <c r="G44" s="44" t="s">
        <v>263</v>
      </c>
    </row>
    <row r="46" spans="2:7" x14ac:dyDescent="0.2">
      <c r="B46" s="30"/>
      <c r="C46" s="31" t="s">
        <v>193</v>
      </c>
      <c r="D46" s="32"/>
      <c r="E46" s="32"/>
      <c r="F46" s="56"/>
      <c r="G46" s="3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P53"/>
  <sheetViews>
    <sheetView tabSelected="1" workbookViewId="0">
      <pane xSplit="2" ySplit="4" topLeftCell="C5" activePane="bottomRight" state="frozen"/>
      <selection pane="topRight"/>
      <selection pane="bottomLeft"/>
      <selection pane="bottomRight" activeCell="D7" sqref="D7"/>
    </sheetView>
  </sheetViews>
  <sheetFormatPr baseColWidth="10" defaultRowHeight="16" x14ac:dyDescent="0.2"/>
  <cols>
    <col min="1" max="1" width="25" customWidth="1"/>
    <col min="2" max="2" width="26.5" customWidth="1"/>
    <col min="3" max="3" width="19.5" bestFit="1" customWidth="1"/>
    <col min="4" max="4" width="13.83203125" bestFit="1" customWidth="1"/>
    <col min="5" max="5" width="11.33203125" bestFit="1" customWidth="1"/>
    <col min="6" max="302" width="7" customWidth="1"/>
  </cols>
  <sheetData>
    <row r="1" spans="1:302" ht="22" customHeight="1" x14ac:dyDescent="0.2">
      <c r="A1" s="157" t="s">
        <v>435</v>
      </c>
      <c r="B1" s="153"/>
    </row>
    <row r="2" spans="1:302" ht="16" customHeight="1" x14ac:dyDescent="0.2">
      <c r="A2" s="152" t="s">
        <v>436</v>
      </c>
      <c r="B2" s="153"/>
    </row>
    <row r="3" spans="1:302" ht="12" customHeight="1" x14ac:dyDescent="0.2">
      <c r="C3" s="97" t="s">
        <v>219</v>
      </c>
      <c r="D3" s="97" t="s">
        <v>219</v>
      </c>
      <c r="E3" s="97" t="s">
        <v>219</v>
      </c>
      <c r="F3" s="97" t="s">
        <v>219</v>
      </c>
      <c r="G3" s="97" t="s">
        <v>219</v>
      </c>
      <c r="H3" s="97" t="s">
        <v>219</v>
      </c>
      <c r="I3" s="97" t="s">
        <v>219</v>
      </c>
      <c r="J3" s="97" t="s">
        <v>219</v>
      </c>
      <c r="K3" s="97" t="s">
        <v>219</v>
      </c>
      <c r="L3" s="97" t="s">
        <v>219</v>
      </c>
      <c r="M3" s="97" t="s">
        <v>219</v>
      </c>
      <c r="N3" s="97" t="s">
        <v>219</v>
      </c>
      <c r="O3" s="97" t="s">
        <v>219</v>
      </c>
      <c r="P3" s="97" t="s">
        <v>219</v>
      </c>
      <c r="Q3" s="97" t="s">
        <v>219</v>
      </c>
      <c r="R3" s="97" t="s">
        <v>219</v>
      </c>
      <c r="S3" s="97" t="s">
        <v>219</v>
      </c>
      <c r="T3" s="97" t="s">
        <v>219</v>
      </c>
      <c r="U3" s="97" t="s">
        <v>219</v>
      </c>
      <c r="V3" s="97" t="s">
        <v>219</v>
      </c>
      <c r="W3" s="97" t="s">
        <v>219</v>
      </c>
      <c r="X3" s="97" t="s">
        <v>219</v>
      </c>
      <c r="Y3" s="97" t="s">
        <v>219</v>
      </c>
      <c r="Z3" s="97" t="s">
        <v>219</v>
      </c>
      <c r="AA3" s="97" t="s">
        <v>219</v>
      </c>
      <c r="AB3" s="97" t="s">
        <v>219</v>
      </c>
      <c r="AC3" s="97" t="s">
        <v>219</v>
      </c>
      <c r="AD3" s="97" t="s">
        <v>219</v>
      </c>
      <c r="AE3" s="97" t="s">
        <v>219</v>
      </c>
      <c r="AF3" s="97" t="s">
        <v>219</v>
      </c>
      <c r="AG3" s="97" t="s">
        <v>219</v>
      </c>
      <c r="AH3" s="97" t="s">
        <v>219</v>
      </c>
      <c r="AI3" s="97" t="s">
        <v>219</v>
      </c>
      <c r="AJ3" s="97" t="s">
        <v>219</v>
      </c>
      <c r="AK3" s="97" t="s">
        <v>219</v>
      </c>
      <c r="AL3" s="97" t="s">
        <v>219</v>
      </c>
      <c r="AM3" s="97" t="s">
        <v>219</v>
      </c>
      <c r="AN3" s="97" t="s">
        <v>219</v>
      </c>
      <c r="AO3" s="97" t="s">
        <v>219</v>
      </c>
      <c r="AP3" s="97" t="s">
        <v>219</v>
      </c>
      <c r="AQ3" s="97" t="s">
        <v>219</v>
      </c>
      <c r="AR3" s="97" t="s">
        <v>219</v>
      </c>
      <c r="AS3" s="97" t="s">
        <v>219</v>
      </c>
      <c r="AT3" s="97" t="s">
        <v>219</v>
      </c>
      <c r="AU3" s="97" t="s">
        <v>219</v>
      </c>
      <c r="AV3" s="97" t="s">
        <v>219</v>
      </c>
      <c r="AW3" s="97" t="s">
        <v>219</v>
      </c>
      <c r="AX3" s="97" t="s">
        <v>219</v>
      </c>
      <c r="AY3" s="97" t="s">
        <v>219</v>
      </c>
      <c r="AZ3" s="97" t="s">
        <v>219</v>
      </c>
      <c r="BA3" s="97" t="s">
        <v>219</v>
      </c>
      <c r="BB3" s="97" t="s">
        <v>219</v>
      </c>
      <c r="BC3" s="97" t="s">
        <v>219</v>
      </c>
      <c r="BD3" s="97" t="s">
        <v>219</v>
      </c>
      <c r="BE3" s="97" t="s">
        <v>219</v>
      </c>
      <c r="BF3" s="97" t="s">
        <v>219</v>
      </c>
      <c r="BG3" s="97" t="s">
        <v>219</v>
      </c>
      <c r="BH3" s="97" t="s">
        <v>219</v>
      </c>
      <c r="BI3" s="97" t="s">
        <v>219</v>
      </c>
      <c r="BJ3" s="97" t="s">
        <v>219</v>
      </c>
      <c r="BK3" s="97" t="s">
        <v>219</v>
      </c>
      <c r="BL3" s="97" t="s">
        <v>219</v>
      </c>
      <c r="BM3" s="97" t="s">
        <v>219</v>
      </c>
      <c r="BN3" s="97" t="s">
        <v>219</v>
      </c>
      <c r="BO3" s="97" t="s">
        <v>219</v>
      </c>
      <c r="BP3" s="97" t="s">
        <v>219</v>
      </c>
      <c r="BQ3" s="97" t="s">
        <v>219</v>
      </c>
      <c r="BR3" s="97" t="s">
        <v>219</v>
      </c>
      <c r="BS3" s="97" t="s">
        <v>219</v>
      </c>
      <c r="BT3" s="97" t="s">
        <v>219</v>
      </c>
      <c r="BU3" s="97" t="s">
        <v>219</v>
      </c>
      <c r="BV3" s="97" t="s">
        <v>219</v>
      </c>
      <c r="BW3" s="97" t="s">
        <v>219</v>
      </c>
      <c r="BX3" s="97" t="s">
        <v>219</v>
      </c>
      <c r="BY3" s="97" t="s">
        <v>219</v>
      </c>
      <c r="BZ3" s="97" t="s">
        <v>219</v>
      </c>
      <c r="CA3" s="97" t="s">
        <v>219</v>
      </c>
      <c r="CB3" s="97" t="s">
        <v>219</v>
      </c>
      <c r="CC3" s="97" t="s">
        <v>219</v>
      </c>
      <c r="CD3" s="97" t="s">
        <v>219</v>
      </c>
      <c r="CE3" s="97" t="s">
        <v>219</v>
      </c>
      <c r="CF3" s="97" t="s">
        <v>219</v>
      </c>
      <c r="CG3" s="97" t="s">
        <v>219</v>
      </c>
      <c r="CH3" s="97" t="s">
        <v>219</v>
      </c>
      <c r="CI3" s="97" t="s">
        <v>219</v>
      </c>
      <c r="CJ3" s="97" t="s">
        <v>219</v>
      </c>
      <c r="CK3" s="97" t="s">
        <v>219</v>
      </c>
      <c r="CL3" s="97" t="s">
        <v>219</v>
      </c>
      <c r="CM3" s="97" t="s">
        <v>219</v>
      </c>
      <c r="CN3" s="97" t="s">
        <v>219</v>
      </c>
      <c r="CO3" s="97" t="s">
        <v>219</v>
      </c>
      <c r="CP3" s="97" t="s">
        <v>219</v>
      </c>
      <c r="CQ3" s="97" t="s">
        <v>219</v>
      </c>
      <c r="CR3" s="97" t="s">
        <v>219</v>
      </c>
      <c r="CS3" s="97" t="s">
        <v>219</v>
      </c>
      <c r="CT3" s="97" t="s">
        <v>219</v>
      </c>
      <c r="CU3" s="97" t="s">
        <v>219</v>
      </c>
      <c r="CV3" s="97" t="s">
        <v>219</v>
      </c>
      <c r="CW3" s="97" t="s">
        <v>219</v>
      </c>
      <c r="CX3" s="97" t="s">
        <v>219</v>
      </c>
      <c r="CY3" s="97" t="s">
        <v>219</v>
      </c>
      <c r="CZ3" s="97" t="s">
        <v>219</v>
      </c>
      <c r="DA3" s="97" t="s">
        <v>219</v>
      </c>
      <c r="DB3" s="97" t="s">
        <v>219</v>
      </c>
      <c r="DC3" s="97" t="s">
        <v>219</v>
      </c>
      <c r="DD3" s="97" t="s">
        <v>219</v>
      </c>
      <c r="DE3" s="97" t="s">
        <v>219</v>
      </c>
      <c r="DF3" s="97" t="s">
        <v>219</v>
      </c>
      <c r="DG3" s="97" t="s">
        <v>219</v>
      </c>
      <c r="DH3" s="97" t="s">
        <v>219</v>
      </c>
      <c r="DI3" s="97" t="s">
        <v>219</v>
      </c>
      <c r="DJ3" s="97" t="s">
        <v>219</v>
      </c>
      <c r="DK3" s="97" t="s">
        <v>219</v>
      </c>
      <c r="DL3" s="97" t="s">
        <v>219</v>
      </c>
      <c r="DM3" s="97" t="s">
        <v>219</v>
      </c>
      <c r="DN3" s="97" t="s">
        <v>219</v>
      </c>
      <c r="DO3" s="97" t="s">
        <v>219</v>
      </c>
      <c r="DP3" s="97" t="s">
        <v>219</v>
      </c>
      <c r="DQ3" s="97" t="s">
        <v>219</v>
      </c>
      <c r="DR3" s="97" t="s">
        <v>219</v>
      </c>
      <c r="DS3" s="98" t="s">
        <v>437</v>
      </c>
      <c r="DT3" s="98" t="s">
        <v>437</v>
      </c>
      <c r="DU3" s="98" t="s">
        <v>437</v>
      </c>
      <c r="DV3" s="98" t="s">
        <v>437</v>
      </c>
      <c r="DW3" s="98" t="s">
        <v>437</v>
      </c>
      <c r="DX3" s="98" t="s">
        <v>437</v>
      </c>
      <c r="DY3" s="98" t="s">
        <v>437</v>
      </c>
      <c r="DZ3" s="98" t="s">
        <v>437</v>
      </c>
      <c r="EA3" s="98" t="s">
        <v>437</v>
      </c>
      <c r="EB3" s="98" t="s">
        <v>437</v>
      </c>
      <c r="EC3" s="98" t="s">
        <v>437</v>
      </c>
      <c r="ED3" s="98" t="s">
        <v>437</v>
      </c>
      <c r="EE3" s="98" t="s">
        <v>437</v>
      </c>
      <c r="EF3" s="98" t="s">
        <v>437</v>
      </c>
      <c r="EG3" s="98" t="s">
        <v>437</v>
      </c>
      <c r="EH3" s="98" t="s">
        <v>437</v>
      </c>
      <c r="EI3" s="98" t="s">
        <v>437</v>
      </c>
      <c r="EJ3" s="98" t="s">
        <v>437</v>
      </c>
      <c r="EK3" s="98" t="s">
        <v>437</v>
      </c>
      <c r="EL3" s="98" t="s">
        <v>437</v>
      </c>
      <c r="EM3" s="98" t="s">
        <v>437</v>
      </c>
      <c r="EN3" s="98" t="s">
        <v>437</v>
      </c>
      <c r="EO3" s="98" t="s">
        <v>437</v>
      </c>
      <c r="EP3" s="98" t="s">
        <v>437</v>
      </c>
      <c r="EQ3" s="98" t="s">
        <v>437</v>
      </c>
      <c r="ER3" s="98" t="s">
        <v>437</v>
      </c>
      <c r="ES3" s="98" t="s">
        <v>437</v>
      </c>
      <c r="ET3" s="98" t="s">
        <v>437</v>
      </c>
      <c r="EU3" s="98" t="s">
        <v>437</v>
      </c>
      <c r="EV3" s="98" t="s">
        <v>437</v>
      </c>
      <c r="EW3" s="98" t="s">
        <v>437</v>
      </c>
      <c r="EX3" s="98" t="s">
        <v>437</v>
      </c>
      <c r="EY3" s="98" t="s">
        <v>437</v>
      </c>
      <c r="EZ3" s="98" t="s">
        <v>437</v>
      </c>
      <c r="FA3" s="98" t="s">
        <v>437</v>
      </c>
      <c r="FB3" s="98" t="s">
        <v>437</v>
      </c>
      <c r="FC3" s="98" t="s">
        <v>437</v>
      </c>
      <c r="FD3" s="98" t="s">
        <v>437</v>
      </c>
      <c r="FE3" s="98" t="s">
        <v>437</v>
      </c>
      <c r="FF3" s="98" t="s">
        <v>437</v>
      </c>
      <c r="FG3" s="98" t="s">
        <v>437</v>
      </c>
      <c r="FH3" s="98" t="s">
        <v>437</v>
      </c>
      <c r="FI3" s="98" t="s">
        <v>437</v>
      </c>
      <c r="FJ3" s="98" t="s">
        <v>437</v>
      </c>
      <c r="FK3" s="98" t="s">
        <v>437</v>
      </c>
      <c r="FL3" s="98" t="s">
        <v>437</v>
      </c>
      <c r="FM3" s="98" t="s">
        <v>437</v>
      </c>
      <c r="FN3" s="98" t="s">
        <v>437</v>
      </c>
      <c r="FO3" s="98" t="s">
        <v>437</v>
      </c>
      <c r="FP3" s="98" t="s">
        <v>437</v>
      </c>
      <c r="FQ3" s="98" t="s">
        <v>437</v>
      </c>
      <c r="FR3" s="98" t="s">
        <v>437</v>
      </c>
      <c r="FS3" s="98" t="s">
        <v>437</v>
      </c>
      <c r="FT3" s="98" t="s">
        <v>437</v>
      </c>
      <c r="FU3" s="98" t="s">
        <v>437</v>
      </c>
      <c r="FV3" s="98" t="s">
        <v>437</v>
      </c>
      <c r="FW3" s="98" t="s">
        <v>437</v>
      </c>
      <c r="FX3" s="98" t="s">
        <v>437</v>
      </c>
      <c r="FY3" s="98" t="s">
        <v>437</v>
      </c>
      <c r="FZ3" s="98" t="s">
        <v>437</v>
      </c>
      <c r="GA3" s="98" t="s">
        <v>437</v>
      </c>
      <c r="GB3" s="98" t="s">
        <v>437</v>
      </c>
      <c r="GC3" s="98" t="s">
        <v>437</v>
      </c>
      <c r="GD3" s="98" t="s">
        <v>437</v>
      </c>
      <c r="GE3" s="98" t="s">
        <v>437</v>
      </c>
      <c r="GF3" s="98" t="s">
        <v>437</v>
      </c>
      <c r="GG3" s="98" t="s">
        <v>437</v>
      </c>
      <c r="GH3" s="98" t="s">
        <v>437</v>
      </c>
      <c r="GI3" s="98" t="s">
        <v>437</v>
      </c>
      <c r="GJ3" s="98" t="s">
        <v>437</v>
      </c>
      <c r="GK3" s="98" t="s">
        <v>437</v>
      </c>
      <c r="GL3" s="98" t="s">
        <v>437</v>
      </c>
      <c r="GM3" s="98" t="s">
        <v>437</v>
      </c>
      <c r="GN3" s="98" t="s">
        <v>437</v>
      </c>
      <c r="GO3" s="98" t="s">
        <v>437</v>
      </c>
      <c r="GP3" s="98" t="s">
        <v>437</v>
      </c>
      <c r="GQ3" s="98" t="s">
        <v>437</v>
      </c>
      <c r="GR3" s="98" t="s">
        <v>437</v>
      </c>
      <c r="GS3" s="98" t="s">
        <v>437</v>
      </c>
      <c r="GT3" s="98" t="s">
        <v>437</v>
      </c>
      <c r="GU3" s="98" t="s">
        <v>437</v>
      </c>
      <c r="GV3" s="98" t="s">
        <v>437</v>
      </c>
      <c r="GW3" s="98" t="s">
        <v>437</v>
      </c>
      <c r="GX3" s="98" t="s">
        <v>437</v>
      </c>
      <c r="GY3" s="98" t="s">
        <v>437</v>
      </c>
      <c r="GZ3" s="98" t="s">
        <v>437</v>
      </c>
      <c r="HA3" s="98" t="s">
        <v>437</v>
      </c>
      <c r="HB3" s="98" t="s">
        <v>437</v>
      </c>
      <c r="HC3" s="98" t="s">
        <v>437</v>
      </c>
      <c r="HD3" s="98" t="s">
        <v>437</v>
      </c>
      <c r="HE3" s="98" t="s">
        <v>437</v>
      </c>
      <c r="HF3" s="98" t="s">
        <v>437</v>
      </c>
      <c r="HG3" s="98" t="s">
        <v>437</v>
      </c>
      <c r="HH3" s="98" t="s">
        <v>437</v>
      </c>
      <c r="HI3" s="98" t="s">
        <v>437</v>
      </c>
      <c r="HJ3" s="98" t="s">
        <v>437</v>
      </c>
      <c r="HK3" s="98" t="s">
        <v>437</v>
      </c>
      <c r="HL3" s="98" t="s">
        <v>437</v>
      </c>
      <c r="HM3" s="98" t="s">
        <v>437</v>
      </c>
      <c r="HN3" s="98" t="s">
        <v>437</v>
      </c>
      <c r="HO3" s="98" t="s">
        <v>437</v>
      </c>
      <c r="HP3" s="98" t="s">
        <v>437</v>
      </c>
      <c r="HQ3" s="98" t="s">
        <v>437</v>
      </c>
      <c r="HR3" s="98" t="s">
        <v>437</v>
      </c>
      <c r="HS3" s="98" t="s">
        <v>437</v>
      </c>
      <c r="HT3" s="98" t="s">
        <v>437</v>
      </c>
      <c r="HU3" s="98" t="s">
        <v>437</v>
      </c>
      <c r="HV3" s="98" t="s">
        <v>437</v>
      </c>
      <c r="HW3" s="98" t="s">
        <v>437</v>
      </c>
      <c r="HX3" s="98" t="s">
        <v>437</v>
      </c>
      <c r="HY3" s="98" t="s">
        <v>437</v>
      </c>
      <c r="HZ3" s="98" t="s">
        <v>437</v>
      </c>
      <c r="IA3" s="98" t="s">
        <v>437</v>
      </c>
      <c r="IB3" s="98" t="s">
        <v>437</v>
      </c>
      <c r="IC3" s="98" t="s">
        <v>437</v>
      </c>
      <c r="ID3" s="98" t="s">
        <v>437</v>
      </c>
      <c r="IE3" s="98" t="s">
        <v>437</v>
      </c>
      <c r="IF3" s="98" t="s">
        <v>437</v>
      </c>
      <c r="IG3" s="98" t="s">
        <v>437</v>
      </c>
      <c r="IH3" s="98" t="s">
        <v>437</v>
      </c>
      <c r="II3" s="98" t="s">
        <v>437</v>
      </c>
      <c r="IJ3" s="98" t="s">
        <v>437</v>
      </c>
      <c r="IK3" s="98" t="s">
        <v>437</v>
      </c>
      <c r="IL3" s="98" t="s">
        <v>437</v>
      </c>
      <c r="IM3" s="98" t="s">
        <v>437</v>
      </c>
      <c r="IN3" s="98" t="s">
        <v>437</v>
      </c>
      <c r="IO3" s="98" t="s">
        <v>437</v>
      </c>
      <c r="IP3" s="98" t="s">
        <v>437</v>
      </c>
      <c r="IQ3" s="98" t="s">
        <v>437</v>
      </c>
      <c r="IR3" s="98" t="s">
        <v>437</v>
      </c>
      <c r="IS3" s="98" t="s">
        <v>437</v>
      </c>
      <c r="IT3" s="98" t="s">
        <v>437</v>
      </c>
      <c r="IU3" s="98" t="s">
        <v>437</v>
      </c>
      <c r="IV3" s="98" t="s">
        <v>437</v>
      </c>
      <c r="IW3" s="98" t="s">
        <v>437</v>
      </c>
      <c r="IX3" s="98" t="s">
        <v>437</v>
      </c>
      <c r="IY3" s="98" t="s">
        <v>437</v>
      </c>
      <c r="IZ3" s="98" t="s">
        <v>437</v>
      </c>
      <c r="JA3" s="98" t="s">
        <v>437</v>
      </c>
      <c r="JB3" s="98" t="s">
        <v>437</v>
      </c>
      <c r="JC3" s="98" t="s">
        <v>437</v>
      </c>
      <c r="JD3" s="98" t="s">
        <v>437</v>
      </c>
      <c r="JE3" s="98" t="s">
        <v>437</v>
      </c>
      <c r="JF3" s="98" t="s">
        <v>437</v>
      </c>
      <c r="JG3" s="98" t="s">
        <v>437</v>
      </c>
      <c r="JH3" s="98" t="s">
        <v>437</v>
      </c>
      <c r="JI3" s="98" t="s">
        <v>437</v>
      </c>
      <c r="JJ3" s="98" t="s">
        <v>437</v>
      </c>
      <c r="JK3" s="98" t="s">
        <v>437</v>
      </c>
      <c r="JL3" s="98" t="s">
        <v>437</v>
      </c>
      <c r="JM3" s="98" t="s">
        <v>437</v>
      </c>
      <c r="JN3" s="98" t="s">
        <v>437</v>
      </c>
      <c r="JO3" s="98" t="s">
        <v>437</v>
      </c>
      <c r="JP3" s="98" t="s">
        <v>437</v>
      </c>
      <c r="JQ3" s="98" t="s">
        <v>437</v>
      </c>
      <c r="JR3" s="98" t="s">
        <v>437</v>
      </c>
      <c r="JS3" s="98" t="s">
        <v>437</v>
      </c>
      <c r="JT3" s="98" t="s">
        <v>437</v>
      </c>
      <c r="JU3" s="98" t="s">
        <v>437</v>
      </c>
      <c r="JV3" s="98" t="s">
        <v>437</v>
      </c>
      <c r="JW3" s="98" t="s">
        <v>437</v>
      </c>
      <c r="JX3" s="98" t="s">
        <v>437</v>
      </c>
      <c r="JY3" s="98" t="s">
        <v>437</v>
      </c>
      <c r="JZ3" s="98" t="s">
        <v>437</v>
      </c>
      <c r="KA3" s="98" t="s">
        <v>437</v>
      </c>
      <c r="KB3" s="98" t="s">
        <v>437</v>
      </c>
      <c r="KC3" s="98" t="s">
        <v>437</v>
      </c>
      <c r="KD3" s="98" t="s">
        <v>437</v>
      </c>
      <c r="KE3" s="98" t="s">
        <v>437</v>
      </c>
      <c r="KF3" s="98" t="s">
        <v>437</v>
      </c>
      <c r="KG3" s="98" t="s">
        <v>437</v>
      </c>
      <c r="KH3" s="98" t="s">
        <v>437</v>
      </c>
      <c r="KI3" s="98" t="s">
        <v>437</v>
      </c>
      <c r="KJ3" s="98" t="s">
        <v>437</v>
      </c>
      <c r="KK3" s="98" t="s">
        <v>437</v>
      </c>
      <c r="KL3" s="98" t="s">
        <v>437</v>
      </c>
      <c r="KM3" s="98" t="s">
        <v>437</v>
      </c>
      <c r="KN3" s="98" t="s">
        <v>437</v>
      </c>
      <c r="KO3" s="98" t="s">
        <v>437</v>
      </c>
      <c r="KP3" s="98" t="s">
        <v>437</v>
      </c>
    </row>
    <row r="4" spans="1:302" ht="14" customHeight="1" x14ac:dyDescent="0.2">
      <c r="A4" s="99" t="s">
        <v>438</v>
      </c>
      <c r="B4" s="100" t="s">
        <v>8</v>
      </c>
      <c r="C4" s="101">
        <v>1</v>
      </c>
      <c r="D4" s="101">
        <v>2</v>
      </c>
      <c r="E4" s="101">
        <v>3</v>
      </c>
      <c r="F4" s="101">
        <v>4</v>
      </c>
      <c r="G4" s="101">
        <v>5</v>
      </c>
      <c r="H4" s="101">
        <v>6</v>
      </c>
      <c r="I4" s="101">
        <v>7</v>
      </c>
      <c r="J4" s="101">
        <v>8</v>
      </c>
      <c r="K4" s="101">
        <v>9</v>
      </c>
      <c r="L4" s="101">
        <v>10</v>
      </c>
      <c r="M4" s="101">
        <v>11</v>
      </c>
      <c r="N4" s="101">
        <v>12</v>
      </c>
      <c r="O4" s="101">
        <v>13</v>
      </c>
      <c r="P4" s="101">
        <v>14</v>
      </c>
      <c r="Q4" s="101">
        <v>15</v>
      </c>
      <c r="R4" s="101">
        <v>16</v>
      </c>
      <c r="S4" s="101">
        <v>17</v>
      </c>
      <c r="T4" s="101">
        <v>18</v>
      </c>
      <c r="U4" s="101">
        <v>19</v>
      </c>
      <c r="V4" s="101">
        <v>20</v>
      </c>
      <c r="W4" s="101">
        <v>21</v>
      </c>
      <c r="X4" s="101">
        <v>22</v>
      </c>
      <c r="Y4" s="101">
        <v>23</v>
      </c>
      <c r="Z4" s="101">
        <v>24</v>
      </c>
      <c r="AA4" s="101">
        <v>25</v>
      </c>
      <c r="AB4" s="101">
        <v>26</v>
      </c>
      <c r="AC4" s="101">
        <v>27</v>
      </c>
      <c r="AD4" s="101">
        <v>28</v>
      </c>
      <c r="AE4" s="101">
        <v>29</v>
      </c>
      <c r="AF4" s="101">
        <v>30</v>
      </c>
      <c r="AG4" s="101">
        <v>31</v>
      </c>
      <c r="AH4" s="101">
        <v>32</v>
      </c>
      <c r="AI4" s="101">
        <v>33</v>
      </c>
      <c r="AJ4" s="101">
        <v>34</v>
      </c>
      <c r="AK4" s="101">
        <v>35</v>
      </c>
      <c r="AL4" s="101">
        <v>36</v>
      </c>
      <c r="AM4" s="101">
        <v>37</v>
      </c>
      <c r="AN4" s="101">
        <v>38</v>
      </c>
      <c r="AO4" s="101">
        <v>39</v>
      </c>
      <c r="AP4" s="101">
        <v>40</v>
      </c>
      <c r="AQ4" s="101">
        <v>41</v>
      </c>
      <c r="AR4" s="101">
        <v>42</v>
      </c>
      <c r="AS4" s="101">
        <v>43</v>
      </c>
      <c r="AT4" s="101">
        <v>44</v>
      </c>
      <c r="AU4" s="101">
        <v>45</v>
      </c>
      <c r="AV4" s="101">
        <v>46</v>
      </c>
      <c r="AW4" s="101">
        <v>47</v>
      </c>
      <c r="AX4" s="101">
        <v>48</v>
      </c>
      <c r="AY4" s="101">
        <v>49</v>
      </c>
      <c r="AZ4" s="101">
        <v>50</v>
      </c>
      <c r="BA4" s="101">
        <v>51</v>
      </c>
      <c r="BB4" s="101">
        <v>52</v>
      </c>
      <c r="BC4" s="101">
        <v>53</v>
      </c>
      <c r="BD4" s="101">
        <v>54</v>
      </c>
      <c r="BE4" s="101">
        <v>55</v>
      </c>
      <c r="BF4" s="101">
        <v>56</v>
      </c>
      <c r="BG4" s="101">
        <v>57</v>
      </c>
      <c r="BH4" s="101">
        <v>58</v>
      </c>
      <c r="BI4" s="101">
        <v>59</v>
      </c>
      <c r="BJ4" s="101">
        <v>60</v>
      </c>
      <c r="BK4" s="101">
        <v>61</v>
      </c>
      <c r="BL4" s="101">
        <v>62</v>
      </c>
      <c r="BM4" s="101">
        <v>63</v>
      </c>
      <c r="BN4" s="101">
        <v>64</v>
      </c>
      <c r="BO4" s="101">
        <v>65</v>
      </c>
      <c r="BP4" s="101">
        <v>66</v>
      </c>
      <c r="BQ4" s="101">
        <v>67</v>
      </c>
      <c r="BR4" s="101">
        <v>68</v>
      </c>
      <c r="BS4" s="101">
        <v>69</v>
      </c>
      <c r="BT4" s="101">
        <v>70</v>
      </c>
      <c r="BU4" s="101">
        <v>71</v>
      </c>
      <c r="BV4" s="101">
        <v>72</v>
      </c>
      <c r="BW4" s="101">
        <v>73</v>
      </c>
      <c r="BX4" s="101">
        <v>74</v>
      </c>
      <c r="BY4" s="101">
        <v>75</v>
      </c>
      <c r="BZ4" s="101">
        <v>76</v>
      </c>
      <c r="CA4" s="101">
        <v>77</v>
      </c>
      <c r="CB4" s="101">
        <v>78</v>
      </c>
      <c r="CC4" s="101">
        <v>79</v>
      </c>
      <c r="CD4" s="101">
        <v>80</v>
      </c>
      <c r="CE4" s="101">
        <v>81</v>
      </c>
      <c r="CF4" s="101">
        <v>82</v>
      </c>
      <c r="CG4" s="101">
        <v>83</v>
      </c>
      <c r="CH4" s="101">
        <v>84</v>
      </c>
      <c r="CI4" s="101">
        <v>85</v>
      </c>
      <c r="CJ4" s="101">
        <v>86</v>
      </c>
      <c r="CK4" s="101">
        <v>87</v>
      </c>
      <c r="CL4" s="101">
        <v>88</v>
      </c>
      <c r="CM4" s="101">
        <v>89</v>
      </c>
      <c r="CN4" s="101">
        <v>90</v>
      </c>
      <c r="CO4" s="101">
        <v>91</v>
      </c>
      <c r="CP4" s="101">
        <v>92</v>
      </c>
      <c r="CQ4" s="101">
        <v>93</v>
      </c>
      <c r="CR4" s="101">
        <v>94</v>
      </c>
      <c r="CS4" s="101">
        <v>95</v>
      </c>
      <c r="CT4" s="101">
        <v>96</v>
      </c>
      <c r="CU4" s="101">
        <v>97</v>
      </c>
      <c r="CV4" s="101">
        <v>98</v>
      </c>
      <c r="CW4" s="101">
        <v>99</v>
      </c>
      <c r="CX4" s="101">
        <v>100</v>
      </c>
      <c r="CY4" s="101">
        <v>101</v>
      </c>
      <c r="CZ4" s="101">
        <v>102</v>
      </c>
      <c r="DA4" s="101">
        <v>103</v>
      </c>
      <c r="DB4" s="101">
        <v>104</v>
      </c>
      <c r="DC4" s="101">
        <v>105</v>
      </c>
      <c r="DD4" s="101">
        <v>106</v>
      </c>
      <c r="DE4" s="101">
        <v>107</v>
      </c>
      <c r="DF4" s="101">
        <v>108</v>
      </c>
      <c r="DG4" s="101">
        <v>109</v>
      </c>
      <c r="DH4" s="101">
        <v>110</v>
      </c>
      <c r="DI4" s="101">
        <v>111</v>
      </c>
      <c r="DJ4" s="101">
        <v>112</v>
      </c>
      <c r="DK4" s="101">
        <v>113</v>
      </c>
      <c r="DL4" s="101">
        <v>114</v>
      </c>
      <c r="DM4" s="101">
        <v>115</v>
      </c>
      <c r="DN4" s="101">
        <v>116</v>
      </c>
      <c r="DO4" s="101">
        <v>117</v>
      </c>
      <c r="DP4" s="101">
        <v>118</v>
      </c>
      <c r="DQ4" s="101">
        <v>119</v>
      </c>
      <c r="DR4" s="101">
        <v>120</v>
      </c>
      <c r="DS4" s="102">
        <v>121</v>
      </c>
      <c r="DT4" s="102">
        <v>122</v>
      </c>
      <c r="DU4" s="102">
        <v>123</v>
      </c>
      <c r="DV4" s="102">
        <v>124</v>
      </c>
      <c r="DW4" s="102">
        <v>125</v>
      </c>
      <c r="DX4" s="102">
        <v>126</v>
      </c>
      <c r="DY4" s="102">
        <v>127</v>
      </c>
      <c r="DZ4" s="102">
        <v>128</v>
      </c>
      <c r="EA4" s="102">
        <v>129</v>
      </c>
      <c r="EB4" s="102">
        <v>130</v>
      </c>
      <c r="EC4" s="102">
        <v>131</v>
      </c>
      <c r="ED4" s="102">
        <v>132</v>
      </c>
      <c r="EE4" s="102">
        <v>133</v>
      </c>
      <c r="EF4" s="102">
        <v>134</v>
      </c>
      <c r="EG4" s="102">
        <v>135</v>
      </c>
      <c r="EH4" s="102">
        <v>136</v>
      </c>
      <c r="EI4" s="102">
        <v>137</v>
      </c>
      <c r="EJ4" s="102">
        <v>138</v>
      </c>
      <c r="EK4" s="102">
        <v>139</v>
      </c>
      <c r="EL4" s="102">
        <v>140</v>
      </c>
      <c r="EM4" s="102">
        <v>141</v>
      </c>
      <c r="EN4" s="102">
        <v>142</v>
      </c>
      <c r="EO4" s="102">
        <v>143</v>
      </c>
      <c r="EP4" s="102">
        <v>144</v>
      </c>
      <c r="EQ4" s="102">
        <v>145</v>
      </c>
      <c r="ER4" s="102">
        <v>146</v>
      </c>
      <c r="ES4" s="102">
        <v>147</v>
      </c>
      <c r="ET4" s="102">
        <v>148</v>
      </c>
      <c r="EU4" s="102">
        <v>149</v>
      </c>
      <c r="EV4" s="102">
        <v>150</v>
      </c>
      <c r="EW4" s="102">
        <v>151</v>
      </c>
      <c r="EX4" s="102">
        <v>152</v>
      </c>
      <c r="EY4" s="102">
        <v>153</v>
      </c>
      <c r="EZ4" s="102">
        <v>154</v>
      </c>
      <c r="FA4" s="102">
        <v>155</v>
      </c>
      <c r="FB4" s="102">
        <v>156</v>
      </c>
      <c r="FC4" s="102">
        <v>157</v>
      </c>
      <c r="FD4" s="102">
        <v>158</v>
      </c>
      <c r="FE4" s="102">
        <v>159</v>
      </c>
      <c r="FF4" s="102">
        <v>160</v>
      </c>
      <c r="FG4" s="102">
        <v>161</v>
      </c>
      <c r="FH4" s="102">
        <v>162</v>
      </c>
      <c r="FI4" s="102">
        <v>163</v>
      </c>
      <c r="FJ4" s="102">
        <v>164</v>
      </c>
      <c r="FK4" s="102">
        <v>165</v>
      </c>
      <c r="FL4" s="102">
        <v>166</v>
      </c>
      <c r="FM4" s="102">
        <v>167</v>
      </c>
      <c r="FN4" s="102">
        <v>168</v>
      </c>
      <c r="FO4" s="102">
        <v>169</v>
      </c>
      <c r="FP4" s="102">
        <v>170</v>
      </c>
      <c r="FQ4" s="102">
        <v>171</v>
      </c>
      <c r="FR4" s="102">
        <v>172</v>
      </c>
      <c r="FS4" s="102">
        <v>173</v>
      </c>
      <c r="FT4" s="102">
        <v>174</v>
      </c>
      <c r="FU4" s="102">
        <v>175</v>
      </c>
      <c r="FV4" s="102">
        <v>176</v>
      </c>
      <c r="FW4" s="102">
        <v>177</v>
      </c>
      <c r="FX4" s="102">
        <v>178</v>
      </c>
      <c r="FY4" s="102">
        <v>179</v>
      </c>
      <c r="FZ4" s="102">
        <v>180</v>
      </c>
      <c r="GA4" s="102">
        <v>181</v>
      </c>
      <c r="GB4" s="102">
        <v>182</v>
      </c>
      <c r="GC4" s="102">
        <v>183</v>
      </c>
      <c r="GD4" s="102">
        <v>184</v>
      </c>
      <c r="GE4" s="102">
        <v>185</v>
      </c>
      <c r="GF4" s="102">
        <v>186</v>
      </c>
      <c r="GG4" s="102">
        <v>187</v>
      </c>
      <c r="GH4" s="102">
        <v>188</v>
      </c>
      <c r="GI4" s="102">
        <v>189</v>
      </c>
      <c r="GJ4" s="102">
        <v>190</v>
      </c>
      <c r="GK4" s="102">
        <v>191</v>
      </c>
      <c r="GL4" s="102">
        <v>192</v>
      </c>
      <c r="GM4" s="102">
        <v>193</v>
      </c>
      <c r="GN4" s="102">
        <v>194</v>
      </c>
      <c r="GO4" s="102">
        <v>195</v>
      </c>
      <c r="GP4" s="102">
        <v>196</v>
      </c>
      <c r="GQ4" s="102">
        <v>197</v>
      </c>
      <c r="GR4" s="102">
        <v>198</v>
      </c>
      <c r="GS4" s="102">
        <v>199</v>
      </c>
      <c r="GT4" s="102">
        <v>200</v>
      </c>
      <c r="GU4" s="102">
        <v>201</v>
      </c>
      <c r="GV4" s="102">
        <v>202</v>
      </c>
      <c r="GW4" s="102">
        <v>203</v>
      </c>
      <c r="GX4" s="102">
        <v>204</v>
      </c>
      <c r="GY4" s="102">
        <v>205</v>
      </c>
      <c r="GZ4" s="102">
        <v>206</v>
      </c>
      <c r="HA4" s="102">
        <v>207</v>
      </c>
      <c r="HB4" s="102">
        <v>208</v>
      </c>
      <c r="HC4" s="102">
        <v>209</v>
      </c>
      <c r="HD4" s="102">
        <v>210</v>
      </c>
      <c r="HE4" s="102">
        <v>211</v>
      </c>
      <c r="HF4" s="102">
        <v>212</v>
      </c>
      <c r="HG4" s="102">
        <v>213</v>
      </c>
      <c r="HH4" s="102">
        <v>214</v>
      </c>
      <c r="HI4" s="102">
        <v>215</v>
      </c>
      <c r="HJ4" s="102">
        <v>216</v>
      </c>
      <c r="HK4" s="102">
        <v>217</v>
      </c>
      <c r="HL4" s="102">
        <v>218</v>
      </c>
      <c r="HM4" s="102">
        <v>219</v>
      </c>
      <c r="HN4" s="102">
        <v>220</v>
      </c>
      <c r="HO4" s="102">
        <v>221</v>
      </c>
      <c r="HP4" s="102">
        <v>222</v>
      </c>
      <c r="HQ4" s="102">
        <v>223</v>
      </c>
      <c r="HR4" s="102">
        <v>224</v>
      </c>
      <c r="HS4" s="102">
        <v>225</v>
      </c>
      <c r="HT4" s="102">
        <v>226</v>
      </c>
      <c r="HU4" s="102">
        <v>227</v>
      </c>
      <c r="HV4" s="102">
        <v>228</v>
      </c>
      <c r="HW4" s="102">
        <v>229</v>
      </c>
      <c r="HX4" s="102">
        <v>230</v>
      </c>
      <c r="HY4" s="102">
        <v>231</v>
      </c>
      <c r="HZ4" s="102">
        <v>232</v>
      </c>
      <c r="IA4" s="102">
        <v>233</v>
      </c>
      <c r="IB4" s="102">
        <v>234</v>
      </c>
      <c r="IC4" s="102">
        <v>235</v>
      </c>
      <c r="ID4" s="102">
        <v>236</v>
      </c>
      <c r="IE4" s="102">
        <v>237</v>
      </c>
      <c r="IF4" s="102">
        <v>238</v>
      </c>
      <c r="IG4" s="102">
        <v>239</v>
      </c>
      <c r="IH4" s="102">
        <v>240</v>
      </c>
      <c r="II4" s="102">
        <v>241</v>
      </c>
      <c r="IJ4" s="102">
        <v>242</v>
      </c>
      <c r="IK4" s="102">
        <v>243</v>
      </c>
      <c r="IL4" s="102">
        <v>244</v>
      </c>
      <c r="IM4" s="102">
        <v>245</v>
      </c>
      <c r="IN4" s="102">
        <v>246</v>
      </c>
      <c r="IO4" s="102">
        <v>247</v>
      </c>
      <c r="IP4" s="102">
        <v>248</v>
      </c>
      <c r="IQ4" s="102">
        <v>249</v>
      </c>
      <c r="IR4" s="102">
        <v>250</v>
      </c>
      <c r="IS4" s="102">
        <v>251</v>
      </c>
      <c r="IT4" s="102">
        <v>252</v>
      </c>
      <c r="IU4" s="102">
        <v>253</v>
      </c>
      <c r="IV4" s="102">
        <v>254</v>
      </c>
      <c r="IW4" s="102">
        <v>255</v>
      </c>
      <c r="IX4" s="102">
        <v>256</v>
      </c>
      <c r="IY4" s="102">
        <v>257</v>
      </c>
      <c r="IZ4" s="102">
        <v>258</v>
      </c>
      <c r="JA4" s="102">
        <v>259</v>
      </c>
      <c r="JB4" s="102">
        <v>260</v>
      </c>
      <c r="JC4" s="102">
        <v>261</v>
      </c>
      <c r="JD4" s="102">
        <v>262</v>
      </c>
      <c r="JE4" s="102">
        <v>263</v>
      </c>
      <c r="JF4" s="102">
        <v>264</v>
      </c>
      <c r="JG4" s="102">
        <v>265</v>
      </c>
      <c r="JH4" s="102">
        <v>266</v>
      </c>
      <c r="JI4" s="102">
        <v>267</v>
      </c>
      <c r="JJ4" s="102">
        <v>268</v>
      </c>
      <c r="JK4" s="102">
        <v>269</v>
      </c>
      <c r="JL4" s="102">
        <v>270</v>
      </c>
      <c r="JM4" s="102">
        <v>271</v>
      </c>
      <c r="JN4" s="102">
        <v>272</v>
      </c>
      <c r="JO4" s="102">
        <v>273</v>
      </c>
      <c r="JP4" s="102">
        <v>274</v>
      </c>
      <c r="JQ4" s="102">
        <v>275</v>
      </c>
      <c r="JR4" s="102">
        <v>276</v>
      </c>
      <c r="JS4" s="102">
        <v>277</v>
      </c>
      <c r="JT4" s="102">
        <v>278</v>
      </c>
      <c r="JU4" s="102">
        <v>279</v>
      </c>
      <c r="JV4" s="102">
        <v>280</v>
      </c>
      <c r="JW4" s="102">
        <v>281</v>
      </c>
      <c r="JX4" s="102">
        <v>282</v>
      </c>
      <c r="JY4" s="102">
        <v>283</v>
      </c>
      <c r="JZ4" s="102">
        <v>284</v>
      </c>
      <c r="KA4" s="102">
        <v>285</v>
      </c>
      <c r="KB4" s="102">
        <v>286</v>
      </c>
      <c r="KC4" s="102">
        <v>287</v>
      </c>
      <c r="KD4" s="102">
        <v>288</v>
      </c>
      <c r="KE4" s="102">
        <v>289</v>
      </c>
      <c r="KF4" s="102">
        <v>290</v>
      </c>
      <c r="KG4" s="102">
        <v>291</v>
      </c>
      <c r="KH4" s="102">
        <v>292</v>
      </c>
      <c r="KI4" s="102">
        <v>293</v>
      </c>
      <c r="KJ4" s="102">
        <v>294</v>
      </c>
      <c r="KK4" s="102">
        <v>295</v>
      </c>
      <c r="KL4" s="102">
        <v>296</v>
      </c>
      <c r="KM4" s="102">
        <v>297</v>
      </c>
      <c r="KN4" s="102">
        <v>298</v>
      </c>
      <c r="KO4" s="102">
        <v>299</v>
      </c>
      <c r="KP4" s="102">
        <v>300</v>
      </c>
    </row>
    <row r="5" spans="1:302" ht="14" customHeight="1" x14ac:dyDescent="0.2">
      <c r="A5" s="154" t="s">
        <v>439</v>
      </c>
      <c r="B5" s="155"/>
      <c r="C5" s="103"/>
      <c r="D5" s="103"/>
      <c r="E5" s="103"/>
      <c r="F5" s="103"/>
      <c r="G5" s="103"/>
      <c r="H5" s="103"/>
      <c r="I5" s="103"/>
      <c r="J5" s="103"/>
      <c r="K5" s="103"/>
      <c r="L5" s="103"/>
      <c r="M5" s="103"/>
      <c r="N5" s="103"/>
      <c r="O5" s="103"/>
      <c r="P5" s="103"/>
      <c r="Q5" s="103"/>
      <c r="R5" s="103"/>
      <c r="S5" s="103"/>
      <c r="T5" s="103"/>
      <c r="U5" s="103"/>
      <c r="V5" s="103"/>
      <c r="W5" s="103"/>
      <c r="X5" s="103"/>
      <c r="Y5" s="103"/>
      <c r="Z5" s="103"/>
      <c r="AA5" s="103"/>
      <c r="AB5" s="103"/>
      <c r="AC5" s="103"/>
      <c r="AD5" s="103"/>
      <c r="AE5" s="103"/>
      <c r="AF5" s="103"/>
      <c r="AG5" s="103"/>
      <c r="AH5" s="103"/>
      <c r="AI5" s="103"/>
      <c r="AJ5" s="103"/>
      <c r="AK5" s="103"/>
      <c r="AL5" s="103"/>
      <c r="AM5" s="103"/>
      <c r="AN5" s="103"/>
      <c r="AO5" s="103"/>
      <c r="AP5" s="103"/>
      <c r="AQ5" s="103"/>
      <c r="AR5" s="103"/>
      <c r="AS5" s="103"/>
      <c r="AT5" s="103"/>
      <c r="AU5" s="103"/>
      <c r="AV5" s="103"/>
      <c r="AW5" s="103"/>
      <c r="AX5" s="103"/>
      <c r="AY5" s="103"/>
      <c r="AZ5" s="103"/>
      <c r="BA5" s="103"/>
      <c r="BB5" s="103"/>
      <c r="BC5" s="103"/>
      <c r="BD5" s="103"/>
      <c r="BE5" s="103"/>
      <c r="BF5" s="103"/>
      <c r="BG5" s="103"/>
      <c r="BH5" s="103"/>
      <c r="BI5" s="103"/>
      <c r="BJ5" s="103"/>
      <c r="BK5" s="103"/>
      <c r="BL5" s="103"/>
      <c r="BM5" s="103"/>
      <c r="BN5" s="103"/>
      <c r="BO5" s="103"/>
      <c r="BP5" s="103"/>
      <c r="BQ5" s="103"/>
      <c r="BR5" s="103"/>
      <c r="BS5" s="103"/>
      <c r="BT5" s="103"/>
      <c r="BU5" s="103"/>
      <c r="BV5" s="103"/>
      <c r="BW5" s="103"/>
      <c r="BX5" s="103"/>
      <c r="BY5" s="103"/>
      <c r="BZ5" s="103"/>
      <c r="CA5" s="103"/>
      <c r="CB5" s="103"/>
      <c r="CC5" s="103"/>
      <c r="CD5" s="103"/>
      <c r="CE5" s="103"/>
      <c r="CF5" s="103"/>
      <c r="CG5" s="103"/>
      <c r="CH5" s="103"/>
      <c r="CI5" s="103"/>
      <c r="CJ5" s="103"/>
      <c r="CK5" s="103"/>
      <c r="CL5" s="103"/>
      <c r="CM5" s="103"/>
      <c r="CN5" s="103"/>
      <c r="CO5" s="103"/>
      <c r="CP5" s="103"/>
      <c r="CQ5" s="103"/>
      <c r="CR5" s="103"/>
      <c r="CS5" s="103"/>
      <c r="CT5" s="103"/>
      <c r="CU5" s="103"/>
      <c r="CV5" s="103"/>
      <c r="CW5" s="103"/>
      <c r="CX5" s="103"/>
      <c r="CY5" s="103"/>
      <c r="CZ5" s="103"/>
      <c r="DA5" s="103"/>
      <c r="DB5" s="103"/>
      <c r="DC5" s="103"/>
      <c r="DD5" s="103"/>
      <c r="DE5" s="103"/>
      <c r="DF5" s="103"/>
      <c r="DG5" s="103"/>
      <c r="DH5" s="103"/>
      <c r="DI5" s="103"/>
      <c r="DJ5" s="103"/>
      <c r="DK5" s="103"/>
      <c r="DL5" s="103"/>
      <c r="DM5" s="103"/>
      <c r="DN5" s="103"/>
      <c r="DO5" s="103"/>
      <c r="DP5" s="103"/>
      <c r="DQ5" s="103"/>
      <c r="DR5" s="103"/>
      <c r="DS5" s="103"/>
      <c r="DT5" s="103"/>
      <c r="DU5" s="103"/>
      <c r="DV5" s="103"/>
      <c r="DW5" s="103"/>
      <c r="DX5" s="103"/>
      <c r="DY5" s="103"/>
      <c r="DZ5" s="103"/>
      <c r="EA5" s="103"/>
      <c r="EB5" s="103"/>
      <c r="EC5" s="103"/>
      <c r="ED5" s="103"/>
      <c r="EE5" s="103"/>
      <c r="EF5" s="103"/>
      <c r="EG5" s="103"/>
      <c r="EH5" s="103"/>
      <c r="EI5" s="103"/>
      <c r="EJ5" s="103"/>
      <c r="EK5" s="103"/>
      <c r="EL5" s="103"/>
      <c r="EM5" s="103"/>
      <c r="EN5" s="103"/>
      <c r="EO5" s="103"/>
      <c r="EP5" s="103"/>
      <c r="EQ5" s="103"/>
      <c r="ER5" s="103"/>
      <c r="ES5" s="103"/>
      <c r="ET5" s="103"/>
      <c r="EU5" s="103"/>
      <c r="EV5" s="103"/>
      <c r="EW5" s="103"/>
      <c r="EX5" s="103"/>
      <c r="EY5" s="103"/>
      <c r="EZ5" s="103"/>
      <c r="FA5" s="103"/>
      <c r="FB5" s="103"/>
      <c r="FC5" s="103"/>
      <c r="FD5" s="103"/>
      <c r="FE5" s="103"/>
      <c r="FF5" s="103"/>
      <c r="FG5" s="103"/>
      <c r="FH5" s="103"/>
      <c r="FI5" s="103"/>
      <c r="FJ5" s="103"/>
      <c r="FK5" s="103"/>
      <c r="FL5" s="103"/>
      <c r="FM5" s="103"/>
      <c r="FN5" s="103"/>
      <c r="FO5" s="103"/>
      <c r="FP5" s="103"/>
      <c r="FQ5" s="103"/>
      <c r="FR5" s="103"/>
      <c r="FS5" s="103"/>
      <c r="FT5" s="103"/>
      <c r="FU5" s="103"/>
      <c r="FV5" s="103"/>
      <c r="FW5" s="103"/>
      <c r="FX5" s="103"/>
      <c r="FY5" s="103"/>
      <c r="FZ5" s="103"/>
      <c r="GA5" s="103"/>
      <c r="GB5" s="103"/>
      <c r="GC5" s="103"/>
      <c r="GD5" s="103"/>
      <c r="GE5" s="103"/>
      <c r="GF5" s="103"/>
      <c r="GG5" s="103"/>
      <c r="GH5" s="103"/>
      <c r="GI5" s="103"/>
      <c r="GJ5" s="103"/>
      <c r="GK5" s="103"/>
      <c r="GL5" s="103"/>
      <c r="GM5" s="103"/>
      <c r="GN5" s="103"/>
      <c r="GO5" s="103"/>
      <c r="GP5" s="103"/>
      <c r="GQ5" s="103"/>
      <c r="GR5" s="103"/>
      <c r="GS5" s="103"/>
      <c r="GT5" s="103"/>
      <c r="GU5" s="103"/>
      <c r="GV5" s="103"/>
      <c r="GW5" s="103"/>
      <c r="GX5" s="103"/>
      <c r="GY5" s="103"/>
      <c r="GZ5" s="103"/>
      <c r="HA5" s="103"/>
      <c r="HB5" s="103"/>
      <c r="HC5" s="103"/>
      <c r="HD5" s="103"/>
      <c r="HE5" s="103"/>
      <c r="HF5" s="103"/>
      <c r="HG5" s="103"/>
      <c r="HH5" s="103"/>
      <c r="HI5" s="103"/>
      <c r="HJ5" s="103"/>
      <c r="HK5" s="103"/>
      <c r="HL5" s="103"/>
      <c r="HM5" s="103"/>
      <c r="HN5" s="103"/>
      <c r="HO5" s="103"/>
      <c r="HP5" s="103"/>
      <c r="HQ5" s="103"/>
      <c r="HR5" s="103"/>
      <c r="HS5" s="103"/>
      <c r="HT5" s="103"/>
      <c r="HU5" s="103"/>
      <c r="HV5" s="103"/>
      <c r="HW5" s="103"/>
      <c r="HX5" s="103"/>
      <c r="HY5" s="103"/>
      <c r="HZ5" s="103"/>
      <c r="IA5" s="103"/>
      <c r="IB5" s="103"/>
      <c r="IC5" s="103"/>
      <c r="ID5" s="103"/>
      <c r="IE5" s="103"/>
      <c r="IF5" s="103"/>
      <c r="IG5" s="103"/>
      <c r="IH5" s="103"/>
      <c r="II5" s="103"/>
      <c r="IJ5" s="103"/>
      <c r="IK5" s="103"/>
      <c r="IL5" s="103"/>
      <c r="IM5" s="103"/>
      <c r="IN5" s="103"/>
      <c r="IO5" s="103"/>
      <c r="IP5" s="103"/>
      <c r="IQ5" s="103"/>
      <c r="IR5" s="103"/>
      <c r="IS5" s="103"/>
      <c r="IT5" s="103"/>
      <c r="IU5" s="103"/>
      <c r="IV5" s="103"/>
      <c r="IW5" s="103"/>
      <c r="IX5" s="103"/>
      <c r="IY5" s="103"/>
      <c r="IZ5" s="103"/>
      <c r="JA5" s="103"/>
      <c r="JB5" s="103"/>
      <c r="JC5" s="103"/>
      <c r="JD5" s="103"/>
      <c r="JE5" s="103"/>
      <c r="JF5" s="103"/>
      <c r="JG5" s="103"/>
      <c r="JH5" s="103"/>
      <c r="JI5" s="103"/>
      <c r="JJ5" s="103"/>
      <c r="JK5" s="103"/>
      <c r="JL5" s="103"/>
      <c r="JM5" s="103"/>
      <c r="JN5" s="103"/>
      <c r="JO5" s="103"/>
      <c r="JP5" s="103"/>
      <c r="JQ5" s="103"/>
      <c r="JR5" s="103"/>
      <c r="JS5" s="103"/>
      <c r="JT5" s="103"/>
      <c r="JU5" s="103"/>
      <c r="JV5" s="103"/>
      <c r="JW5" s="103"/>
      <c r="JX5" s="103"/>
      <c r="JY5" s="103"/>
      <c r="JZ5" s="103"/>
      <c r="KA5" s="103"/>
      <c r="KB5" s="103"/>
      <c r="KC5" s="103"/>
      <c r="KD5" s="103"/>
      <c r="KE5" s="103"/>
      <c r="KF5" s="103"/>
      <c r="KG5" s="103"/>
      <c r="KH5" s="103"/>
      <c r="KI5" s="103"/>
      <c r="KJ5" s="103"/>
      <c r="KK5" s="103"/>
      <c r="KL5" s="103"/>
      <c r="KM5" s="103"/>
      <c r="KN5" s="103"/>
      <c r="KO5" s="103"/>
      <c r="KP5" s="103"/>
    </row>
    <row r="6" spans="1:302" ht="16" customHeight="1" x14ac:dyDescent="0.2">
      <c r="A6" s="104" t="s">
        <v>440</v>
      </c>
      <c r="B6" s="105" t="s">
        <v>99</v>
      </c>
      <c r="C6" s="106">
        <f>Assumptions!$E$16*(1-Assumptions!$E$23)^0</f>
        <v>4464.5704999999989</v>
      </c>
      <c r="D6" s="106">
        <f>Assumptions!$E$16*(1-Assumptions!$E$23)^0</f>
        <v>4464.5704999999989</v>
      </c>
      <c r="E6" s="106">
        <f>Assumptions!$E$16*(1-Assumptions!$E$23)^0</f>
        <v>4464.5704999999989</v>
      </c>
      <c r="F6" s="106">
        <f>Assumptions!$E$16*(1-Assumptions!$E$23)^0</f>
        <v>4464.5704999999989</v>
      </c>
      <c r="G6" s="106">
        <f>Assumptions!$E$16*(1-Assumptions!$E$23)^0</f>
        <v>4464.5704999999989</v>
      </c>
      <c r="H6" s="106">
        <f>Assumptions!$E$16*(1-Assumptions!$E$23)^0</f>
        <v>4464.5704999999989</v>
      </c>
      <c r="I6" s="106">
        <f>Assumptions!$E$16*(1-Assumptions!$E$23)^0</f>
        <v>4464.5704999999989</v>
      </c>
      <c r="J6" s="106">
        <f>Assumptions!$E$16*(1-Assumptions!$E$23)^0</f>
        <v>4464.5704999999989</v>
      </c>
      <c r="K6" s="106">
        <f>Assumptions!$E$16*(1-Assumptions!$E$23)^0</f>
        <v>4464.5704999999989</v>
      </c>
      <c r="L6" s="106">
        <f>Assumptions!$E$16*(1-Assumptions!$E$23)^0</f>
        <v>4464.5704999999989</v>
      </c>
      <c r="M6" s="106">
        <f>Assumptions!$E$16*(1-Assumptions!$E$23)^0</f>
        <v>4464.5704999999989</v>
      </c>
      <c r="N6" s="106">
        <f>Assumptions!$E$16*(1-Assumptions!$E$23)^0</f>
        <v>4464.5704999999989</v>
      </c>
      <c r="O6" s="106">
        <f>Assumptions!$E$16*(1-Assumptions!$E$23)^1</f>
        <v>4442.2476474999985</v>
      </c>
      <c r="P6" s="106">
        <f>Assumptions!$E$16*(1-Assumptions!$E$23)^1</f>
        <v>4442.2476474999985</v>
      </c>
      <c r="Q6" s="106">
        <f>Assumptions!$E$16*(1-Assumptions!$E$23)^1</f>
        <v>4442.2476474999985</v>
      </c>
      <c r="R6" s="106">
        <f>Assumptions!$E$16*(1-Assumptions!$E$23)^1</f>
        <v>4442.2476474999985</v>
      </c>
      <c r="S6" s="106">
        <f>Assumptions!$E$16*(1-Assumptions!$E$23)^1</f>
        <v>4442.2476474999985</v>
      </c>
      <c r="T6" s="106">
        <f>Assumptions!$E$16*(1-Assumptions!$E$23)^1</f>
        <v>4442.2476474999985</v>
      </c>
      <c r="U6" s="106">
        <f>Assumptions!$E$16*(1-Assumptions!$E$23)^1</f>
        <v>4442.2476474999985</v>
      </c>
      <c r="V6" s="106">
        <f>Assumptions!$E$16*(1-Assumptions!$E$23)^1</f>
        <v>4442.2476474999985</v>
      </c>
      <c r="W6" s="106">
        <f>Assumptions!$E$16*(1-Assumptions!$E$23)^1</f>
        <v>4442.2476474999985</v>
      </c>
      <c r="X6" s="106">
        <f>Assumptions!$E$16*(1-Assumptions!$E$23)^1</f>
        <v>4442.2476474999985</v>
      </c>
      <c r="Y6" s="106">
        <f>Assumptions!$E$16*(1-Assumptions!$E$23)^1</f>
        <v>4442.2476474999985</v>
      </c>
      <c r="Z6" s="106">
        <f>Assumptions!$E$16*(1-Assumptions!$E$23)^1</f>
        <v>4442.2476474999985</v>
      </c>
      <c r="AA6" s="106">
        <f>Assumptions!$E$16*(1-Assumptions!$E$23)^2</f>
        <v>4420.0364092624995</v>
      </c>
      <c r="AB6" s="106">
        <f>Assumptions!$E$16*(1-Assumptions!$E$23)^2</f>
        <v>4420.0364092624995</v>
      </c>
      <c r="AC6" s="106">
        <f>Assumptions!$E$16*(1-Assumptions!$E$23)^2</f>
        <v>4420.0364092624995</v>
      </c>
      <c r="AD6" s="106">
        <f>Assumptions!$E$16*(1-Assumptions!$E$23)^2</f>
        <v>4420.0364092624995</v>
      </c>
      <c r="AE6" s="106">
        <f>Assumptions!$E$16*(1-Assumptions!$E$23)^2</f>
        <v>4420.0364092624995</v>
      </c>
      <c r="AF6" s="106">
        <f>Assumptions!$E$16*(1-Assumptions!$E$23)^2</f>
        <v>4420.0364092624995</v>
      </c>
      <c r="AG6" s="106">
        <f>Assumptions!$E$16*(1-Assumptions!$E$23)^2</f>
        <v>4420.0364092624995</v>
      </c>
      <c r="AH6" s="106">
        <f>Assumptions!$E$16*(1-Assumptions!$E$23)^2</f>
        <v>4420.0364092624995</v>
      </c>
      <c r="AI6" s="106">
        <f>Assumptions!$E$16*(1-Assumptions!$E$23)^2</f>
        <v>4420.0364092624995</v>
      </c>
      <c r="AJ6" s="106">
        <f>Assumptions!$E$16*(1-Assumptions!$E$23)^2</f>
        <v>4420.0364092624995</v>
      </c>
      <c r="AK6" s="106">
        <f>Assumptions!$E$16*(1-Assumptions!$E$23)^2</f>
        <v>4420.0364092624995</v>
      </c>
      <c r="AL6" s="106">
        <f>Assumptions!$E$16*(1-Assumptions!$E$23)^2</f>
        <v>4420.0364092624995</v>
      </c>
      <c r="AM6" s="106">
        <f>Assumptions!$E$16*(1-Assumptions!$E$23)^3</f>
        <v>4397.9362272161861</v>
      </c>
      <c r="AN6" s="106">
        <f>Assumptions!$E$16*(1-Assumptions!$E$23)^3</f>
        <v>4397.9362272161861</v>
      </c>
      <c r="AO6" s="106">
        <f>Assumptions!$E$16*(1-Assumptions!$E$23)^3</f>
        <v>4397.9362272161861</v>
      </c>
      <c r="AP6" s="106">
        <f>Assumptions!$E$16*(1-Assumptions!$E$23)^3</f>
        <v>4397.9362272161861</v>
      </c>
      <c r="AQ6" s="106">
        <f>Assumptions!$E$16*(1-Assumptions!$E$23)^3</f>
        <v>4397.9362272161861</v>
      </c>
      <c r="AR6" s="106">
        <f>Assumptions!$E$16*(1-Assumptions!$E$23)^3</f>
        <v>4397.9362272161861</v>
      </c>
      <c r="AS6" s="106">
        <f>Assumptions!$E$16*(1-Assumptions!$E$23)^3</f>
        <v>4397.9362272161861</v>
      </c>
      <c r="AT6" s="106">
        <f>Assumptions!$E$16*(1-Assumptions!$E$23)^3</f>
        <v>4397.9362272161861</v>
      </c>
      <c r="AU6" s="106">
        <f>Assumptions!$E$16*(1-Assumptions!$E$23)^3</f>
        <v>4397.9362272161861</v>
      </c>
      <c r="AV6" s="106">
        <f>Assumptions!$E$16*(1-Assumptions!$E$23)^3</f>
        <v>4397.9362272161861</v>
      </c>
      <c r="AW6" s="106">
        <f>Assumptions!$E$16*(1-Assumptions!$E$23)^3</f>
        <v>4397.9362272161861</v>
      </c>
      <c r="AX6" s="106">
        <f>Assumptions!$E$16*(1-Assumptions!$E$23)^3</f>
        <v>4397.9362272161861</v>
      </c>
      <c r="AY6" s="106">
        <f>Assumptions!$E$16*(1-Assumptions!$E$23)^4</f>
        <v>4375.9465460801057</v>
      </c>
      <c r="AZ6" s="106">
        <f>Assumptions!$E$16*(1-Assumptions!$E$23)^4</f>
        <v>4375.9465460801057</v>
      </c>
      <c r="BA6" s="106">
        <f>Assumptions!$E$16*(1-Assumptions!$E$23)^4</f>
        <v>4375.9465460801057</v>
      </c>
      <c r="BB6" s="106">
        <f>Assumptions!$E$16*(1-Assumptions!$E$23)^4</f>
        <v>4375.9465460801057</v>
      </c>
      <c r="BC6" s="106">
        <f>Assumptions!$E$16*(1-Assumptions!$E$23)^4</f>
        <v>4375.9465460801057</v>
      </c>
      <c r="BD6" s="106">
        <f>Assumptions!$E$16*(1-Assumptions!$E$23)^4</f>
        <v>4375.9465460801057</v>
      </c>
      <c r="BE6" s="106">
        <f>Assumptions!$E$16*(1-Assumptions!$E$23)^4</f>
        <v>4375.9465460801057</v>
      </c>
      <c r="BF6" s="106">
        <f>Assumptions!$E$16*(1-Assumptions!$E$23)^4</f>
        <v>4375.9465460801057</v>
      </c>
      <c r="BG6" s="106">
        <f>Assumptions!$E$16*(1-Assumptions!$E$23)^4</f>
        <v>4375.9465460801057</v>
      </c>
      <c r="BH6" s="106">
        <f>Assumptions!$E$16*(1-Assumptions!$E$23)^4</f>
        <v>4375.9465460801057</v>
      </c>
      <c r="BI6" s="106">
        <f>Assumptions!$E$16*(1-Assumptions!$E$23)^4</f>
        <v>4375.9465460801057</v>
      </c>
      <c r="BJ6" s="106">
        <f>Assumptions!$E$16*(1-Assumptions!$E$23)^4</f>
        <v>4375.9465460801057</v>
      </c>
      <c r="BK6" s="106">
        <f>Assumptions!$E$16*(1-Assumptions!$E$23)^5</f>
        <v>4354.0668133497056</v>
      </c>
      <c r="BL6" s="106">
        <f>Assumptions!$E$16*(1-Assumptions!$E$23)^5</f>
        <v>4354.0668133497056</v>
      </c>
      <c r="BM6" s="106">
        <f>Assumptions!$E$16*(1-Assumptions!$E$23)^5</f>
        <v>4354.0668133497056</v>
      </c>
      <c r="BN6" s="106">
        <f>Assumptions!$E$16*(1-Assumptions!$E$23)^5</f>
        <v>4354.0668133497056</v>
      </c>
      <c r="BO6" s="106">
        <f>Assumptions!$E$16*(1-Assumptions!$E$23)^5</f>
        <v>4354.0668133497056</v>
      </c>
      <c r="BP6" s="106">
        <f>Assumptions!$E$16*(1-Assumptions!$E$23)^5</f>
        <v>4354.0668133497056</v>
      </c>
      <c r="BQ6" s="106">
        <f>Assumptions!$E$16*(1-Assumptions!$E$23)^5</f>
        <v>4354.0668133497056</v>
      </c>
      <c r="BR6" s="106">
        <f>Assumptions!$E$16*(1-Assumptions!$E$23)^5</f>
        <v>4354.0668133497056</v>
      </c>
      <c r="BS6" s="106">
        <f>Assumptions!$E$16*(1-Assumptions!$E$23)^5</f>
        <v>4354.0668133497056</v>
      </c>
      <c r="BT6" s="106">
        <f>Assumptions!$E$16*(1-Assumptions!$E$23)^5</f>
        <v>4354.0668133497056</v>
      </c>
      <c r="BU6" s="106">
        <f>Assumptions!$E$16*(1-Assumptions!$E$23)^5</f>
        <v>4354.0668133497056</v>
      </c>
      <c r="BV6" s="106">
        <f>Assumptions!$E$16*(1-Assumptions!$E$23)^5</f>
        <v>4354.0668133497056</v>
      </c>
      <c r="BW6" s="106">
        <f>Assumptions!$E$16*(1-Assumptions!$E$23)^6</f>
        <v>4332.2964792829571</v>
      </c>
      <c r="BX6" s="106">
        <f>Assumptions!$E$16*(1-Assumptions!$E$23)^6</f>
        <v>4332.2964792829571</v>
      </c>
      <c r="BY6" s="106">
        <f>Assumptions!$E$16*(1-Assumptions!$E$23)^6</f>
        <v>4332.2964792829571</v>
      </c>
      <c r="BZ6" s="106">
        <f>Assumptions!$E$16*(1-Assumptions!$E$23)^6</f>
        <v>4332.2964792829571</v>
      </c>
      <c r="CA6" s="106">
        <f>Assumptions!$E$16*(1-Assumptions!$E$23)^6</f>
        <v>4332.2964792829571</v>
      </c>
      <c r="CB6" s="106">
        <f>Assumptions!$E$16*(1-Assumptions!$E$23)^6</f>
        <v>4332.2964792829571</v>
      </c>
      <c r="CC6" s="106">
        <f>Assumptions!$E$16*(1-Assumptions!$E$23)^6</f>
        <v>4332.2964792829571</v>
      </c>
      <c r="CD6" s="106">
        <f>Assumptions!$E$16*(1-Assumptions!$E$23)^6</f>
        <v>4332.2964792829571</v>
      </c>
      <c r="CE6" s="106">
        <f>Assumptions!$E$16*(1-Assumptions!$E$23)^6</f>
        <v>4332.2964792829571</v>
      </c>
      <c r="CF6" s="106">
        <f>Assumptions!$E$16*(1-Assumptions!$E$23)^6</f>
        <v>4332.2964792829571</v>
      </c>
      <c r="CG6" s="106">
        <f>Assumptions!$E$16*(1-Assumptions!$E$23)^6</f>
        <v>4332.2964792829571</v>
      </c>
      <c r="CH6" s="106">
        <f>Assumptions!$E$16*(1-Assumptions!$E$23)^6</f>
        <v>4332.2964792829571</v>
      </c>
      <c r="CI6" s="106">
        <f>Assumptions!$E$16*(1-Assumptions!$E$23)^7</f>
        <v>4310.6349968865416</v>
      </c>
      <c r="CJ6" s="106">
        <f>Assumptions!$E$16*(1-Assumptions!$E$23)^7</f>
        <v>4310.6349968865416</v>
      </c>
      <c r="CK6" s="106">
        <f>Assumptions!$E$16*(1-Assumptions!$E$23)^7</f>
        <v>4310.6349968865416</v>
      </c>
      <c r="CL6" s="106">
        <f>Assumptions!$E$16*(1-Assumptions!$E$23)^7</f>
        <v>4310.6349968865416</v>
      </c>
      <c r="CM6" s="106">
        <f>Assumptions!$E$16*(1-Assumptions!$E$23)^7</f>
        <v>4310.6349968865416</v>
      </c>
      <c r="CN6" s="106">
        <f>Assumptions!$E$16*(1-Assumptions!$E$23)^7</f>
        <v>4310.6349968865416</v>
      </c>
      <c r="CO6" s="106">
        <f>Assumptions!$E$16*(1-Assumptions!$E$23)^7</f>
        <v>4310.6349968865416</v>
      </c>
      <c r="CP6" s="106">
        <f>Assumptions!$E$16*(1-Assumptions!$E$23)^7</f>
        <v>4310.6349968865416</v>
      </c>
      <c r="CQ6" s="106">
        <f>Assumptions!$E$16*(1-Assumptions!$E$23)^7</f>
        <v>4310.6349968865416</v>
      </c>
      <c r="CR6" s="106">
        <f>Assumptions!$E$16*(1-Assumptions!$E$23)^7</f>
        <v>4310.6349968865416</v>
      </c>
      <c r="CS6" s="106">
        <f>Assumptions!$E$16*(1-Assumptions!$E$23)^7</f>
        <v>4310.6349968865416</v>
      </c>
      <c r="CT6" s="106">
        <f>Assumptions!$E$16*(1-Assumptions!$E$23)^7</f>
        <v>4310.6349968865416</v>
      </c>
      <c r="CU6" s="106">
        <f>Assumptions!$E$16*(1-Assumptions!$E$23)^8</f>
        <v>4289.0818219021094</v>
      </c>
      <c r="CV6" s="106">
        <f>Assumptions!$E$16*(1-Assumptions!$E$23)^8</f>
        <v>4289.0818219021094</v>
      </c>
      <c r="CW6" s="106">
        <f>Assumptions!$E$16*(1-Assumptions!$E$23)^8</f>
        <v>4289.0818219021094</v>
      </c>
      <c r="CX6" s="106">
        <f>Assumptions!$E$16*(1-Assumptions!$E$23)^8</f>
        <v>4289.0818219021094</v>
      </c>
      <c r="CY6" s="106">
        <f>Assumptions!$E$16*(1-Assumptions!$E$23)^8</f>
        <v>4289.0818219021094</v>
      </c>
      <c r="CZ6" s="106">
        <f>Assumptions!$E$16*(1-Assumptions!$E$23)^8</f>
        <v>4289.0818219021094</v>
      </c>
      <c r="DA6" s="106">
        <f>Assumptions!$E$16*(1-Assumptions!$E$23)^8</f>
        <v>4289.0818219021094</v>
      </c>
      <c r="DB6" s="106">
        <f>Assumptions!$E$16*(1-Assumptions!$E$23)^8</f>
        <v>4289.0818219021094</v>
      </c>
      <c r="DC6" s="106">
        <f>Assumptions!$E$16*(1-Assumptions!$E$23)^8</f>
        <v>4289.0818219021094</v>
      </c>
      <c r="DD6" s="106">
        <f>Assumptions!$E$16*(1-Assumptions!$E$23)^8</f>
        <v>4289.0818219021094</v>
      </c>
      <c r="DE6" s="106">
        <f>Assumptions!$E$16*(1-Assumptions!$E$23)^8</f>
        <v>4289.0818219021094</v>
      </c>
      <c r="DF6" s="106">
        <f>Assumptions!$E$16*(1-Assumptions!$E$23)^8</f>
        <v>4289.0818219021094</v>
      </c>
      <c r="DG6" s="106">
        <f>Assumptions!$E$16*(1-Assumptions!$E$23)^9</f>
        <v>4267.6364127925981</v>
      </c>
      <c r="DH6" s="106">
        <f>Assumptions!$E$16*(1-Assumptions!$E$23)^9</f>
        <v>4267.6364127925981</v>
      </c>
      <c r="DI6" s="106">
        <f>Assumptions!$E$16*(1-Assumptions!$E$23)^9</f>
        <v>4267.6364127925981</v>
      </c>
      <c r="DJ6" s="106">
        <f>Assumptions!$E$16*(1-Assumptions!$E$23)^9</f>
        <v>4267.6364127925981</v>
      </c>
      <c r="DK6" s="106">
        <f>Assumptions!$E$16*(1-Assumptions!$E$23)^9</f>
        <v>4267.6364127925981</v>
      </c>
      <c r="DL6" s="106">
        <f>Assumptions!$E$16*(1-Assumptions!$E$23)^9</f>
        <v>4267.6364127925981</v>
      </c>
      <c r="DM6" s="106">
        <f>Assumptions!$E$16*(1-Assumptions!$E$23)^9</f>
        <v>4267.6364127925981</v>
      </c>
      <c r="DN6" s="106">
        <f>Assumptions!$E$16*(1-Assumptions!$E$23)^9</f>
        <v>4267.6364127925981</v>
      </c>
      <c r="DO6" s="106">
        <f>Assumptions!$E$16*(1-Assumptions!$E$23)^9</f>
        <v>4267.6364127925981</v>
      </c>
      <c r="DP6" s="106">
        <f>Assumptions!$E$16*(1-Assumptions!$E$23)^9</f>
        <v>4267.6364127925981</v>
      </c>
      <c r="DQ6" s="106">
        <f>Assumptions!$E$16*(1-Assumptions!$E$23)^9</f>
        <v>4267.6364127925981</v>
      </c>
      <c r="DR6" s="106">
        <f>Assumptions!$E$16*(1-Assumptions!$E$23)^9</f>
        <v>4267.6364127925981</v>
      </c>
      <c r="DS6" s="106">
        <f>Assumptions!$E$16*(1-Assumptions!$E$23)^10</f>
        <v>4246.2982307286356</v>
      </c>
      <c r="DT6" s="106">
        <f>Assumptions!$E$16*(1-Assumptions!$E$23)^10</f>
        <v>4246.2982307286356</v>
      </c>
      <c r="DU6" s="106">
        <f>Assumptions!$E$16*(1-Assumptions!$E$23)^10</f>
        <v>4246.2982307286356</v>
      </c>
      <c r="DV6" s="106">
        <f>Assumptions!$E$16*(1-Assumptions!$E$23)^10</f>
        <v>4246.2982307286356</v>
      </c>
      <c r="DW6" s="106">
        <f>Assumptions!$E$16*(1-Assumptions!$E$23)^10</f>
        <v>4246.2982307286356</v>
      </c>
      <c r="DX6" s="106">
        <f>Assumptions!$E$16*(1-Assumptions!$E$23)^10</f>
        <v>4246.2982307286356</v>
      </c>
      <c r="DY6" s="106">
        <f>Assumptions!$E$16*(1-Assumptions!$E$23)^10</f>
        <v>4246.2982307286356</v>
      </c>
      <c r="DZ6" s="106">
        <f>Assumptions!$E$16*(1-Assumptions!$E$23)^10</f>
        <v>4246.2982307286356</v>
      </c>
      <c r="EA6" s="106">
        <f>Assumptions!$E$16*(1-Assumptions!$E$23)^10</f>
        <v>4246.2982307286356</v>
      </c>
      <c r="EB6" s="106">
        <f>Assumptions!$E$16*(1-Assumptions!$E$23)^10</f>
        <v>4246.2982307286356</v>
      </c>
      <c r="EC6" s="106">
        <f>Assumptions!$E$16*(1-Assumptions!$E$23)^10</f>
        <v>4246.2982307286356</v>
      </c>
      <c r="ED6" s="106">
        <f>Assumptions!$E$16*(1-Assumptions!$E$23)^10</f>
        <v>4246.2982307286356</v>
      </c>
      <c r="EE6" s="106">
        <f>Assumptions!$E$16*(1-Assumptions!$E$23)^11</f>
        <v>4225.0667395749924</v>
      </c>
      <c r="EF6" s="106">
        <f>Assumptions!$E$16*(1-Assumptions!$E$23)^11</f>
        <v>4225.0667395749924</v>
      </c>
      <c r="EG6" s="106">
        <f>Assumptions!$E$16*(1-Assumptions!$E$23)^11</f>
        <v>4225.0667395749924</v>
      </c>
      <c r="EH6" s="106">
        <f>Assumptions!$E$16*(1-Assumptions!$E$23)^11</f>
        <v>4225.0667395749924</v>
      </c>
      <c r="EI6" s="106">
        <f>Assumptions!$E$16*(1-Assumptions!$E$23)^11</f>
        <v>4225.0667395749924</v>
      </c>
      <c r="EJ6" s="106">
        <f>Assumptions!$E$16*(1-Assumptions!$E$23)^11</f>
        <v>4225.0667395749924</v>
      </c>
      <c r="EK6" s="106">
        <f>Assumptions!$E$16*(1-Assumptions!$E$23)^11</f>
        <v>4225.0667395749924</v>
      </c>
      <c r="EL6" s="106">
        <f>Assumptions!$E$16*(1-Assumptions!$E$23)^11</f>
        <v>4225.0667395749924</v>
      </c>
      <c r="EM6" s="106">
        <f>Assumptions!$E$16*(1-Assumptions!$E$23)^11</f>
        <v>4225.0667395749924</v>
      </c>
      <c r="EN6" s="106">
        <f>Assumptions!$E$16*(1-Assumptions!$E$23)^11</f>
        <v>4225.0667395749924</v>
      </c>
      <c r="EO6" s="106">
        <f>Assumptions!$E$16*(1-Assumptions!$E$23)^11</f>
        <v>4225.0667395749924</v>
      </c>
      <c r="EP6" s="106">
        <f>Assumptions!$E$16*(1-Assumptions!$E$23)^11</f>
        <v>4225.0667395749924</v>
      </c>
      <c r="EQ6" s="106">
        <f>Assumptions!$E$16*(1-Assumptions!$E$23)^12</f>
        <v>4203.9414058771181</v>
      </c>
      <c r="ER6" s="106">
        <f>Assumptions!$E$16*(1-Assumptions!$E$23)^12</f>
        <v>4203.9414058771181</v>
      </c>
      <c r="ES6" s="106">
        <f>Assumptions!$E$16*(1-Assumptions!$E$23)^12</f>
        <v>4203.9414058771181</v>
      </c>
      <c r="ET6" s="106">
        <f>Assumptions!$E$16*(1-Assumptions!$E$23)^12</f>
        <v>4203.9414058771181</v>
      </c>
      <c r="EU6" s="106">
        <f>Assumptions!$E$16*(1-Assumptions!$E$23)^12</f>
        <v>4203.9414058771181</v>
      </c>
      <c r="EV6" s="106">
        <f>Assumptions!$E$16*(1-Assumptions!$E$23)^12</f>
        <v>4203.9414058771181</v>
      </c>
      <c r="EW6" s="106">
        <f>Assumptions!$E$16*(1-Assumptions!$E$23)^12</f>
        <v>4203.9414058771181</v>
      </c>
      <c r="EX6" s="106">
        <f>Assumptions!$E$16*(1-Assumptions!$E$23)^12</f>
        <v>4203.9414058771181</v>
      </c>
      <c r="EY6" s="106">
        <f>Assumptions!$E$16*(1-Assumptions!$E$23)^12</f>
        <v>4203.9414058771181</v>
      </c>
      <c r="EZ6" s="106">
        <f>Assumptions!$E$16*(1-Assumptions!$E$23)^12</f>
        <v>4203.9414058771181</v>
      </c>
      <c r="FA6" s="106">
        <f>Assumptions!$E$16*(1-Assumptions!$E$23)^12</f>
        <v>4203.9414058771181</v>
      </c>
      <c r="FB6" s="106">
        <f>Assumptions!$E$16*(1-Assumptions!$E$23)^12</f>
        <v>4203.9414058771181</v>
      </c>
      <c r="FC6" s="106">
        <f>Assumptions!$E$16*(1-Assumptions!$E$23)^13</f>
        <v>4182.9216988477328</v>
      </c>
      <c r="FD6" s="106">
        <f>Assumptions!$E$16*(1-Assumptions!$E$23)^13</f>
        <v>4182.9216988477328</v>
      </c>
      <c r="FE6" s="106">
        <f>Assumptions!$E$16*(1-Assumptions!$E$23)^13</f>
        <v>4182.9216988477328</v>
      </c>
      <c r="FF6" s="106">
        <f>Assumptions!$E$16*(1-Assumptions!$E$23)^13</f>
        <v>4182.9216988477328</v>
      </c>
      <c r="FG6" s="106">
        <f>Assumptions!$E$16*(1-Assumptions!$E$23)^13</f>
        <v>4182.9216988477328</v>
      </c>
      <c r="FH6" s="106">
        <f>Assumptions!$E$16*(1-Assumptions!$E$23)^13</f>
        <v>4182.9216988477328</v>
      </c>
      <c r="FI6" s="106">
        <f>Assumptions!$E$16*(1-Assumptions!$E$23)^13</f>
        <v>4182.9216988477328</v>
      </c>
      <c r="FJ6" s="106">
        <f>Assumptions!$E$16*(1-Assumptions!$E$23)^13</f>
        <v>4182.9216988477328</v>
      </c>
      <c r="FK6" s="106">
        <f>Assumptions!$E$16*(1-Assumptions!$E$23)^13</f>
        <v>4182.9216988477328</v>
      </c>
      <c r="FL6" s="106">
        <f>Assumptions!$E$16*(1-Assumptions!$E$23)^13</f>
        <v>4182.9216988477328</v>
      </c>
      <c r="FM6" s="106">
        <f>Assumptions!$E$16*(1-Assumptions!$E$23)^13</f>
        <v>4182.9216988477328</v>
      </c>
      <c r="FN6" s="106">
        <f>Assumptions!$E$16*(1-Assumptions!$E$23)^13</f>
        <v>4182.9216988477328</v>
      </c>
      <c r="FO6" s="106">
        <f>Assumptions!$E$16*(1-Assumptions!$E$23)^14</f>
        <v>4162.0070903534943</v>
      </c>
      <c r="FP6" s="106">
        <f>Assumptions!$E$16*(1-Assumptions!$E$23)^14</f>
        <v>4162.0070903534943</v>
      </c>
      <c r="FQ6" s="106">
        <f>Assumptions!$E$16*(1-Assumptions!$E$23)^14</f>
        <v>4162.0070903534943</v>
      </c>
      <c r="FR6" s="106">
        <f>Assumptions!$E$16*(1-Assumptions!$E$23)^14</f>
        <v>4162.0070903534943</v>
      </c>
      <c r="FS6" s="106">
        <f>Assumptions!$E$16*(1-Assumptions!$E$23)^14</f>
        <v>4162.0070903534943</v>
      </c>
      <c r="FT6" s="106">
        <f>Assumptions!$E$16*(1-Assumptions!$E$23)^14</f>
        <v>4162.0070903534943</v>
      </c>
      <c r="FU6" s="106">
        <f>Assumptions!$E$16*(1-Assumptions!$E$23)^14</f>
        <v>4162.0070903534943</v>
      </c>
      <c r="FV6" s="106">
        <f>Assumptions!$E$16*(1-Assumptions!$E$23)^14</f>
        <v>4162.0070903534943</v>
      </c>
      <c r="FW6" s="106">
        <f>Assumptions!$E$16*(1-Assumptions!$E$23)^14</f>
        <v>4162.0070903534943</v>
      </c>
      <c r="FX6" s="106">
        <f>Assumptions!$E$16*(1-Assumptions!$E$23)^14</f>
        <v>4162.0070903534943</v>
      </c>
      <c r="FY6" s="106">
        <f>Assumptions!$E$16*(1-Assumptions!$E$23)^14</f>
        <v>4162.0070903534943</v>
      </c>
      <c r="FZ6" s="106">
        <f>Assumptions!$E$16*(1-Assumptions!$E$23)^14</f>
        <v>4162.0070903534943</v>
      </c>
      <c r="GA6" s="106">
        <f>Assumptions!$E$16*(1-Assumptions!$E$23)^15</f>
        <v>4141.197054901726</v>
      </c>
      <c r="GB6" s="106">
        <f>Assumptions!$E$16*(1-Assumptions!$E$23)^15</f>
        <v>4141.197054901726</v>
      </c>
      <c r="GC6" s="106">
        <f>Assumptions!$E$16*(1-Assumptions!$E$23)^15</f>
        <v>4141.197054901726</v>
      </c>
      <c r="GD6" s="106">
        <f>Assumptions!$E$16*(1-Assumptions!$E$23)^15</f>
        <v>4141.197054901726</v>
      </c>
      <c r="GE6" s="106">
        <f>Assumptions!$E$16*(1-Assumptions!$E$23)^15</f>
        <v>4141.197054901726</v>
      </c>
      <c r="GF6" s="106">
        <f>Assumptions!$E$16*(1-Assumptions!$E$23)^15</f>
        <v>4141.197054901726</v>
      </c>
      <c r="GG6" s="106">
        <f>Assumptions!$E$16*(1-Assumptions!$E$23)^15</f>
        <v>4141.197054901726</v>
      </c>
      <c r="GH6" s="106">
        <f>Assumptions!$E$16*(1-Assumptions!$E$23)^15</f>
        <v>4141.197054901726</v>
      </c>
      <c r="GI6" s="106">
        <f>Assumptions!$E$16*(1-Assumptions!$E$23)^15</f>
        <v>4141.197054901726</v>
      </c>
      <c r="GJ6" s="106">
        <f>Assumptions!$E$16*(1-Assumptions!$E$23)^15</f>
        <v>4141.197054901726</v>
      </c>
      <c r="GK6" s="106">
        <f>Assumptions!$E$16*(1-Assumptions!$E$23)^15</f>
        <v>4141.197054901726</v>
      </c>
      <c r="GL6" s="106">
        <f>Assumptions!$E$16*(1-Assumptions!$E$23)^15</f>
        <v>4141.197054901726</v>
      </c>
      <c r="GM6" s="106">
        <f>Assumptions!$E$16*(1-Assumptions!$E$23)^16</f>
        <v>4120.4910696272173</v>
      </c>
      <c r="GN6" s="106">
        <f>Assumptions!$E$16*(1-Assumptions!$E$23)^16</f>
        <v>4120.4910696272173</v>
      </c>
      <c r="GO6" s="106">
        <f>Assumptions!$E$16*(1-Assumptions!$E$23)^16</f>
        <v>4120.4910696272173</v>
      </c>
      <c r="GP6" s="106">
        <f>Assumptions!$E$16*(1-Assumptions!$E$23)^16</f>
        <v>4120.4910696272173</v>
      </c>
      <c r="GQ6" s="106">
        <f>Assumptions!$E$16*(1-Assumptions!$E$23)^16</f>
        <v>4120.4910696272173</v>
      </c>
      <c r="GR6" s="106">
        <f>Assumptions!$E$16*(1-Assumptions!$E$23)^16</f>
        <v>4120.4910696272173</v>
      </c>
      <c r="GS6" s="106">
        <f>Assumptions!$E$16*(1-Assumptions!$E$23)^16</f>
        <v>4120.4910696272173</v>
      </c>
      <c r="GT6" s="106">
        <f>Assumptions!$E$16*(1-Assumptions!$E$23)^16</f>
        <v>4120.4910696272173</v>
      </c>
      <c r="GU6" s="106">
        <f>Assumptions!$E$16*(1-Assumptions!$E$23)^16</f>
        <v>4120.4910696272173</v>
      </c>
      <c r="GV6" s="106">
        <f>Assumptions!$E$16*(1-Assumptions!$E$23)^16</f>
        <v>4120.4910696272173</v>
      </c>
      <c r="GW6" s="106">
        <f>Assumptions!$E$16*(1-Assumptions!$E$23)^16</f>
        <v>4120.4910696272173</v>
      </c>
      <c r="GX6" s="106">
        <f>Assumptions!$E$16*(1-Assumptions!$E$23)^16</f>
        <v>4120.4910696272173</v>
      </c>
      <c r="GY6" s="106">
        <f>Assumptions!$E$16*(1-Assumptions!$E$23)^17</f>
        <v>4099.8886142790816</v>
      </c>
      <c r="GZ6" s="106">
        <f>Assumptions!$E$16*(1-Assumptions!$E$23)^17</f>
        <v>4099.8886142790816</v>
      </c>
      <c r="HA6" s="106">
        <f>Assumptions!$E$16*(1-Assumptions!$E$23)^17</f>
        <v>4099.8886142790816</v>
      </c>
      <c r="HB6" s="106">
        <f>Assumptions!$E$16*(1-Assumptions!$E$23)^17</f>
        <v>4099.8886142790816</v>
      </c>
      <c r="HC6" s="106">
        <f>Assumptions!$E$16*(1-Assumptions!$E$23)^17</f>
        <v>4099.8886142790816</v>
      </c>
      <c r="HD6" s="106">
        <f>Assumptions!$E$16*(1-Assumptions!$E$23)^17</f>
        <v>4099.8886142790816</v>
      </c>
      <c r="HE6" s="106">
        <f>Assumptions!$E$16*(1-Assumptions!$E$23)^17</f>
        <v>4099.8886142790816</v>
      </c>
      <c r="HF6" s="106">
        <f>Assumptions!$E$16*(1-Assumptions!$E$23)^17</f>
        <v>4099.8886142790816</v>
      </c>
      <c r="HG6" s="106">
        <f>Assumptions!$E$16*(1-Assumptions!$E$23)^17</f>
        <v>4099.8886142790816</v>
      </c>
      <c r="HH6" s="106">
        <f>Assumptions!$E$16*(1-Assumptions!$E$23)^17</f>
        <v>4099.8886142790816</v>
      </c>
      <c r="HI6" s="106">
        <f>Assumptions!$E$16*(1-Assumptions!$E$23)^17</f>
        <v>4099.8886142790816</v>
      </c>
      <c r="HJ6" s="106">
        <f>Assumptions!$E$16*(1-Assumptions!$E$23)^17</f>
        <v>4099.8886142790816</v>
      </c>
      <c r="HK6" s="106">
        <f>Assumptions!$E$16*(1-Assumptions!$E$23)^18</f>
        <v>4079.3891712076861</v>
      </c>
      <c r="HL6" s="106">
        <f>Assumptions!$E$16*(1-Assumptions!$E$23)^18</f>
        <v>4079.3891712076861</v>
      </c>
      <c r="HM6" s="106">
        <f>Assumptions!$E$16*(1-Assumptions!$E$23)^18</f>
        <v>4079.3891712076861</v>
      </c>
      <c r="HN6" s="106">
        <f>Assumptions!$E$16*(1-Assumptions!$E$23)^18</f>
        <v>4079.3891712076861</v>
      </c>
      <c r="HO6" s="106">
        <f>Assumptions!$E$16*(1-Assumptions!$E$23)^18</f>
        <v>4079.3891712076861</v>
      </c>
      <c r="HP6" s="106">
        <f>Assumptions!$E$16*(1-Assumptions!$E$23)^18</f>
        <v>4079.3891712076861</v>
      </c>
      <c r="HQ6" s="106">
        <f>Assumptions!$E$16*(1-Assumptions!$E$23)^18</f>
        <v>4079.3891712076861</v>
      </c>
      <c r="HR6" s="106">
        <f>Assumptions!$E$16*(1-Assumptions!$E$23)^18</f>
        <v>4079.3891712076861</v>
      </c>
      <c r="HS6" s="106">
        <f>Assumptions!$E$16*(1-Assumptions!$E$23)^18</f>
        <v>4079.3891712076861</v>
      </c>
      <c r="HT6" s="106">
        <f>Assumptions!$E$16*(1-Assumptions!$E$23)^18</f>
        <v>4079.3891712076861</v>
      </c>
      <c r="HU6" s="106">
        <f>Assumptions!$E$16*(1-Assumptions!$E$23)^18</f>
        <v>4079.3891712076861</v>
      </c>
      <c r="HV6" s="106">
        <f>Assumptions!$E$16*(1-Assumptions!$E$23)^18</f>
        <v>4079.3891712076861</v>
      </c>
      <c r="HW6" s="106">
        <f>Assumptions!$E$16*(1-Assumptions!$E$23)^19</f>
        <v>4058.9922253516474</v>
      </c>
      <c r="HX6" s="106">
        <f>Assumptions!$E$16*(1-Assumptions!$E$23)^19</f>
        <v>4058.9922253516474</v>
      </c>
      <c r="HY6" s="106">
        <f>Assumptions!$E$16*(1-Assumptions!$E$23)^19</f>
        <v>4058.9922253516474</v>
      </c>
      <c r="HZ6" s="106">
        <f>Assumptions!$E$16*(1-Assumptions!$E$23)^19</f>
        <v>4058.9922253516474</v>
      </c>
      <c r="IA6" s="106">
        <f>Assumptions!$E$16*(1-Assumptions!$E$23)^19</f>
        <v>4058.9922253516474</v>
      </c>
      <c r="IB6" s="106">
        <f>Assumptions!$E$16*(1-Assumptions!$E$23)^19</f>
        <v>4058.9922253516474</v>
      </c>
      <c r="IC6" s="106">
        <f>Assumptions!$E$16*(1-Assumptions!$E$23)^19</f>
        <v>4058.9922253516474</v>
      </c>
      <c r="ID6" s="106">
        <f>Assumptions!$E$16*(1-Assumptions!$E$23)^19</f>
        <v>4058.9922253516474</v>
      </c>
      <c r="IE6" s="106">
        <f>Assumptions!$E$16*(1-Assumptions!$E$23)^19</f>
        <v>4058.9922253516474</v>
      </c>
      <c r="IF6" s="106">
        <f>Assumptions!$E$16*(1-Assumptions!$E$23)^19</f>
        <v>4058.9922253516474</v>
      </c>
      <c r="IG6" s="106">
        <f>Assumptions!$E$16*(1-Assumptions!$E$23)^19</f>
        <v>4058.9922253516474</v>
      </c>
      <c r="IH6" s="106">
        <f>Assumptions!$E$16*(1-Assumptions!$E$23)^19</f>
        <v>4058.9922253516474</v>
      </c>
      <c r="II6" s="106">
        <f>Assumptions!$E$16*(1-Assumptions!$E$23)^20</f>
        <v>4038.6972642248893</v>
      </c>
      <c r="IJ6" s="106">
        <f>Assumptions!$E$16*(1-Assumptions!$E$23)^20</f>
        <v>4038.6972642248893</v>
      </c>
      <c r="IK6" s="106">
        <f>Assumptions!$E$16*(1-Assumptions!$E$23)^20</f>
        <v>4038.6972642248893</v>
      </c>
      <c r="IL6" s="106">
        <f>Assumptions!$E$16*(1-Assumptions!$E$23)^20</f>
        <v>4038.6972642248893</v>
      </c>
      <c r="IM6" s="106">
        <f>Assumptions!$E$16*(1-Assumptions!$E$23)^20</f>
        <v>4038.6972642248893</v>
      </c>
      <c r="IN6" s="106">
        <f>Assumptions!$E$16*(1-Assumptions!$E$23)^20</f>
        <v>4038.6972642248893</v>
      </c>
      <c r="IO6" s="106">
        <f>Assumptions!$E$16*(1-Assumptions!$E$23)^20</f>
        <v>4038.6972642248893</v>
      </c>
      <c r="IP6" s="106">
        <f>Assumptions!$E$16*(1-Assumptions!$E$23)^20</f>
        <v>4038.6972642248893</v>
      </c>
      <c r="IQ6" s="106">
        <f>Assumptions!$E$16*(1-Assumptions!$E$23)^20</f>
        <v>4038.6972642248893</v>
      </c>
      <c r="IR6" s="106">
        <f>Assumptions!$E$16*(1-Assumptions!$E$23)^20</f>
        <v>4038.6972642248893</v>
      </c>
      <c r="IS6" s="106">
        <f>Assumptions!$E$16*(1-Assumptions!$E$23)^20</f>
        <v>4038.6972642248893</v>
      </c>
      <c r="IT6" s="106">
        <f>Assumptions!$E$16*(1-Assumptions!$E$23)^20</f>
        <v>4038.6972642248893</v>
      </c>
      <c r="IU6" s="106">
        <f>Assumptions!$E$16*(1-Assumptions!$E$23)^21</f>
        <v>4018.5037779037648</v>
      </c>
      <c r="IV6" s="106">
        <f>Assumptions!$E$16*(1-Assumptions!$E$23)^21</f>
        <v>4018.5037779037648</v>
      </c>
      <c r="IW6" s="106">
        <f>Assumptions!$E$16*(1-Assumptions!$E$23)^21</f>
        <v>4018.5037779037648</v>
      </c>
      <c r="IX6" s="106">
        <f>Assumptions!$E$16*(1-Assumptions!$E$23)^21</f>
        <v>4018.5037779037648</v>
      </c>
      <c r="IY6" s="106">
        <f>Assumptions!$E$16*(1-Assumptions!$E$23)^21</f>
        <v>4018.5037779037648</v>
      </c>
      <c r="IZ6" s="106">
        <f>Assumptions!$E$16*(1-Assumptions!$E$23)^21</f>
        <v>4018.5037779037648</v>
      </c>
      <c r="JA6" s="106">
        <f>Assumptions!$E$16*(1-Assumptions!$E$23)^21</f>
        <v>4018.5037779037648</v>
      </c>
      <c r="JB6" s="106">
        <f>Assumptions!$E$16*(1-Assumptions!$E$23)^21</f>
        <v>4018.5037779037648</v>
      </c>
      <c r="JC6" s="106">
        <f>Assumptions!$E$16*(1-Assumptions!$E$23)^21</f>
        <v>4018.5037779037648</v>
      </c>
      <c r="JD6" s="106">
        <f>Assumptions!$E$16*(1-Assumptions!$E$23)^21</f>
        <v>4018.5037779037648</v>
      </c>
      <c r="JE6" s="106">
        <f>Assumptions!$E$16*(1-Assumptions!$E$23)^21</f>
        <v>4018.5037779037648</v>
      </c>
      <c r="JF6" s="106">
        <f>Assumptions!$E$16*(1-Assumptions!$E$23)^21</f>
        <v>4018.5037779037648</v>
      </c>
      <c r="JG6" s="106">
        <f>Assumptions!$E$16*(1-Assumptions!$E$23)^22</f>
        <v>3998.4112590142463</v>
      </c>
      <c r="JH6" s="106">
        <f>Assumptions!$E$16*(1-Assumptions!$E$23)^22</f>
        <v>3998.4112590142463</v>
      </c>
      <c r="JI6" s="106">
        <f>Assumptions!$E$16*(1-Assumptions!$E$23)^22</f>
        <v>3998.4112590142463</v>
      </c>
      <c r="JJ6" s="106">
        <f>Assumptions!$E$16*(1-Assumptions!$E$23)^22</f>
        <v>3998.4112590142463</v>
      </c>
      <c r="JK6" s="106">
        <f>Assumptions!$E$16*(1-Assumptions!$E$23)^22</f>
        <v>3998.4112590142463</v>
      </c>
      <c r="JL6" s="106">
        <f>Assumptions!$E$16*(1-Assumptions!$E$23)^22</f>
        <v>3998.4112590142463</v>
      </c>
      <c r="JM6" s="106">
        <f>Assumptions!$E$16*(1-Assumptions!$E$23)^22</f>
        <v>3998.4112590142463</v>
      </c>
      <c r="JN6" s="106">
        <f>Assumptions!$E$16*(1-Assumptions!$E$23)^22</f>
        <v>3998.4112590142463</v>
      </c>
      <c r="JO6" s="106">
        <f>Assumptions!$E$16*(1-Assumptions!$E$23)^22</f>
        <v>3998.4112590142463</v>
      </c>
      <c r="JP6" s="106">
        <f>Assumptions!$E$16*(1-Assumptions!$E$23)^22</f>
        <v>3998.4112590142463</v>
      </c>
      <c r="JQ6" s="106">
        <f>Assumptions!$E$16*(1-Assumptions!$E$23)^22</f>
        <v>3998.4112590142463</v>
      </c>
      <c r="JR6" s="106">
        <f>Assumptions!$E$16*(1-Assumptions!$E$23)^22</f>
        <v>3998.4112590142463</v>
      </c>
      <c r="JS6" s="106">
        <f>Assumptions!$E$16*(1-Assumptions!$E$23)^23</f>
        <v>3978.4192027191748</v>
      </c>
      <c r="JT6" s="106">
        <f>Assumptions!$E$16*(1-Assumptions!$E$23)^23</f>
        <v>3978.4192027191748</v>
      </c>
      <c r="JU6" s="106">
        <f>Assumptions!$E$16*(1-Assumptions!$E$23)^23</f>
        <v>3978.4192027191748</v>
      </c>
      <c r="JV6" s="106">
        <f>Assumptions!$E$16*(1-Assumptions!$E$23)^23</f>
        <v>3978.4192027191748</v>
      </c>
      <c r="JW6" s="106">
        <f>Assumptions!$E$16*(1-Assumptions!$E$23)^23</f>
        <v>3978.4192027191748</v>
      </c>
      <c r="JX6" s="106">
        <f>Assumptions!$E$16*(1-Assumptions!$E$23)^23</f>
        <v>3978.4192027191748</v>
      </c>
      <c r="JY6" s="106">
        <f>Assumptions!$E$16*(1-Assumptions!$E$23)^23</f>
        <v>3978.4192027191748</v>
      </c>
      <c r="JZ6" s="106">
        <f>Assumptions!$E$16*(1-Assumptions!$E$23)^23</f>
        <v>3978.4192027191748</v>
      </c>
      <c r="KA6" s="106">
        <f>Assumptions!$E$16*(1-Assumptions!$E$23)^23</f>
        <v>3978.4192027191748</v>
      </c>
      <c r="KB6" s="106">
        <f>Assumptions!$E$16*(1-Assumptions!$E$23)^23</f>
        <v>3978.4192027191748</v>
      </c>
      <c r="KC6" s="106">
        <f>Assumptions!$E$16*(1-Assumptions!$E$23)^23</f>
        <v>3978.4192027191748</v>
      </c>
      <c r="KD6" s="106">
        <f>Assumptions!$E$16*(1-Assumptions!$E$23)^23</f>
        <v>3978.4192027191748</v>
      </c>
      <c r="KE6" s="106">
        <f>Assumptions!$E$16*(1-Assumptions!$E$23)^24</f>
        <v>3958.5271067055792</v>
      </c>
      <c r="KF6" s="106">
        <f>Assumptions!$E$16*(1-Assumptions!$E$23)^24</f>
        <v>3958.5271067055792</v>
      </c>
      <c r="KG6" s="106">
        <f>Assumptions!$E$16*(1-Assumptions!$E$23)^24</f>
        <v>3958.5271067055792</v>
      </c>
      <c r="KH6" s="106">
        <f>Assumptions!$E$16*(1-Assumptions!$E$23)^24</f>
        <v>3958.5271067055792</v>
      </c>
      <c r="KI6" s="106">
        <f>Assumptions!$E$16*(1-Assumptions!$E$23)^24</f>
        <v>3958.5271067055792</v>
      </c>
      <c r="KJ6" s="106">
        <f>Assumptions!$E$16*(1-Assumptions!$E$23)^24</f>
        <v>3958.5271067055792</v>
      </c>
      <c r="KK6" s="106">
        <f>Assumptions!$E$16*(1-Assumptions!$E$23)^24</f>
        <v>3958.5271067055792</v>
      </c>
      <c r="KL6" s="106">
        <f>Assumptions!$E$16*(1-Assumptions!$E$23)^24</f>
        <v>3958.5271067055792</v>
      </c>
      <c r="KM6" s="106">
        <f>Assumptions!$E$16*(1-Assumptions!$E$23)^24</f>
        <v>3958.5271067055792</v>
      </c>
      <c r="KN6" s="106">
        <f>Assumptions!$E$16*(1-Assumptions!$E$23)^24</f>
        <v>3958.5271067055792</v>
      </c>
      <c r="KO6" s="106">
        <f>Assumptions!$E$16*(1-Assumptions!$E$23)^24</f>
        <v>3958.5271067055792</v>
      </c>
      <c r="KP6" s="106">
        <f>Assumptions!$E$16*(1-Assumptions!$E$23)^24</f>
        <v>3958.5271067055792</v>
      </c>
    </row>
    <row r="7" spans="1:302" ht="16" customHeight="1" x14ac:dyDescent="0.2">
      <c r="A7" s="104" t="s">
        <v>441</v>
      </c>
      <c r="B7" s="105" t="s">
        <v>10</v>
      </c>
      <c r="C7" s="107">
        <f>Assumptions!$E$40</f>
        <v>45</v>
      </c>
      <c r="D7" s="107">
        <f>Assumptions!$E$40</f>
        <v>45</v>
      </c>
      <c r="E7" s="107">
        <f>Assumptions!$E$40</f>
        <v>45</v>
      </c>
      <c r="F7" s="107">
        <f>Assumptions!$E$40</f>
        <v>45</v>
      </c>
      <c r="G7" s="107">
        <f>Assumptions!$E$40</f>
        <v>45</v>
      </c>
      <c r="H7" s="107">
        <f>Assumptions!$E$40</f>
        <v>45</v>
      </c>
      <c r="I7" s="107">
        <f>Assumptions!$E$40</f>
        <v>45</v>
      </c>
      <c r="J7" s="107">
        <f>Assumptions!$E$40</f>
        <v>45</v>
      </c>
      <c r="K7" s="107">
        <f>Assumptions!$E$40</f>
        <v>45</v>
      </c>
      <c r="L7" s="107">
        <f>Assumptions!$E$40</f>
        <v>45</v>
      </c>
      <c r="M7" s="107">
        <f>Assumptions!$E$40</f>
        <v>45</v>
      </c>
      <c r="N7" s="107">
        <f>Assumptions!$E$40</f>
        <v>45</v>
      </c>
      <c r="O7" s="107">
        <f>Assumptions!$E$40</f>
        <v>45</v>
      </c>
      <c r="P7" s="107">
        <f>Assumptions!$E$40</f>
        <v>45</v>
      </c>
      <c r="Q7" s="107">
        <f>Assumptions!$E$40</f>
        <v>45</v>
      </c>
      <c r="R7" s="107">
        <f>Assumptions!$E$40</f>
        <v>45</v>
      </c>
      <c r="S7" s="107">
        <f>Assumptions!$E$40</f>
        <v>45</v>
      </c>
      <c r="T7" s="107">
        <f>Assumptions!$E$40</f>
        <v>45</v>
      </c>
      <c r="U7" s="107">
        <f>Assumptions!$E$40</f>
        <v>45</v>
      </c>
      <c r="V7" s="107">
        <f>Assumptions!$E$40</f>
        <v>45</v>
      </c>
      <c r="W7" s="107">
        <f>Assumptions!$E$40</f>
        <v>45</v>
      </c>
      <c r="X7" s="107">
        <f>Assumptions!$E$40</f>
        <v>45</v>
      </c>
      <c r="Y7" s="107">
        <f>Assumptions!$E$40</f>
        <v>45</v>
      </c>
      <c r="Z7" s="107">
        <f>Assumptions!$E$40</f>
        <v>45</v>
      </c>
      <c r="AA7" s="107">
        <f>Assumptions!$E$40</f>
        <v>45</v>
      </c>
      <c r="AB7" s="107">
        <f>Assumptions!$E$40</f>
        <v>45</v>
      </c>
      <c r="AC7" s="107">
        <f>Assumptions!$E$40</f>
        <v>45</v>
      </c>
      <c r="AD7" s="107">
        <f>Assumptions!$E$40</f>
        <v>45</v>
      </c>
      <c r="AE7" s="107">
        <f>Assumptions!$E$40</f>
        <v>45</v>
      </c>
      <c r="AF7" s="107">
        <f>Assumptions!$E$40</f>
        <v>45</v>
      </c>
      <c r="AG7" s="107">
        <f>Assumptions!$E$40</f>
        <v>45</v>
      </c>
      <c r="AH7" s="107">
        <f>Assumptions!$E$40</f>
        <v>45</v>
      </c>
      <c r="AI7" s="107">
        <f>Assumptions!$E$40</f>
        <v>45</v>
      </c>
      <c r="AJ7" s="107">
        <f>Assumptions!$E$40</f>
        <v>45</v>
      </c>
      <c r="AK7" s="107">
        <f>Assumptions!$E$40</f>
        <v>45</v>
      </c>
      <c r="AL7" s="107">
        <f>Assumptions!$E$40</f>
        <v>45</v>
      </c>
      <c r="AM7" s="107">
        <f>Assumptions!$E$40</f>
        <v>45</v>
      </c>
      <c r="AN7" s="107">
        <f>Assumptions!$E$40</f>
        <v>45</v>
      </c>
      <c r="AO7" s="107">
        <f>Assumptions!$E$40</f>
        <v>45</v>
      </c>
      <c r="AP7" s="107">
        <f>Assumptions!$E$40</f>
        <v>45</v>
      </c>
      <c r="AQ7" s="107">
        <f>Assumptions!$E$40</f>
        <v>45</v>
      </c>
      <c r="AR7" s="107">
        <f>Assumptions!$E$40</f>
        <v>45</v>
      </c>
      <c r="AS7" s="107">
        <f>Assumptions!$E$40</f>
        <v>45</v>
      </c>
      <c r="AT7" s="107">
        <f>Assumptions!$E$40</f>
        <v>45</v>
      </c>
      <c r="AU7" s="107">
        <f>Assumptions!$E$40</f>
        <v>45</v>
      </c>
      <c r="AV7" s="107">
        <f>Assumptions!$E$40</f>
        <v>45</v>
      </c>
      <c r="AW7" s="107">
        <f>Assumptions!$E$40</f>
        <v>45</v>
      </c>
      <c r="AX7" s="107">
        <f>Assumptions!$E$40</f>
        <v>45</v>
      </c>
      <c r="AY7" s="107">
        <f>Assumptions!$E$40</f>
        <v>45</v>
      </c>
      <c r="AZ7" s="107">
        <f>Assumptions!$E$40</f>
        <v>45</v>
      </c>
      <c r="BA7" s="107">
        <f>Assumptions!$E$40</f>
        <v>45</v>
      </c>
      <c r="BB7" s="107">
        <f>Assumptions!$E$40</f>
        <v>45</v>
      </c>
      <c r="BC7" s="107">
        <f>Assumptions!$E$40</f>
        <v>45</v>
      </c>
      <c r="BD7" s="107">
        <f>Assumptions!$E$40</f>
        <v>45</v>
      </c>
      <c r="BE7" s="107">
        <f>Assumptions!$E$40</f>
        <v>45</v>
      </c>
      <c r="BF7" s="107">
        <f>Assumptions!$E$40</f>
        <v>45</v>
      </c>
      <c r="BG7" s="107">
        <f>Assumptions!$E$40</f>
        <v>45</v>
      </c>
      <c r="BH7" s="107">
        <f>Assumptions!$E$40</f>
        <v>45</v>
      </c>
      <c r="BI7" s="107">
        <f>Assumptions!$E$40</f>
        <v>45</v>
      </c>
      <c r="BJ7" s="107">
        <f>Assumptions!$E$40</f>
        <v>45</v>
      </c>
      <c r="BK7" s="107">
        <f>Assumptions!$E$40</f>
        <v>45</v>
      </c>
      <c r="BL7" s="107">
        <f>Assumptions!$E$40</f>
        <v>45</v>
      </c>
      <c r="BM7" s="107">
        <f>Assumptions!$E$40</f>
        <v>45</v>
      </c>
      <c r="BN7" s="107">
        <f>Assumptions!$E$40</f>
        <v>45</v>
      </c>
      <c r="BO7" s="107">
        <f>Assumptions!$E$40</f>
        <v>45</v>
      </c>
      <c r="BP7" s="107">
        <f>Assumptions!$E$40</f>
        <v>45</v>
      </c>
      <c r="BQ7" s="107">
        <f>Assumptions!$E$40</f>
        <v>45</v>
      </c>
      <c r="BR7" s="107">
        <f>Assumptions!$E$40</f>
        <v>45</v>
      </c>
      <c r="BS7" s="107">
        <f>Assumptions!$E$40</f>
        <v>45</v>
      </c>
      <c r="BT7" s="107">
        <f>Assumptions!$E$40</f>
        <v>45</v>
      </c>
      <c r="BU7" s="107">
        <f>Assumptions!$E$40</f>
        <v>45</v>
      </c>
      <c r="BV7" s="107">
        <f>Assumptions!$E$40</f>
        <v>45</v>
      </c>
      <c r="BW7" s="107">
        <f>Assumptions!$E$40</f>
        <v>45</v>
      </c>
      <c r="BX7" s="107">
        <f>Assumptions!$E$40</f>
        <v>45</v>
      </c>
      <c r="BY7" s="107">
        <f>Assumptions!$E$40</f>
        <v>45</v>
      </c>
      <c r="BZ7" s="107">
        <f>Assumptions!$E$40</f>
        <v>45</v>
      </c>
      <c r="CA7" s="107">
        <f>Assumptions!$E$40</f>
        <v>45</v>
      </c>
      <c r="CB7" s="107">
        <f>Assumptions!$E$40</f>
        <v>45</v>
      </c>
      <c r="CC7" s="107">
        <f>Assumptions!$E$40</f>
        <v>45</v>
      </c>
      <c r="CD7" s="107">
        <f>Assumptions!$E$40</f>
        <v>45</v>
      </c>
      <c r="CE7" s="107">
        <f>Assumptions!$E$40</f>
        <v>45</v>
      </c>
      <c r="CF7" s="107">
        <f>Assumptions!$E$40</f>
        <v>45</v>
      </c>
      <c r="CG7" s="107">
        <f>Assumptions!$E$40</f>
        <v>45</v>
      </c>
      <c r="CH7" s="107">
        <f>Assumptions!$E$40</f>
        <v>45</v>
      </c>
      <c r="CI7" s="107">
        <f>Assumptions!$E$40</f>
        <v>45</v>
      </c>
      <c r="CJ7" s="107">
        <f>Assumptions!$E$40</f>
        <v>45</v>
      </c>
      <c r="CK7" s="107">
        <f>Assumptions!$E$40</f>
        <v>45</v>
      </c>
      <c r="CL7" s="107">
        <f>Assumptions!$E$40</f>
        <v>45</v>
      </c>
      <c r="CM7" s="107">
        <f>Assumptions!$E$40</f>
        <v>45</v>
      </c>
      <c r="CN7" s="107">
        <f>Assumptions!$E$40</f>
        <v>45</v>
      </c>
      <c r="CO7" s="107">
        <f>Assumptions!$E$40</f>
        <v>45</v>
      </c>
      <c r="CP7" s="107">
        <f>Assumptions!$E$40</f>
        <v>45</v>
      </c>
      <c r="CQ7" s="107">
        <f>Assumptions!$E$40</f>
        <v>45</v>
      </c>
      <c r="CR7" s="107">
        <f>Assumptions!$E$40</f>
        <v>45</v>
      </c>
      <c r="CS7" s="107">
        <f>Assumptions!$E$40</f>
        <v>45</v>
      </c>
      <c r="CT7" s="107">
        <f>Assumptions!$E$40</f>
        <v>45</v>
      </c>
      <c r="CU7" s="107">
        <f>Assumptions!$E$40</f>
        <v>45</v>
      </c>
      <c r="CV7" s="107">
        <f>Assumptions!$E$40</f>
        <v>45</v>
      </c>
      <c r="CW7" s="107">
        <f>Assumptions!$E$40</f>
        <v>45</v>
      </c>
      <c r="CX7" s="107">
        <f>Assumptions!$E$40</f>
        <v>45</v>
      </c>
      <c r="CY7" s="107">
        <f>Assumptions!$E$40</f>
        <v>45</v>
      </c>
      <c r="CZ7" s="107">
        <f>Assumptions!$E$40</f>
        <v>45</v>
      </c>
      <c r="DA7" s="107">
        <f>Assumptions!$E$40</f>
        <v>45</v>
      </c>
      <c r="DB7" s="107">
        <f>Assumptions!$E$40</f>
        <v>45</v>
      </c>
      <c r="DC7" s="107">
        <f>Assumptions!$E$40</f>
        <v>45</v>
      </c>
      <c r="DD7" s="107">
        <f>Assumptions!$E$40</f>
        <v>45</v>
      </c>
      <c r="DE7" s="107">
        <f>Assumptions!$E$40</f>
        <v>45</v>
      </c>
      <c r="DF7" s="107">
        <f>Assumptions!$E$40</f>
        <v>45</v>
      </c>
      <c r="DG7" s="107">
        <f>Assumptions!$E$40</f>
        <v>45</v>
      </c>
      <c r="DH7" s="107">
        <f>Assumptions!$E$40</f>
        <v>45</v>
      </c>
      <c r="DI7" s="107">
        <f>Assumptions!$E$40</f>
        <v>45</v>
      </c>
      <c r="DJ7" s="107">
        <f>Assumptions!$E$40</f>
        <v>45</v>
      </c>
      <c r="DK7" s="107">
        <f>Assumptions!$E$40</f>
        <v>45</v>
      </c>
      <c r="DL7" s="107">
        <f>Assumptions!$E$40</f>
        <v>45</v>
      </c>
      <c r="DM7" s="107">
        <f>Assumptions!$E$40</f>
        <v>45</v>
      </c>
      <c r="DN7" s="107">
        <f>Assumptions!$E$40</f>
        <v>45</v>
      </c>
      <c r="DO7" s="107">
        <f>Assumptions!$E$40</f>
        <v>45</v>
      </c>
      <c r="DP7" s="107">
        <f>Assumptions!$E$40</f>
        <v>45</v>
      </c>
      <c r="DQ7" s="107">
        <f>Assumptions!$E$40</f>
        <v>45</v>
      </c>
      <c r="DR7" s="107">
        <f>Assumptions!$E$40</f>
        <v>45</v>
      </c>
      <c r="DS7" s="107">
        <f>Simulation!$E$127</f>
        <v>82.122299999999996</v>
      </c>
      <c r="DT7" s="107">
        <f>Simulation!$E$128</f>
        <v>82.745099999999994</v>
      </c>
      <c r="DU7" s="107">
        <f>Simulation!$E$129</f>
        <v>82.751900000000006</v>
      </c>
      <c r="DV7" s="107">
        <f>Simulation!$E$130</f>
        <v>82.257000000000005</v>
      </c>
      <c r="DW7" s="107">
        <f>Simulation!$E$131</f>
        <v>82.603800000000007</v>
      </c>
      <c r="DX7" s="107">
        <f>Simulation!$E$132</f>
        <v>82.894099999999995</v>
      </c>
      <c r="DY7" s="107">
        <f>Simulation!$E$133</f>
        <v>82.718400000000003</v>
      </c>
      <c r="DZ7" s="107">
        <f>Simulation!$E$134</f>
        <v>82.4328</v>
      </c>
      <c r="EA7" s="107">
        <f>Simulation!$E$135</f>
        <v>82.688599999999994</v>
      </c>
      <c r="EB7" s="107">
        <f>Simulation!$E$136</f>
        <v>82.362300000000005</v>
      </c>
      <c r="EC7" s="107">
        <f>Simulation!$E$137</f>
        <v>82.827699999999993</v>
      </c>
      <c r="ED7" s="107">
        <f>Simulation!$E$138</f>
        <v>81.812700000000007</v>
      </c>
      <c r="EE7" s="107">
        <f>Simulation!$E$139</f>
        <v>82.221199999999996</v>
      </c>
      <c r="EF7" s="107">
        <f>Simulation!$E$140</f>
        <v>81.778899999999993</v>
      </c>
      <c r="EG7" s="107">
        <f>Simulation!$E$141</f>
        <v>81.7453</v>
      </c>
      <c r="EH7" s="107">
        <f>Simulation!$E$142</f>
        <v>82.183599999999998</v>
      </c>
      <c r="EI7" s="107">
        <f>Simulation!$E$143</f>
        <v>81.956900000000005</v>
      </c>
      <c r="EJ7" s="107">
        <f>Simulation!$E$144</f>
        <v>82.466499999999996</v>
      </c>
      <c r="EK7" s="107">
        <f>Simulation!$E$145</f>
        <v>81.946399999999997</v>
      </c>
      <c r="EL7" s="107">
        <f>Simulation!$E$146</f>
        <v>82.638800000000003</v>
      </c>
      <c r="EM7" s="107">
        <f>Simulation!$E$147</f>
        <v>82.496200000000002</v>
      </c>
      <c r="EN7" s="107">
        <f>Simulation!$E$148</f>
        <v>81.496799999999993</v>
      </c>
      <c r="EO7" s="107">
        <f>Simulation!$E$149</f>
        <v>82.215800000000002</v>
      </c>
      <c r="EP7" s="107">
        <f>Simulation!$E$150</f>
        <v>82.233999999999995</v>
      </c>
      <c r="EQ7" s="107">
        <f>Simulation!$E$151</f>
        <v>82.255300000000005</v>
      </c>
      <c r="ER7" s="107">
        <f>Simulation!$E$152</f>
        <v>83.132000000000005</v>
      </c>
      <c r="ES7" s="107">
        <f>Simulation!$E$153</f>
        <v>82.667299999999997</v>
      </c>
      <c r="ET7" s="107">
        <f>Simulation!$E$154</f>
        <v>82.209100000000007</v>
      </c>
      <c r="EU7" s="107">
        <f>Simulation!$E$155</f>
        <v>82.221999999999994</v>
      </c>
      <c r="EV7" s="107">
        <f>Simulation!$E$156</f>
        <v>82.213700000000003</v>
      </c>
      <c r="EW7" s="107">
        <f>Simulation!$E$157</f>
        <v>81.928600000000003</v>
      </c>
      <c r="EX7" s="107">
        <f>Simulation!$E$158</f>
        <v>82.410600000000002</v>
      </c>
      <c r="EY7" s="107">
        <f>Simulation!$E$159</f>
        <v>82.346599999999995</v>
      </c>
      <c r="EZ7" s="107">
        <f>Simulation!$E$160</f>
        <v>82.359800000000007</v>
      </c>
      <c r="FA7" s="107">
        <f>Simulation!$E$161</f>
        <v>82.299000000000007</v>
      </c>
      <c r="FB7" s="107">
        <f>Simulation!$E$162</f>
        <v>82.423500000000004</v>
      </c>
      <c r="FC7" s="107">
        <f>Simulation!$E$163</f>
        <v>82.469399999999993</v>
      </c>
      <c r="FD7" s="107">
        <f>Simulation!$E$164</f>
        <v>82.018500000000003</v>
      </c>
      <c r="FE7" s="107">
        <f>Simulation!$E$165</f>
        <v>81.557400000000001</v>
      </c>
      <c r="FF7" s="107">
        <f>Simulation!$E$166</f>
        <v>81.768799999999999</v>
      </c>
      <c r="FG7" s="107">
        <f>Simulation!$E$167</f>
        <v>82.294899999999998</v>
      </c>
      <c r="FH7" s="107">
        <f>Simulation!$E$168</f>
        <v>82.221500000000006</v>
      </c>
      <c r="FI7" s="107">
        <f>Simulation!$E$169</f>
        <v>82.071399999999997</v>
      </c>
      <c r="FJ7" s="107">
        <f>Simulation!$E$170</f>
        <v>81.896799999999999</v>
      </c>
      <c r="FK7" s="107">
        <f>Simulation!$E$171</f>
        <v>81.739900000000006</v>
      </c>
      <c r="FL7" s="107">
        <f>Simulation!$E$172</f>
        <v>81.491</v>
      </c>
      <c r="FM7" s="107">
        <f>Simulation!$E$173</f>
        <v>81.566199999999995</v>
      </c>
      <c r="FN7" s="107">
        <f>Simulation!$E$174</f>
        <v>81.475300000000004</v>
      </c>
      <c r="FO7" s="107">
        <f>Simulation!$E$175</f>
        <v>81.606300000000005</v>
      </c>
      <c r="FP7" s="107">
        <f>Simulation!$E$176</f>
        <v>80.913499999999999</v>
      </c>
      <c r="FQ7" s="107">
        <f>Simulation!$E$177</f>
        <v>81.512900000000002</v>
      </c>
      <c r="FR7" s="107">
        <f>Simulation!$E$178</f>
        <v>81.165899999999993</v>
      </c>
      <c r="FS7" s="107">
        <f>Simulation!$E$179</f>
        <v>81.237899999999996</v>
      </c>
      <c r="FT7" s="107">
        <f>Simulation!$E$180</f>
        <v>81.242900000000006</v>
      </c>
      <c r="FU7" s="107">
        <f>Simulation!$E$181</f>
        <v>81.580100000000002</v>
      </c>
      <c r="FV7" s="107">
        <f>Simulation!$E$182</f>
        <v>81.576999999999998</v>
      </c>
      <c r="FW7" s="107">
        <f>Simulation!$E$183</f>
        <v>80.906099999999995</v>
      </c>
      <c r="FX7" s="107">
        <f>Simulation!$E$184</f>
        <v>81.391199999999998</v>
      </c>
      <c r="FY7" s="107">
        <f>Simulation!$E$185</f>
        <v>81.014200000000002</v>
      </c>
      <c r="FZ7" s="107">
        <f>Simulation!$E$186</f>
        <v>80.567599999999999</v>
      </c>
      <c r="GA7" s="107">
        <f>Simulation!$E$187</f>
        <v>81.048699999999997</v>
      </c>
      <c r="GB7" s="107">
        <f>Simulation!$E$188</f>
        <v>80.875100000000003</v>
      </c>
      <c r="GC7" s="107">
        <f>Simulation!$E$189</f>
        <v>80.877099999999999</v>
      </c>
      <c r="GD7" s="107">
        <f>Simulation!$E$190</f>
        <v>80.6494</v>
      </c>
      <c r="GE7" s="107">
        <f>Simulation!$E$191</f>
        <v>80.401399999999995</v>
      </c>
      <c r="GF7" s="107">
        <f>Simulation!$E$192</f>
        <v>80.876099999999994</v>
      </c>
      <c r="GG7" s="107">
        <f>Simulation!$E$193</f>
        <v>80.2637</v>
      </c>
      <c r="GH7" s="107">
        <f>Simulation!$E$194</f>
        <v>80.817300000000003</v>
      </c>
      <c r="GI7" s="107">
        <f>Simulation!$E$195</f>
        <v>80.858599999999996</v>
      </c>
      <c r="GJ7" s="107">
        <f>Simulation!$E$196</f>
        <v>80.525300000000001</v>
      </c>
      <c r="GK7" s="107">
        <f>Simulation!$E$197</f>
        <v>81.643299999999996</v>
      </c>
      <c r="GL7" s="107">
        <f>Simulation!$E$198</f>
        <v>81.180000000000007</v>
      </c>
      <c r="GM7" s="107">
        <f>Simulation!$E$199</f>
        <v>81.059899999999999</v>
      </c>
      <c r="GN7" s="107">
        <f>Simulation!$E$200</f>
        <v>80.699399999999997</v>
      </c>
      <c r="GO7" s="107">
        <f>Simulation!$E$201</f>
        <v>80.965699999999998</v>
      </c>
      <c r="GP7" s="107">
        <f>Simulation!$E$202</f>
        <v>80.991799999999998</v>
      </c>
      <c r="GQ7" s="107">
        <f>Simulation!$E$203</f>
        <v>80.596000000000004</v>
      </c>
      <c r="GR7" s="107">
        <f>Simulation!$E$204</f>
        <v>80.656499999999994</v>
      </c>
      <c r="GS7" s="107">
        <f>Simulation!$E$205</f>
        <v>80.607699999999994</v>
      </c>
      <c r="GT7" s="107">
        <f>Simulation!$E$206</f>
        <v>80.282200000000003</v>
      </c>
      <c r="GU7" s="107">
        <f>Simulation!$E$207</f>
        <v>79.915400000000005</v>
      </c>
      <c r="GV7" s="107">
        <f>Simulation!$E$208</f>
        <v>80.224299999999999</v>
      </c>
      <c r="GW7" s="107">
        <f>Simulation!$E$209</f>
        <v>80.041200000000003</v>
      </c>
      <c r="GX7" s="107">
        <f>Simulation!$E$210</f>
        <v>79.754300000000001</v>
      </c>
      <c r="GY7" s="107">
        <f>Simulation!$E$211</f>
        <v>80.366200000000006</v>
      </c>
      <c r="GZ7" s="107">
        <f>Simulation!$E$212</f>
        <v>80.201599999999999</v>
      </c>
      <c r="HA7" s="107">
        <f>Simulation!$E$213</f>
        <v>79.444400000000002</v>
      </c>
      <c r="HB7" s="107">
        <f>Simulation!$E$214</f>
        <v>80.195899999999995</v>
      </c>
      <c r="HC7" s="107">
        <f>Simulation!$E$215</f>
        <v>80.12</v>
      </c>
      <c r="HD7" s="107">
        <f>Simulation!$E$216</f>
        <v>79.732799999999997</v>
      </c>
      <c r="HE7" s="107">
        <f>Simulation!$E$217</f>
        <v>79.436899999999994</v>
      </c>
      <c r="HF7" s="107">
        <f>Simulation!$E$218</f>
        <v>79.624700000000004</v>
      </c>
      <c r="HG7" s="107">
        <f>Simulation!$E$219</f>
        <v>79.825199999999995</v>
      </c>
      <c r="HH7" s="107">
        <f>Simulation!$E$220</f>
        <v>79.832700000000003</v>
      </c>
      <c r="HI7" s="107">
        <f>Simulation!$E$221</f>
        <v>80.357699999999994</v>
      </c>
      <c r="HJ7" s="107">
        <f>Simulation!$E$222</f>
        <v>80.684200000000004</v>
      </c>
      <c r="HK7" s="107">
        <f>Simulation!$E$223</f>
        <v>80.174199999999999</v>
      </c>
      <c r="HL7" s="107">
        <f>Simulation!$E$224</f>
        <v>80.284999999999997</v>
      </c>
      <c r="HM7" s="107">
        <f>Simulation!$E$225</f>
        <v>80.638900000000007</v>
      </c>
      <c r="HN7" s="107">
        <f>Simulation!$E$226</f>
        <v>80.741200000000006</v>
      </c>
      <c r="HO7" s="107">
        <f>Simulation!$E$227</f>
        <v>80.913399999999996</v>
      </c>
      <c r="HP7" s="107">
        <f>Simulation!$E$228</f>
        <v>80.304400000000001</v>
      </c>
      <c r="HQ7" s="107">
        <f>Simulation!$E$229</f>
        <v>80.191999999999993</v>
      </c>
      <c r="HR7" s="107">
        <f>Simulation!$E$230</f>
        <v>80.528300000000002</v>
      </c>
      <c r="HS7" s="107">
        <f>Simulation!$E$231</f>
        <v>79.868200000000002</v>
      </c>
      <c r="HT7" s="107">
        <f>Simulation!$E$232</f>
        <v>80.306700000000006</v>
      </c>
      <c r="HU7" s="107">
        <f>Simulation!$E$233</f>
        <v>79.488100000000003</v>
      </c>
      <c r="HV7" s="107">
        <f>Simulation!$E$234</f>
        <v>79.432699999999997</v>
      </c>
      <c r="HW7" s="107">
        <f>Simulation!$E$235</f>
        <v>79.495599999999996</v>
      </c>
      <c r="HX7" s="107">
        <f>Simulation!$E$236</f>
        <v>79.587400000000002</v>
      </c>
      <c r="HY7" s="107">
        <f>Simulation!$E$237</f>
        <v>79.660399999999996</v>
      </c>
      <c r="HZ7" s="107">
        <f>Simulation!$E$238</f>
        <v>79.296499999999995</v>
      </c>
      <c r="IA7" s="107">
        <f>Simulation!$E$239</f>
        <v>79.743700000000004</v>
      </c>
      <c r="IB7" s="107">
        <f>Simulation!$E$240</f>
        <v>79.554100000000005</v>
      </c>
      <c r="IC7" s="107">
        <f>Simulation!$E$241</f>
        <v>79.680899999999994</v>
      </c>
      <c r="ID7" s="107">
        <f>Simulation!$E$242</f>
        <v>79.676000000000002</v>
      </c>
      <c r="IE7" s="107">
        <f>Simulation!$E$243</f>
        <v>79.6935</v>
      </c>
      <c r="IF7" s="107">
        <f>Simulation!$E$244</f>
        <v>79.744600000000005</v>
      </c>
      <c r="IG7" s="107">
        <f>Simulation!$E$245</f>
        <v>79.493099999999998</v>
      </c>
      <c r="IH7" s="107">
        <f>Simulation!$E$246</f>
        <v>79.669499999999999</v>
      </c>
      <c r="II7" s="107">
        <f>Simulation!$E$247</f>
        <v>79.484200000000001</v>
      </c>
      <c r="IJ7" s="107">
        <f>Simulation!$E$248</f>
        <v>78.8857</v>
      </c>
      <c r="IK7" s="107">
        <f>Simulation!$E$249</f>
        <v>79.354699999999994</v>
      </c>
      <c r="IL7" s="107">
        <f>Simulation!$E$250</f>
        <v>78.630799999999994</v>
      </c>
      <c r="IM7" s="107">
        <f>Simulation!$E$251</f>
        <v>78.583399999999997</v>
      </c>
      <c r="IN7" s="107">
        <f>Simulation!$E$252</f>
        <v>78.869200000000006</v>
      </c>
      <c r="IO7" s="107">
        <f>Simulation!$E$253</f>
        <v>78.778899999999993</v>
      </c>
      <c r="IP7" s="107">
        <f>Simulation!$E$254</f>
        <v>78.953100000000006</v>
      </c>
      <c r="IQ7" s="107">
        <f>Simulation!$E$255</f>
        <v>78.660200000000003</v>
      </c>
      <c r="IR7" s="107">
        <f>Simulation!$E$256</f>
        <v>78.619299999999996</v>
      </c>
      <c r="IS7" s="107">
        <f>Simulation!$E$257</f>
        <v>78.760199999999998</v>
      </c>
      <c r="IT7" s="107">
        <f>Simulation!$E$258</f>
        <v>78.669899999999998</v>
      </c>
      <c r="IU7" s="107">
        <f>Simulation!$E$259</f>
        <v>78.921899999999994</v>
      </c>
      <c r="IV7" s="107">
        <f>Simulation!$E$260</f>
        <v>78.997299999999996</v>
      </c>
      <c r="IW7" s="107">
        <f>Simulation!$E$261</f>
        <v>78.606999999999999</v>
      </c>
      <c r="IX7" s="107">
        <f>Simulation!$E$262</f>
        <v>78.361199999999997</v>
      </c>
      <c r="IY7" s="107">
        <f>Simulation!$E$263</f>
        <v>78.036600000000007</v>
      </c>
      <c r="IZ7" s="107">
        <f>Simulation!$E$264</f>
        <v>78.383200000000002</v>
      </c>
      <c r="JA7" s="107">
        <f>Simulation!$E$265</f>
        <v>77.851299999999995</v>
      </c>
      <c r="JB7" s="107">
        <f>Simulation!$E$266</f>
        <v>78.239199999999997</v>
      </c>
      <c r="JC7" s="107">
        <f>Simulation!$E$267</f>
        <v>78.299199999999999</v>
      </c>
      <c r="JD7" s="107">
        <f>Simulation!$E$268</f>
        <v>78.440100000000001</v>
      </c>
      <c r="JE7" s="107">
        <f>Simulation!$E$269</f>
        <v>77.837199999999996</v>
      </c>
      <c r="JF7" s="107">
        <f>Simulation!$E$270</f>
        <v>78.171499999999995</v>
      </c>
      <c r="JG7" s="107">
        <f>Simulation!$E$271</f>
        <v>77.878299999999996</v>
      </c>
      <c r="JH7" s="107">
        <f>Simulation!$E$272</f>
        <v>77.725200000000001</v>
      </c>
      <c r="JI7" s="107">
        <f>Simulation!$E$273</f>
        <v>77.2453</v>
      </c>
      <c r="JJ7" s="107">
        <f>Simulation!$E$274</f>
        <v>77.168300000000002</v>
      </c>
      <c r="JK7" s="107">
        <f>Simulation!$E$275</f>
        <v>76.826300000000003</v>
      </c>
      <c r="JL7" s="107">
        <f>Simulation!$E$276</f>
        <v>77.040000000000006</v>
      </c>
      <c r="JM7" s="107">
        <f>Simulation!$E$277</f>
        <v>76.741399999999999</v>
      </c>
      <c r="JN7" s="107">
        <f>Simulation!$E$278</f>
        <v>77.515299999999996</v>
      </c>
      <c r="JO7" s="107">
        <f>Simulation!$E$279</f>
        <v>77.170100000000005</v>
      </c>
      <c r="JP7" s="107">
        <f>Simulation!$E$280</f>
        <v>77.805999999999997</v>
      </c>
      <c r="JQ7" s="107">
        <f>Simulation!$E$281</f>
        <v>77.337599999999995</v>
      </c>
      <c r="JR7" s="107">
        <f>Simulation!$E$282</f>
        <v>76.892700000000005</v>
      </c>
      <c r="JS7" s="107">
        <f>Simulation!$E$283</f>
        <v>77.6417</v>
      </c>
      <c r="JT7" s="107">
        <f>Simulation!$E$284</f>
        <v>77.500500000000002</v>
      </c>
      <c r="JU7" s="107">
        <f>Simulation!$E$285</f>
        <v>77.722200000000001</v>
      </c>
      <c r="JV7" s="107">
        <f>Simulation!$E$286</f>
        <v>77.280100000000004</v>
      </c>
      <c r="JW7" s="107">
        <f>Simulation!$E$287</f>
        <v>77.034000000000006</v>
      </c>
      <c r="JX7" s="107">
        <f>Simulation!$E$288</f>
        <v>77.249200000000002</v>
      </c>
      <c r="JY7" s="107">
        <f>Simulation!$E$289</f>
        <v>77.203500000000005</v>
      </c>
      <c r="JZ7" s="107">
        <f>Simulation!$E$290</f>
        <v>76.948300000000003</v>
      </c>
      <c r="KA7" s="107">
        <f>Simulation!$E$291</f>
        <v>77.039299999999997</v>
      </c>
      <c r="KB7" s="107">
        <f>Simulation!$E$292</f>
        <v>77.229200000000006</v>
      </c>
      <c r="KC7" s="107">
        <f>Simulation!$E$293</f>
        <v>77.529600000000002</v>
      </c>
      <c r="KD7" s="107">
        <f>Simulation!$E$294</f>
        <v>77.142399999999995</v>
      </c>
      <c r="KE7" s="107">
        <f>Simulation!$E$295</f>
        <v>78.008799999999994</v>
      </c>
      <c r="KF7" s="107">
        <f>Simulation!$E$296</f>
        <v>78.013199999999998</v>
      </c>
      <c r="KG7" s="107">
        <f>Simulation!$E$297</f>
        <v>78.259600000000006</v>
      </c>
      <c r="KH7" s="107">
        <f>Simulation!$E$298</f>
        <v>77.516300000000001</v>
      </c>
      <c r="KI7" s="107">
        <f>Simulation!$E$299</f>
        <v>77.746499999999997</v>
      </c>
      <c r="KJ7" s="107">
        <f>Simulation!$E$300</f>
        <v>77.509399999999999</v>
      </c>
      <c r="KK7" s="107">
        <f>Simulation!$E$301</f>
        <v>77.566400000000002</v>
      </c>
      <c r="KL7" s="107">
        <f>Simulation!$E$302</f>
        <v>0</v>
      </c>
      <c r="KM7" s="107">
        <f>Simulation!$E$303</f>
        <v>0</v>
      </c>
      <c r="KN7" s="107">
        <f>Simulation!$E$304</f>
        <v>0</v>
      </c>
      <c r="KO7" s="107">
        <f>Simulation!$E$305</f>
        <v>0</v>
      </c>
      <c r="KP7" s="107">
        <f>Simulation!$E$306</f>
        <v>0</v>
      </c>
    </row>
    <row r="8" spans="1:302" ht="16" customHeight="1" x14ac:dyDescent="0.2">
      <c r="A8" s="108" t="s">
        <v>442</v>
      </c>
      <c r="B8" s="109" t="s">
        <v>215</v>
      </c>
      <c r="C8" s="110">
        <f t="shared" ref="C8:BN8" si="0">C6*C7/1000</f>
        <v>200.90567249999995</v>
      </c>
      <c r="D8" s="110">
        <f t="shared" si="0"/>
        <v>200.90567249999995</v>
      </c>
      <c r="E8" s="110">
        <f t="shared" si="0"/>
        <v>200.90567249999995</v>
      </c>
      <c r="F8" s="110">
        <f t="shared" si="0"/>
        <v>200.90567249999995</v>
      </c>
      <c r="G8" s="110">
        <f t="shared" si="0"/>
        <v>200.90567249999995</v>
      </c>
      <c r="H8" s="110">
        <f t="shared" si="0"/>
        <v>200.90567249999995</v>
      </c>
      <c r="I8" s="110">
        <f t="shared" si="0"/>
        <v>200.90567249999995</v>
      </c>
      <c r="J8" s="110">
        <f t="shared" si="0"/>
        <v>200.90567249999995</v>
      </c>
      <c r="K8" s="110">
        <f t="shared" si="0"/>
        <v>200.90567249999995</v>
      </c>
      <c r="L8" s="110">
        <f t="shared" si="0"/>
        <v>200.90567249999995</v>
      </c>
      <c r="M8" s="110">
        <f t="shared" si="0"/>
        <v>200.90567249999995</v>
      </c>
      <c r="N8" s="110">
        <f t="shared" si="0"/>
        <v>200.90567249999995</v>
      </c>
      <c r="O8" s="110">
        <f t="shared" si="0"/>
        <v>199.90114413749995</v>
      </c>
      <c r="P8" s="110">
        <f t="shared" si="0"/>
        <v>199.90114413749995</v>
      </c>
      <c r="Q8" s="110">
        <f t="shared" si="0"/>
        <v>199.90114413749995</v>
      </c>
      <c r="R8" s="110">
        <f t="shared" si="0"/>
        <v>199.90114413749995</v>
      </c>
      <c r="S8" s="110">
        <f t="shared" si="0"/>
        <v>199.90114413749995</v>
      </c>
      <c r="T8" s="110">
        <f t="shared" si="0"/>
        <v>199.90114413749995</v>
      </c>
      <c r="U8" s="110">
        <f t="shared" si="0"/>
        <v>199.90114413749995</v>
      </c>
      <c r="V8" s="110">
        <f t="shared" si="0"/>
        <v>199.90114413749995</v>
      </c>
      <c r="W8" s="110">
        <f t="shared" si="0"/>
        <v>199.90114413749995</v>
      </c>
      <c r="X8" s="110">
        <f t="shared" si="0"/>
        <v>199.90114413749995</v>
      </c>
      <c r="Y8" s="110">
        <f t="shared" si="0"/>
        <v>199.90114413749995</v>
      </c>
      <c r="Z8" s="110">
        <f t="shared" si="0"/>
        <v>199.90114413749995</v>
      </c>
      <c r="AA8" s="110">
        <f t="shared" si="0"/>
        <v>198.90163841681249</v>
      </c>
      <c r="AB8" s="110">
        <f t="shared" si="0"/>
        <v>198.90163841681249</v>
      </c>
      <c r="AC8" s="110">
        <f t="shared" si="0"/>
        <v>198.90163841681249</v>
      </c>
      <c r="AD8" s="110">
        <f t="shared" si="0"/>
        <v>198.90163841681249</v>
      </c>
      <c r="AE8" s="110">
        <f t="shared" si="0"/>
        <v>198.90163841681249</v>
      </c>
      <c r="AF8" s="110">
        <f t="shared" si="0"/>
        <v>198.90163841681249</v>
      </c>
      <c r="AG8" s="110">
        <f t="shared" si="0"/>
        <v>198.90163841681249</v>
      </c>
      <c r="AH8" s="110">
        <f t="shared" si="0"/>
        <v>198.90163841681249</v>
      </c>
      <c r="AI8" s="110">
        <f t="shared" si="0"/>
        <v>198.90163841681249</v>
      </c>
      <c r="AJ8" s="110">
        <f t="shared" si="0"/>
        <v>198.90163841681249</v>
      </c>
      <c r="AK8" s="110">
        <f t="shared" si="0"/>
        <v>198.90163841681249</v>
      </c>
      <c r="AL8" s="110">
        <f t="shared" si="0"/>
        <v>198.90163841681249</v>
      </c>
      <c r="AM8" s="110">
        <f t="shared" si="0"/>
        <v>197.90713022472838</v>
      </c>
      <c r="AN8" s="110">
        <f t="shared" si="0"/>
        <v>197.90713022472838</v>
      </c>
      <c r="AO8" s="110">
        <f t="shared" si="0"/>
        <v>197.90713022472838</v>
      </c>
      <c r="AP8" s="110">
        <f t="shared" si="0"/>
        <v>197.90713022472838</v>
      </c>
      <c r="AQ8" s="110">
        <f t="shared" si="0"/>
        <v>197.90713022472838</v>
      </c>
      <c r="AR8" s="110">
        <f t="shared" si="0"/>
        <v>197.90713022472838</v>
      </c>
      <c r="AS8" s="110">
        <f t="shared" si="0"/>
        <v>197.90713022472838</v>
      </c>
      <c r="AT8" s="110">
        <f t="shared" si="0"/>
        <v>197.90713022472838</v>
      </c>
      <c r="AU8" s="110">
        <f t="shared" si="0"/>
        <v>197.90713022472838</v>
      </c>
      <c r="AV8" s="110">
        <f t="shared" si="0"/>
        <v>197.90713022472838</v>
      </c>
      <c r="AW8" s="110">
        <f t="shared" si="0"/>
        <v>197.90713022472838</v>
      </c>
      <c r="AX8" s="110">
        <f t="shared" si="0"/>
        <v>197.90713022472838</v>
      </c>
      <c r="AY8" s="110">
        <f t="shared" si="0"/>
        <v>196.91759457360476</v>
      </c>
      <c r="AZ8" s="110">
        <f t="shared" si="0"/>
        <v>196.91759457360476</v>
      </c>
      <c r="BA8" s="110">
        <f t="shared" si="0"/>
        <v>196.91759457360476</v>
      </c>
      <c r="BB8" s="110">
        <f t="shared" si="0"/>
        <v>196.91759457360476</v>
      </c>
      <c r="BC8" s="110">
        <f t="shared" si="0"/>
        <v>196.91759457360476</v>
      </c>
      <c r="BD8" s="110">
        <f t="shared" si="0"/>
        <v>196.91759457360476</v>
      </c>
      <c r="BE8" s="110">
        <f t="shared" si="0"/>
        <v>196.91759457360476</v>
      </c>
      <c r="BF8" s="110">
        <f t="shared" si="0"/>
        <v>196.91759457360476</v>
      </c>
      <c r="BG8" s="110">
        <f t="shared" si="0"/>
        <v>196.91759457360476</v>
      </c>
      <c r="BH8" s="110">
        <f t="shared" si="0"/>
        <v>196.91759457360476</v>
      </c>
      <c r="BI8" s="110">
        <f t="shared" si="0"/>
        <v>196.91759457360476</v>
      </c>
      <c r="BJ8" s="110">
        <f t="shared" si="0"/>
        <v>196.91759457360476</v>
      </c>
      <c r="BK8" s="110">
        <f t="shared" si="0"/>
        <v>195.93300660073675</v>
      </c>
      <c r="BL8" s="110">
        <f t="shared" si="0"/>
        <v>195.93300660073675</v>
      </c>
      <c r="BM8" s="110">
        <f t="shared" si="0"/>
        <v>195.93300660073675</v>
      </c>
      <c r="BN8" s="110">
        <f t="shared" si="0"/>
        <v>195.93300660073675</v>
      </c>
      <c r="BO8" s="110">
        <f t="shared" ref="BO8:DZ8" si="1">BO6*BO7/1000</f>
        <v>195.93300660073675</v>
      </c>
      <c r="BP8" s="110">
        <f t="shared" si="1"/>
        <v>195.93300660073675</v>
      </c>
      <c r="BQ8" s="110">
        <f t="shared" si="1"/>
        <v>195.93300660073675</v>
      </c>
      <c r="BR8" s="110">
        <f t="shared" si="1"/>
        <v>195.93300660073675</v>
      </c>
      <c r="BS8" s="110">
        <f t="shared" si="1"/>
        <v>195.93300660073675</v>
      </c>
      <c r="BT8" s="110">
        <f t="shared" si="1"/>
        <v>195.93300660073675</v>
      </c>
      <c r="BU8" s="110">
        <f t="shared" si="1"/>
        <v>195.93300660073675</v>
      </c>
      <c r="BV8" s="110">
        <f t="shared" si="1"/>
        <v>195.93300660073675</v>
      </c>
      <c r="BW8" s="110">
        <f t="shared" si="1"/>
        <v>194.95334156773308</v>
      </c>
      <c r="BX8" s="110">
        <f t="shared" si="1"/>
        <v>194.95334156773308</v>
      </c>
      <c r="BY8" s="110">
        <f t="shared" si="1"/>
        <v>194.95334156773308</v>
      </c>
      <c r="BZ8" s="110">
        <f t="shared" si="1"/>
        <v>194.95334156773308</v>
      </c>
      <c r="CA8" s="110">
        <f t="shared" si="1"/>
        <v>194.95334156773308</v>
      </c>
      <c r="CB8" s="110">
        <f t="shared" si="1"/>
        <v>194.95334156773308</v>
      </c>
      <c r="CC8" s="110">
        <f t="shared" si="1"/>
        <v>194.95334156773308</v>
      </c>
      <c r="CD8" s="110">
        <f t="shared" si="1"/>
        <v>194.95334156773308</v>
      </c>
      <c r="CE8" s="110">
        <f t="shared" si="1"/>
        <v>194.95334156773308</v>
      </c>
      <c r="CF8" s="110">
        <f t="shared" si="1"/>
        <v>194.95334156773308</v>
      </c>
      <c r="CG8" s="110">
        <f t="shared" si="1"/>
        <v>194.95334156773308</v>
      </c>
      <c r="CH8" s="110">
        <f t="shared" si="1"/>
        <v>194.95334156773308</v>
      </c>
      <c r="CI8" s="110">
        <f t="shared" si="1"/>
        <v>193.97857485989437</v>
      </c>
      <c r="CJ8" s="110">
        <f t="shared" si="1"/>
        <v>193.97857485989437</v>
      </c>
      <c r="CK8" s="110">
        <f t="shared" si="1"/>
        <v>193.97857485989437</v>
      </c>
      <c r="CL8" s="110">
        <f t="shared" si="1"/>
        <v>193.97857485989437</v>
      </c>
      <c r="CM8" s="110">
        <f t="shared" si="1"/>
        <v>193.97857485989437</v>
      </c>
      <c r="CN8" s="110">
        <f t="shared" si="1"/>
        <v>193.97857485989437</v>
      </c>
      <c r="CO8" s="110">
        <f t="shared" si="1"/>
        <v>193.97857485989437</v>
      </c>
      <c r="CP8" s="110">
        <f t="shared" si="1"/>
        <v>193.97857485989437</v>
      </c>
      <c r="CQ8" s="110">
        <f t="shared" si="1"/>
        <v>193.97857485989437</v>
      </c>
      <c r="CR8" s="110">
        <f t="shared" si="1"/>
        <v>193.97857485989437</v>
      </c>
      <c r="CS8" s="110">
        <f t="shared" si="1"/>
        <v>193.97857485989437</v>
      </c>
      <c r="CT8" s="110">
        <f t="shared" si="1"/>
        <v>193.97857485989437</v>
      </c>
      <c r="CU8" s="110">
        <f t="shared" si="1"/>
        <v>193.0086819855949</v>
      </c>
      <c r="CV8" s="110">
        <f t="shared" si="1"/>
        <v>193.0086819855949</v>
      </c>
      <c r="CW8" s="110">
        <f t="shared" si="1"/>
        <v>193.0086819855949</v>
      </c>
      <c r="CX8" s="110">
        <f t="shared" si="1"/>
        <v>193.0086819855949</v>
      </c>
      <c r="CY8" s="110">
        <f t="shared" si="1"/>
        <v>193.0086819855949</v>
      </c>
      <c r="CZ8" s="110">
        <f t="shared" si="1"/>
        <v>193.0086819855949</v>
      </c>
      <c r="DA8" s="110">
        <f t="shared" si="1"/>
        <v>193.0086819855949</v>
      </c>
      <c r="DB8" s="110">
        <f t="shared" si="1"/>
        <v>193.0086819855949</v>
      </c>
      <c r="DC8" s="110">
        <f t="shared" si="1"/>
        <v>193.0086819855949</v>
      </c>
      <c r="DD8" s="110">
        <f t="shared" si="1"/>
        <v>193.0086819855949</v>
      </c>
      <c r="DE8" s="110">
        <f t="shared" si="1"/>
        <v>193.0086819855949</v>
      </c>
      <c r="DF8" s="110">
        <f t="shared" si="1"/>
        <v>193.0086819855949</v>
      </c>
      <c r="DG8" s="110">
        <f t="shared" si="1"/>
        <v>192.0436385756669</v>
      </c>
      <c r="DH8" s="110">
        <f t="shared" si="1"/>
        <v>192.0436385756669</v>
      </c>
      <c r="DI8" s="110">
        <f t="shared" si="1"/>
        <v>192.0436385756669</v>
      </c>
      <c r="DJ8" s="110">
        <f t="shared" si="1"/>
        <v>192.0436385756669</v>
      </c>
      <c r="DK8" s="110">
        <f t="shared" si="1"/>
        <v>192.0436385756669</v>
      </c>
      <c r="DL8" s="110">
        <f t="shared" si="1"/>
        <v>192.0436385756669</v>
      </c>
      <c r="DM8" s="110">
        <f t="shared" si="1"/>
        <v>192.0436385756669</v>
      </c>
      <c r="DN8" s="110">
        <f t="shared" si="1"/>
        <v>192.0436385756669</v>
      </c>
      <c r="DO8" s="110">
        <f t="shared" si="1"/>
        <v>192.0436385756669</v>
      </c>
      <c r="DP8" s="110">
        <f t="shared" si="1"/>
        <v>192.0436385756669</v>
      </c>
      <c r="DQ8" s="110">
        <f t="shared" si="1"/>
        <v>192.0436385756669</v>
      </c>
      <c r="DR8" s="110">
        <f t="shared" si="1"/>
        <v>192.0436385756669</v>
      </c>
      <c r="DS8" s="110">
        <f t="shared" si="1"/>
        <v>348.71577719336619</v>
      </c>
      <c r="DT8" s="110">
        <f t="shared" si="1"/>
        <v>351.360371731464</v>
      </c>
      <c r="DU8" s="110">
        <f t="shared" si="1"/>
        <v>351.38924655943299</v>
      </c>
      <c r="DV8" s="110">
        <f t="shared" si="1"/>
        <v>349.28775356504542</v>
      </c>
      <c r="DW8" s="110">
        <f t="shared" si="1"/>
        <v>350.7603697914621</v>
      </c>
      <c r="DX8" s="110">
        <f t="shared" si="1"/>
        <v>351.99307016784257</v>
      </c>
      <c r="DY8" s="110">
        <f t="shared" si="1"/>
        <v>351.2469955687036</v>
      </c>
      <c r="DZ8" s="110">
        <f t="shared" si="1"/>
        <v>350.0342527940075</v>
      </c>
      <c r="EA8" s="110">
        <f t="shared" ref="EA8:GL8" si="2">EA6*EA7/1000</f>
        <v>351.12045588142786</v>
      </c>
      <c r="EB8" s="110">
        <f t="shared" si="2"/>
        <v>349.73488876874109</v>
      </c>
      <c r="EC8" s="110">
        <f t="shared" si="2"/>
        <v>351.71111596532216</v>
      </c>
      <c r="ED8" s="110">
        <f t="shared" si="2"/>
        <v>347.40112326113268</v>
      </c>
      <c r="EE8" s="110">
        <f t="shared" si="2"/>
        <v>347.39005740794335</v>
      </c>
      <c r="EF8" s="110">
        <f t="shared" si="2"/>
        <v>345.52131038902934</v>
      </c>
      <c r="EG8" s="110">
        <f t="shared" si="2"/>
        <v>345.37934814657962</v>
      </c>
      <c r="EH8" s="110">
        <f t="shared" si="2"/>
        <v>347.23119489853531</v>
      </c>
      <c r="EI8" s="110">
        <f t="shared" si="2"/>
        <v>346.27337226867371</v>
      </c>
      <c r="EJ8" s="110">
        <f t="shared" si="2"/>
        <v>348.4264662791611</v>
      </c>
      <c r="EK8" s="110">
        <f t="shared" si="2"/>
        <v>346.22900906790818</v>
      </c>
      <c r="EL8" s="110">
        <f t="shared" si="2"/>
        <v>349.15444527838991</v>
      </c>
      <c r="EM8" s="110">
        <f t="shared" si="2"/>
        <v>348.55195076132645</v>
      </c>
      <c r="EN8" s="110">
        <f t="shared" si="2"/>
        <v>344.32941906179525</v>
      </c>
      <c r="EO8" s="110">
        <f t="shared" si="2"/>
        <v>347.36724204754967</v>
      </c>
      <c r="EP8" s="110">
        <f t="shared" si="2"/>
        <v>347.44413826220989</v>
      </c>
      <c r="EQ8" s="110">
        <f t="shared" si="2"/>
        <v>345.79646152284414</v>
      </c>
      <c r="ER8" s="110">
        <f t="shared" si="2"/>
        <v>349.48205695337663</v>
      </c>
      <c r="ES8" s="110">
        <f t="shared" si="2"/>
        <v>347.52848538206547</v>
      </c>
      <c r="ET8" s="110">
        <f t="shared" si="2"/>
        <v>345.60223942989262</v>
      </c>
      <c r="EU8" s="110">
        <f t="shared" si="2"/>
        <v>345.65647027402838</v>
      </c>
      <c r="EV8" s="110">
        <f t="shared" si="2"/>
        <v>345.62157756035964</v>
      </c>
      <c r="EW8" s="110">
        <f t="shared" si="2"/>
        <v>344.42303386554408</v>
      </c>
      <c r="EX8" s="110">
        <f t="shared" si="2"/>
        <v>346.44933362317687</v>
      </c>
      <c r="EY8" s="110">
        <f t="shared" si="2"/>
        <v>346.18028137320067</v>
      </c>
      <c r="EZ8" s="110">
        <f t="shared" si="2"/>
        <v>346.23577339975833</v>
      </c>
      <c r="FA8" s="110">
        <f t="shared" si="2"/>
        <v>345.98017376228097</v>
      </c>
      <c r="FB8" s="110">
        <f t="shared" si="2"/>
        <v>346.50356446731263</v>
      </c>
      <c r="FC8" s="110">
        <f t="shared" si="2"/>
        <v>344.96304275095315</v>
      </c>
      <c r="FD8" s="110">
        <f t="shared" si="2"/>
        <v>343.07696335694283</v>
      </c>
      <c r="FE8" s="110">
        <f t="shared" si="2"/>
        <v>341.14821816160406</v>
      </c>
      <c r="FF8" s="110">
        <f t="shared" si="2"/>
        <v>342.03248780874048</v>
      </c>
      <c r="FG8" s="110">
        <f t="shared" si="2"/>
        <v>344.23312291450424</v>
      </c>
      <c r="FH8" s="110">
        <f t="shared" si="2"/>
        <v>343.92609646180887</v>
      </c>
      <c r="FI8" s="110">
        <f t="shared" si="2"/>
        <v>343.2982399148118</v>
      </c>
      <c r="FJ8" s="110">
        <f t="shared" si="2"/>
        <v>342.56790178619303</v>
      </c>
      <c r="FK8" s="110">
        <f t="shared" si="2"/>
        <v>341.91160137164383</v>
      </c>
      <c r="FL8" s="110">
        <f t="shared" si="2"/>
        <v>340.8704721608006</v>
      </c>
      <c r="FM8" s="110">
        <f t="shared" si="2"/>
        <v>341.18502787255392</v>
      </c>
      <c r="FN8" s="110">
        <f t="shared" si="2"/>
        <v>340.8048002901287</v>
      </c>
      <c r="FO8" s="110">
        <f t="shared" si="2"/>
        <v>339.64599921751437</v>
      </c>
      <c r="FP8" s="110">
        <f t="shared" si="2"/>
        <v>336.76256070531747</v>
      </c>
      <c r="FQ8" s="110">
        <f t="shared" si="2"/>
        <v>339.25726775527534</v>
      </c>
      <c r="FR8" s="110">
        <f t="shared" si="2"/>
        <v>337.81305129492267</v>
      </c>
      <c r="FS8" s="110">
        <f t="shared" si="2"/>
        <v>338.11271580542808</v>
      </c>
      <c r="FT8" s="110">
        <f t="shared" si="2"/>
        <v>338.13352584087994</v>
      </c>
      <c r="FU8" s="110">
        <f t="shared" si="2"/>
        <v>339.53695463174711</v>
      </c>
      <c r="FV8" s="110">
        <f t="shared" si="2"/>
        <v>339.52405240976702</v>
      </c>
      <c r="FW8" s="110">
        <f t="shared" si="2"/>
        <v>336.73176185284882</v>
      </c>
      <c r="FX8" s="110">
        <f t="shared" si="2"/>
        <v>338.75075149237927</v>
      </c>
      <c r="FY8" s="110">
        <f t="shared" si="2"/>
        <v>337.18167481931607</v>
      </c>
      <c r="FZ8" s="110">
        <f t="shared" si="2"/>
        <v>335.3229224527642</v>
      </c>
      <c r="GA8" s="110">
        <f t="shared" si="2"/>
        <v>335.63863774361351</v>
      </c>
      <c r="GB8" s="110">
        <f t="shared" si="2"/>
        <v>334.91972593488259</v>
      </c>
      <c r="GC8" s="110">
        <f t="shared" si="2"/>
        <v>334.92800832899241</v>
      </c>
      <c r="GD8" s="110">
        <f t="shared" si="2"/>
        <v>333.98505775959126</v>
      </c>
      <c r="GE8" s="110">
        <f t="shared" si="2"/>
        <v>332.95804088997562</v>
      </c>
      <c r="GF8" s="110">
        <f t="shared" si="2"/>
        <v>334.92386713193747</v>
      </c>
      <c r="GG8" s="110">
        <f t="shared" si="2"/>
        <v>332.3877980555157</v>
      </c>
      <c r="GH8" s="110">
        <f t="shared" si="2"/>
        <v>334.68036474510927</v>
      </c>
      <c r="GI8" s="110">
        <f t="shared" si="2"/>
        <v>334.85139618347665</v>
      </c>
      <c r="GJ8" s="110">
        <f t="shared" si="2"/>
        <v>333.47113520507793</v>
      </c>
      <c r="GK8" s="110">
        <f t="shared" si="2"/>
        <v>338.10099351245805</v>
      </c>
      <c r="GL8" s="110">
        <f t="shared" si="2"/>
        <v>336.18237691692218</v>
      </c>
      <c r="GM8" s="110">
        <f t="shared" ref="GM8:IX8" si="3">GM6*GM7/1000</f>
        <v>334.00659405487528</v>
      </c>
      <c r="GN8" s="110">
        <f t="shared" si="3"/>
        <v>332.52115702427466</v>
      </c>
      <c r="GO8" s="110">
        <f t="shared" si="3"/>
        <v>333.61844379611637</v>
      </c>
      <c r="GP8" s="110">
        <f t="shared" si="3"/>
        <v>333.72598861303368</v>
      </c>
      <c r="GQ8" s="110">
        <f t="shared" si="3"/>
        <v>332.09509824767525</v>
      </c>
      <c r="GR8" s="110">
        <f t="shared" si="3"/>
        <v>332.3443879573876</v>
      </c>
      <c r="GS8" s="110">
        <f t="shared" si="3"/>
        <v>332.14330799318986</v>
      </c>
      <c r="GT8" s="110">
        <f t="shared" si="3"/>
        <v>330.80208815002624</v>
      </c>
      <c r="GU8" s="110">
        <f t="shared" si="3"/>
        <v>329.29069202568695</v>
      </c>
      <c r="GV8" s="110">
        <f t="shared" si="3"/>
        <v>330.56351171709474</v>
      </c>
      <c r="GW8" s="110">
        <f t="shared" si="3"/>
        <v>329.80904980224602</v>
      </c>
      <c r="GX8" s="110">
        <f t="shared" si="3"/>
        <v>328.62688091436996</v>
      </c>
      <c r="GY8" s="110">
        <f t="shared" si="3"/>
        <v>329.49246835287556</v>
      </c>
      <c r="GZ8" s="110">
        <f t="shared" si="3"/>
        <v>328.81762668696518</v>
      </c>
      <c r="HA8" s="110">
        <f t="shared" si="3"/>
        <v>325.7131910282331</v>
      </c>
      <c r="HB8" s="110">
        <f t="shared" si="3"/>
        <v>328.79425732186377</v>
      </c>
      <c r="HC8" s="110">
        <f t="shared" si="3"/>
        <v>328.48307577604004</v>
      </c>
      <c r="HD8" s="110">
        <f t="shared" si="3"/>
        <v>326.89559890459117</v>
      </c>
      <c r="HE8" s="110">
        <f t="shared" si="3"/>
        <v>325.68244186362597</v>
      </c>
      <c r="HF8" s="110">
        <f t="shared" si="3"/>
        <v>326.45240094538758</v>
      </c>
      <c r="HG8" s="110">
        <f t="shared" si="3"/>
        <v>327.27442861255054</v>
      </c>
      <c r="HH8" s="110">
        <f t="shared" si="3"/>
        <v>327.30517777715761</v>
      </c>
      <c r="HI8" s="110">
        <f t="shared" si="3"/>
        <v>329.45761929965414</v>
      </c>
      <c r="HJ8" s="110">
        <f t="shared" si="3"/>
        <v>330.7962329322163</v>
      </c>
      <c r="HK8" s="110">
        <f t="shared" si="3"/>
        <v>327.06176329023924</v>
      </c>
      <c r="HL8" s="110">
        <f t="shared" si="3"/>
        <v>327.51375961040907</v>
      </c>
      <c r="HM8" s="110">
        <f t="shared" si="3"/>
        <v>328.95745543809949</v>
      </c>
      <c r="HN8" s="110">
        <f t="shared" si="3"/>
        <v>329.37477695031407</v>
      </c>
      <c r="HO8" s="110">
        <f t="shared" si="3"/>
        <v>330.07724776559598</v>
      </c>
      <c r="HP8" s="110">
        <f t="shared" si="3"/>
        <v>327.59289976033051</v>
      </c>
      <c r="HQ8" s="110">
        <f t="shared" si="3"/>
        <v>327.13437641748675</v>
      </c>
      <c r="HR8" s="110">
        <f t="shared" si="3"/>
        <v>328.50627499576387</v>
      </c>
      <c r="HS8" s="110">
        <f t="shared" si="3"/>
        <v>325.8134702038497</v>
      </c>
      <c r="HT8" s="110">
        <f t="shared" si="3"/>
        <v>327.60228235542434</v>
      </c>
      <c r="HU8" s="110">
        <f t="shared" si="3"/>
        <v>324.26289437987373</v>
      </c>
      <c r="HV8" s="110">
        <f t="shared" si="3"/>
        <v>324.03689621978879</v>
      </c>
      <c r="HW8" s="110">
        <f t="shared" si="3"/>
        <v>322.67202234966442</v>
      </c>
      <c r="HX8" s="110">
        <f t="shared" si="3"/>
        <v>323.04463783595168</v>
      </c>
      <c r="HY8" s="110">
        <f t="shared" si="3"/>
        <v>323.34094426840232</v>
      </c>
      <c r="HZ8" s="110">
        <f t="shared" si="3"/>
        <v>321.86387699759689</v>
      </c>
      <c r="IA8" s="110">
        <f t="shared" si="3"/>
        <v>323.67905832077417</v>
      </c>
      <c r="IB8" s="110">
        <f t="shared" si="3"/>
        <v>322.90947339484751</v>
      </c>
      <c r="IC8" s="110">
        <f t="shared" si="3"/>
        <v>323.42415360902203</v>
      </c>
      <c r="ID8" s="110">
        <f t="shared" si="3"/>
        <v>323.40426454711786</v>
      </c>
      <c r="IE8" s="110">
        <f t="shared" si="3"/>
        <v>323.47529691106149</v>
      </c>
      <c r="IF8" s="110">
        <f t="shared" si="3"/>
        <v>323.68271141377704</v>
      </c>
      <c r="IG8" s="110">
        <f t="shared" si="3"/>
        <v>322.66187486910104</v>
      </c>
      <c r="IH8" s="110">
        <f t="shared" si="3"/>
        <v>323.37788109765307</v>
      </c>
      <c r="II8" s="110">
        <f t="shared" si="3"/>
        <v>321.0126210891039</v>
      </c>
      <c r="IJ8" s="110">
        <f t="shared" si="3"/>
        <v>318.59546077646536</v>
      </c>
      <c r="IK8" s="110">
        <f t="shared" si="3"/>
        <v>320.48960979338676</v>
      </c>
      <c r="IL8" s="110">
        <f t="shared" si="3"/>
        <v>317.56599684381439</v>
      </c>
      <c r="IM8" s="110">
        <f t="shared" si="3"/>
        <v>317.37456259349017</v>
      </c>
      <c r="IN8" s="110">
        <f t="shared" si="3"/>
        <v>318.52882227160569</v>
      </c>
      <c r="IO8" s="110">
        <f t="shared" si="3"/>
        <v>318.16412790864615</v>
      </c>
      <c r="IP8" s="110">
        <f t="shared" si="3"/>
        <v>318.86766897207411</v>
      </c>
      <c r="IQ8" s="110">
        <f t="shared" si="3"/>
        <v>317.68473454338266</v>
      </c>
      <c r="IR8" s="110">
        <f t="shared" si="3"/>
        <v>317.51955182527581</v>
      </c>
      <c r="IS8" s="110">
        <f t="shared" si="3"/>
        <v>318.08860426980516</v>
      </c>
      <c r="IT8" s="110">
        <f t="shared" si="3"/>
        <v>317.72390990684562</v>
      </c>
      <c r="IU8" s="110">
        <f t="shared" si="3"/>
        <v>317.14795330934305</v>
      </c>
      <c r="IV8" s="110">
        <f t="shared" si="3"/>
        <v>317.45094849419706</v>
      </c>
      <c r="IW8" s="110">
        <f t="shared" si="3"/>
        <v>315.88252646968124</v>
      </c>
      <c r="IX8" s="110">
        <f t="shared" si="3"/>
        <v>314.89477824107252</v>
      </c>
      <c r="IY8" s="110">
        <f t="shared" ref="IY8:KP8" si="4">IY6*IY7/1000</f>
        <v>313.590371914765</v>
      </c>
      <c r="IZ8" s="110">
        <f t="shared" si="4"/>
        <v>314.98318532418642</v>
      </c>
      <c r="JA8" s="110">
        <f t="shared" si="4"/>
        <v>312.84574316471929</v>
      </c>
      <c r="JB8" s="110">
        <f t="shared" si="4"/>
        <v>314.40452078016824</v>
      </c>
      <c r="JC8" s="110">
        <f t="shared" si="4"/>
        <v>314.64563100684251</v>
      </c>
      <c r="JD8" s="110">
        <f t="shared" si="4"/>
        <v>315.21183818914909</v>
      </c>
      <c r="JE8" s="110">
        <f t="shared" si="4"/>
        <v>312.78908226145086</v>
      </c>
      <c r="JF8" s="110">
        <f t="shared" si="4"/>
        <v>314.13246807440413</v>
      </c>
      <c r="JG8" s="110">
        <f t="shared" si="4"/>
        <v>311.38947155288918</v>
      </c>
      <c r="JH8" s="110">
        <f t="shared" si="4"/>
        <v>310.7773147891341</v>
      </c>
      <c r="JI8" s="110">
        <f t="shared" si="4"/>
        <v>308.85847722593314</v>
      </c>
      <c r="JJ8" s="110">
        <f t="shared" si="4"/>
        <v>308.55059955898906</v>
      </c>
      <c r="JK8" s="110">
        <f t="shared" si="4"/>
        <v>307.18314290840624</v>
      </c>
      <c r="JL8" s="110">
        <f t="shared" si="4"/>
        <v>308.03760339445756</v>
      </c>
      <c r="JM8" s="110">
        <f t="shared" si="4"/>
        <v>306.8436777925159</v>
      </c>
      <c r="JN8" s="110">
        <f t="shared" si="4"/>
        <v>309.938048265867</v>
      </c>
      <c r="JO8" s="110">
        <f t="shared" si="4"/>
        <v>308.55779669925528</v>
      </c>
      <c r="JP8" s="110">
        <f t="shared" si="4"/>
        <v>311.10038641886246</v>
      </c>
      <c r="JQ8" s="110">
        <f t="shared" si="4"/>
        <v>309.22753058514019</v>
      </c>
      <c r="JR8" s="110">
        <f t="shared" si="4"/>
        <v>307.44863741600471</v>
      </c>
      <c r="JS8" s="110">
        <f t="shared" si="4"/>
        <v>308.89123021176135</v>
      </c>
      <c r="JT8" s="110">
        <f t="shared" si="4"/>
        <v>308.32947742033741</v>
      </c>
      <c r="JU8" s="110">
        <f t="shared" si="4"/>
        <v>309.21149295758028</v>
      </c>
      <c r="JV8" s="110">
        <f t="shared" si="4"/>
        <v>307.45263382805814</v>
      </c>
      <c r="JW8" s="110">
        <f t="shared" si="4"/>
        <v>306.47354486226897</v>
      </c>
      <c r="JX8" s="110">
        <f t="shared" si="4"/>
        <v>307.3297006746941</v>
      </c>
      <c r="JY8" s="110">
        <f t="shared" si="4"/>
        <v>307.14788691712988</v>
      </c>
      <c r="JZ8" s="110">
        <f t="shared" si="4"/>
        <v>306.1325943365959</v>
      </c>
      <c r="KA8" s="110">
        <f t="shared" si="4"/>
        <v>306.49463048404334</v>
      </c>
      <c r="KB8" s="110">
        <f t="shared" si="4"/>
        <v>307.25013229063973</v>
      </c>
      <c r="KC8" s="110">
        <f t="shared" si="4"/>
        <v>308.44524941913653</v>
      </c>
      <c r="KD8" s="110">
        <f t="shared" si="4"/>
        <v>306.90480550384365</v>
      </c>
      <c r="KE8" s="110">
        <f t="shared" si="4"/>
        <v>308.79994936157414</v>
      </c>
      <c r="KF8" s="110">
        <f t="shared" si="4"/>
        <v>308.81736688084368</v>
      </c>
      <c r="KG8" s="110">
        <f t="shared" si="4"/>
        <v>309.79274795993598</v>
      </c>
      <c r="KH8" s="110">
        <f t="shared" si="4"/>
        <v>306.85037476152172</v>
      </c>
      <c r="KI8" s="110">
        <f t="shared" si="4"/>
        <v>307.76162770148528</v>
      </c>
      <c r="KJ8" s="110">
        <f t="shared" si="4"/>
        <v>306.82306092448545</v>
      </c>
      <c r="KK8" s="110">
        <f t="shared" si="4"/>
        <v>307.04869696956763</v>
      </c>
      <c r="KL8" s="110">
        <f t="shared" si="4"/>
        <v>0</v>
      </c>
      <c r="KM8" s="110">
        <f t="shared" si="4"/>
        <v>0</v>
      </c>
      <c r="KN8" s="110">
        <f t="shared" si="4"/>
        <v>0</v>
      </c>
      <c r="KO8" s="110">
        <f t="shared" si="4"/>
        <v>0</v>
      </c>
      <c r="KP8" s="110">
        <f t="shared" si="4"/>
        <v>0</v>
      </c>
    </row>
    <row r="9" spans="1:302" ht="16" customHeight="1" x14ac:dyDescent="0.2">
      <c r="A9" s="104" t="s">
        <v>443</v>
      </c>
      <c r="B9" s="105" t="s">
        <v>215</v>
      </c>
      <c r="C9" s="106">
        <f>-Assumptions!$E$35*(1+Assumptions!$E$36)^0/12</f>
        <v>-34.5</v>
      </c>
      <c r="D9" s="106">
        <f>-Assumptions!$E$35*(1+Assumptions!$E$36)^0/12</f>
        <v>-34.5</v>
      </c>
      <c r="E9" s="106">
        <f>-Assumptions!$E$35*(1+Assumptions!$E$36)^0/12</f>
        <v>-34.5</v>
      </c>
      <c r="F9" s="106">
        <f>-Assumptions!$E$35*(1+Assumptions!$E$36)^0/12</f>
        <v>-34.5</v>
      </c>
      <c r="G9" s="106">
        <f>-Assumptions!$E$35*(1+Assumptions!$E$36)^0/12</f>
        <v>-34.5</v>
      </c>
      <c r="H9" s="106">
        <f>-Assumptions!$E$35*(1+Assumptions!$E$36)^0/12</f>
        <v>-34.5</v>
      </c>
      <c r="I9" s="106">
        <f>-Assumptions!$E$35*(1+Assumptions!$E$36)^0/12</f>
        <v>-34.5</v>
      </c>
      <c r="J9" s="106">
        <f>-Assumptions!$E$35*(1+Assumptions!$E$36)^0/12</f>
        <v>-34.5</v>
      </c>
      <c r="K9" s="106">
        <f>-Assumptions!$E$35*(1+Assumptions!$E$36)^0/12</f>
        <v>-34.5</v>
      </c>
      <c r="L9" s="106">
        <f>-Assumptions!$E$35*(1+Assumptions!$E$36)^0/12</f>
        <v>-34.5</v>
      </c>
      <c r="M9" s="106">
        <f>-Assumptions!$E$35*(1+Assumptions!$E$36)^0/12</f>
        <v>-34.5</v>
      </c>
      <c r="N9" s="106">
        <f>-Assumptions!$E$35*(1+Assumptions!$E$36)^0/12</f>
        <v>-34.5</v>
      </c>
      <c r="O9" s="106">
        <f>-Assumptions!$E$35*(1+Assumptions!$E$36)^1/12</f>
        <v>-35.190000000000005</v>
      </c>
      <c r="P9" s="106">
        <f>-Assumptions!$E$35*(1+Assumptions!$E$36)^1/12</f>
        <v>-35.190000000000005</v>
      </c>
      <c r="Q9" s="106">
        <f>-Assumptions!$E$35*(1+Assumptions!$E$36)^1/12</f>
        <v>-35.190000000000005</v>
      </c>
      <c r="R9" s="106">
        <f>-Assumptions!$E$35*(1+Assumptions!$E$36)^1/12</f>
        <v>-35.190000000000005</v>
      </c>
      <c r="S9" s="106">
        <f>-Assumptions!$E$35*(1+Assumptions!$E$36)^1/12</f>
        <v>-35.190000000000005</v>
      </c>
      <c r="T9" s="106">
        <f>-Assumptions!$E$35*(1+Assumptions!$E$36)^1/12</f>
        <v>-35.190000000000005</v>
      </c>
      <c r="U9" s="106">
        <f>-Assumptions!$E$35*(1+Assumptions!$E$36)^1/12</f>
        <v>-35.190000000000005</v>
      </c>
      <c r="V9" s="106">
        <f>-Assumptions!$E$35*(1+Assumptions!$E$36)^1/12</f>
        <v>-35.190000000000005</v>
      </c>
      <c r="W9" s="106">
        <f>-Assumptions!$E$35*(1+Assumptions!$E$36)^1/12</f>
        <v>-35.190000000000005</v>
      </c>
      <c r="X9" s="106">
        <f>-Assumptions!$E$35*(1+Assumptions!$E$36)^1/12</f>
        <v>-35.190000000000005</v>
      </c>
      <c r="Y9" s="106">
        <f>-Assumptions!$E$35*(1+Assumptions!$E$36)^1/12</f>
        <v>-35.190000000000005</v>
      </c>
      <c r="Z9" s="106">
        <f>-Assumptions!$E$35*(1+Assumptions!$E$36)^1/12</f>
        <v>-35.190000000000005</v>
      </c>
      <c r="AA9" s="106">
        <f>-Assumptions!$E$35*(1+Assumptions!$E$36)^2/12</f>
        <v>-35.893799999999999</v>
      </c>
      <c r="AB9" s="106">
        <f>-Assumptions!$E$35*(1+Assumptions!$E$36)^2/12</f>
        <v>-35.893799999999999</v>
      </c>
      <c r="AC9" s="106">
        <f>-Assumptions!$E$35*(1+Assumptions!$E$36)^2/12</f>
        <v>-35.893799999999999</v>
      </c>
      <c r="AD9" s="106">
        <f>-Assumptions!$E$35*(1+Assumptions!$E$36)^2/12</f>
        <v>-35.893799999999999</v>
      </c>
      <c r="AE9" s="106">
        <f>-Assumptions!$E$35*(1+Assumptions!$E$36)^2/12</f>
        <v>-35.893799999999999</v>
      </c>
      <c r="AF9" s="106">
        <f>-Assumptions!$E$35*(1+Assumptions!$E$36)^2/12</f>
        <v>-35.893799999999999</v>
      </c>
      <c r="AG9" s="106">
        <f>-Assumptions!$E$35*(1+Assumptions!$E$36)^2/12</f>
        <v>-35.893799999999999</v>
      </c>
      <c r="AH9" s="106">
        <f>-Assumptions!$E$35*(1+Assumptions!$E$36)^2/12</f>
        <v>-35.893799999999999</v>
      </c>
      <c r="AI9" s="106">
        <f>-Assumptions!$E$35*(1+Assumptions!$E$36)^2/12</f>
        <v>-35.893799999999999</v>
      </c>
      <c r="AJ9" s="106">
        <f>-Assumptions!$E$35*(1+Assumptions!$E$36)^2/12</f>
        <v>-35.893799999999999</v>
      </c>
      <c r="AK9" s="106">
        <f>-Assumptions!$E$35*(1+Assumptions!$E$36)^2/12</f>
        <v>-35.893799999999999</v>
      </c>
      <c r="AL9" s="106">
        <f>-Assumptions!$E$35*(1+Assumptions!$E$36)^2/12</f>
        <v>-35.893799999999999</v>
      </c>
      <c r="AM9" s="106">
        <f>-Assumptions!$E$35*(1+Assumptions!$E$36)^3/12</f>
        <v>-36.611675999999996</v>
      </c>
      <c r="AN9" s="106">
        <f>-Assumptions!$E$35*(1+Assumptions!$E$36)^3/12</f>
        <v>-36.611675999999996</v>
      </c>
      <c r="AO9" s="106">
        <f>-Assumptions!$E$35*(1+Assumptions!$E$36)^3/12</f>
        <v>-36.611675999999996</v>
      </c>
      <c r="AP9" s="106">
        <f>-Assumptions!$E$35*(1+Assumptions!$E$36)^3/12</f>
        <v>-36.611675999999996</v>
      </c>
      <c r="AQ9" s="106">
        <f>-Assumptions!$E$35*(1+Assumptions!$E$36)^3/12</f>
        <v>-36.611675999999996</v>
      </c>
      <c r="AR9" s="106">
        <f>-Assumptions!$E$35*(1+Assumptions!$E$36)^3/12</f>
        <v>-36.611675999999996</v>
      </c>
      <c r="AS9" s="106">
        <f>-Assumptions!$E$35*(1+Assumptions!$E$36)^3/12</f>
        <v>-36.611675999999996</v>
      </c>
      <c r="AT9" s="106">
        <f>-Assumptions!$E$35*(1+Assumptions!$E$36)^3/12</f>
        <v>-36.611675999999996</v>
      </c>
      <c r="AU9" s="106">
        <f>-Assumptions!$E$35*(1+Assumptions!$E$36)^3/12</f>
        <v>-36.611675999999996</v>
      </c>
      <c r="AV9" s="106">
        <f>-Assumptions!$E$35*(1+Assumptions!$E$36)^3/12</f>
        <v>-36.611675999999996</v>
      </c>
      <c r="AW9" s="106">
        <f>-Assumptions!$E$35*(1+Assumptions!$E$36)^3/12</f>
        <v>-36.611675999999996</v>
      </c>
      <c r="AX9" s="106">
        <f>-Assumptions!$E$35*(1+Assumptions!$E$36)^3/12</f>
        <v>-36.611675999999996</v>
      </c>
      <c r="AY9" s="106">
        <f>-Assumptions!$E$35*(1+Assumptions!$E$36)^4/12</f>
        <v>-37.343909519999997</v>
      </c>
      <c r="AZ9" s="106">
        <f>-Assumptions!$E$35*(1+Assumptions!$E$36)^4/12</f>
        <v>-37.343909519999997</v>
      </c>
      <c r="BA9" s="106">
        <f>-Assumptions!$E$35*(1+Assumptions!$E$36)^4/12</f>
        <v>-37.343909519999997</v>
      </c>
      <c r="BB9" s="106">
        <f>-Assumptions!$E$35*(1+Assumptions!$E$36)^4/12</f>
        <v>-37.343909519999997</v>
      </c>
      <c r="BC9" s="106">
        <f>-Assumptions!$E$35*(1+Assumptions!$E$36)^4/12</f>
        <v>-37.343909519999997</v>
      </c>
      <c r="BD9" s="106">
        <f>-Assumptions!$E$35*(1+Assumptions!$E$36)^4/12</f>
        <v>-37.343909519999997</v>
      </c>
      <c r="BE9" s="106">
        <f>-Assumptions!$E$35*(1+Assumptions!$E$36)^4/12</f>
        <v>-37.343909519999997</v>
      </c>
      <c r="BF9" s="106">
        <f>-Assumptions!$E$35*(1+Assumptions!$E$36)^4/12</f>
        <v>-37.343909519999997</v>
      </c>
      <c r="BG9" s="106">
        <f>-Assumptions!$E$35*(1+Assumptions!$E$36)^4/12</f>
        <v>-37.343909519999997</v>
      </c>
      <c r="BH9" s="106">
        <f>-Assumptions!$E$35*(1+Assumptions!$E$36)^4/12</f>
        <v>-37.343909519999997</v>
      </c>
      <c r="BI9" s="106">
        <f>-Assumptions!$E$35*(1+Assumptions!$E$36)^4/12</f>
        <v>-37.343909519999997</v>
      </c>
      <c r="BJ9" s="106">
        <f>-Assumptions!$E$35*(1+Assumptions!$E$36)^4/12</f>
        <v>-37.343909519999997</v>
      </c>
      <c r="BK9" s="106">
        <f>-Assumptions!$E$35*(1+Assumptions!$E$36)^5/12</f>
        <v>-38.090787710400001</v>
      </c>
      <c r="BL9" s="106">
        <f>-Assumptions!$E$35*(1+Assumptions!$E$36)^5/12</f>
        <v>-38.090787710400001</v>
      </c>
      <c r="BM9" s="106">
        <f>-Assumptions!$E$35*(1+Assumptions!$E$36)^5/12</f>
        <v>-38.090787710400001</v>
      </c>
      <c r="BN9" s="106">
        <f>-Assumptions!$E$35*(1+Assumptions!$E$36)^5/12</f>
        <v>-38.090787710400001</v>
      </c>
      <c r="BO9" s="106">
        <f>-Assumptions!$E$35*(1+Assumptions!$E$36)^5/12</f>
        <v>-38.090787710400001</v>
      </c>
      <c r="BP9" s="106">
        <f>-Assumptions!$E$35*(1+Assumptions!$E$36)^5/12</f>
        <v>-38.090787710400001</v>
      </c>
      <c r="BQ9" s="106">
        <f>-Assumptions!$E$35*(1+Assumptions!$E$36)^5/12</f>
        <v>-38.090787710400001</v>
      </c>
      <c r="BR9" s="106">
        <f>-Assumptions!$E$35*(1+Assumptions!$E$36)^5/12</f>
        <v>-38.090787710400001</v>
      </c>
      <c r="BS9" s="106">
        <f>-Assumptions!$E$35*(1+Assumptions!$E$36)^5/12</f>
        <v>-38.090787710400001</v>
      </c>
      <c r="BT9" s="106">
        <f>-Assumptions!$E$35*(1+Assumptions!$E$36)^5/12</f>
        <v>-38.090787710400001</v>
      </c>
      <c r="BU9" s="106">
        <f>-Assumptions!$E$35*(1+Assumptions!$E$36)^5/12</f>
        <v>-38.090787710400001</v>
      </c>
      <c r="BV9" s="106">
        <f>-Assumptions!$E$35*(1+Assumptions!$E$36)^5/12</f>
        <v>-38.090787710400001</v>
      </c>
      <c r="BW9" s="106">
        <f>-Assumptions!$E$35*(1+Assumptions!$E$36)^6/12</f>
        <v>-38.852603464608002</v>
      </c>
      <c r="BX9" s="106">
        <f>-Assumptions!$E$35*(1+Assumptions!$E$36)^6/12</f>
        <v>-38.852603464608002</v>
      </c>
      <c r="BY9" s="106">
        <f>-Assumptions!$E$35*(1+Assumptions!$E$36)^6/12</f>
        <v>-38.852603464608002</v>
      </c>
      <c r="BZ9" s="106">
        <f>-Assumptions!$E$35*(1+Assumptions!$E$36)^6/12</f>
        <v>-38.852603464608002</v>
      </c>
      <c r="CA9" s="106">
        <f>-Assumptions!$E$35*(1+Assumptions!$E$36)^6/12</f>
        <v>-38.852603464608002</v>
      </c>
      <c r="CB9" s="106">
        <f>-Assumptions!$E$35*(1+Assumptions!$E$36)^6/12</f>
        <v>-38.852603464608002</v>
      </c>
      <c r="CC9" s="106">
        <f>-Assumptions!$E$35*(1+Assumptions!$E$36)^6/12</f>
        <v>-38.852603464608002</v>
      </c>
      <c r="CD9" s="106">
        <f>-Assumptions!$E$35*(1+Assumptions!$E$36)^6/12</f>
        <v>-38.852603464608002</v>
      </c>
      <c r="CE9" s="106">
        <f>-Assumptions!$E$35*(1+Assumptions!$E$36)^6/12</f>
        <v>-38.852603464608002</v>
      </c>
      <c r="CF9" s="106">
        <f>-Assumptions!$E$35*(1+Assumptions!$E$36)^6/12</f>
        <v>-38.852603464608002</v>
      </c>
      <c r="CG9" s="106">
        <f>-Assumptions!$E$35*(1+Assumptions!$E$36)^6/12</f>
        <v>-38.852603464608002</v>
      </c>
      <c r="CH9" s="106">
        <f>-Assumptions!$E$35*(1+Assumptions!$E$36)^6/12</f>
        <v>-38.852603464608002</v>
      </c>
      <c r="CI9" s="106">
        <f>-Assumptions!$E$35*(1+Assumptions!$E$36)^7/12</f>
        <v>-39.629655533900156</v>
      </c>
      <c r="CJ9" s="106">
        <f>-Assumptions!$E$35*(1+Assumptions!$E$36)^7/12</f>
        <v>-39.629655533900156</v>
      </c>
      <c r="CK9" s="106">
        <f>-Assumptions!$E$35*(1+Assumptions!$E$36)^7/12</f>
        <v>-39.629655533900156</v>
      </c>
      <c r="CL9" s="106">
        <f>-Assumptions!$E$35*(1+Assumptions!$E$36)^7/12</f>
        <v>-39.629655533900156</v>
      </c>
      <c r="CM9" s="106">
        <f>-Assumptions!$E$35*(1+Assumptions!$E$36)^7/12</f>
        <v>-39.629655533900156</v>
      </c>
      <c r="CN9" s="106">
        <f>-Assumptions!$E$35*(1+Assumptions!$E$36)^7/12</f>
        <v>-39.629655533900156</v>
      </c>
      <c r="CO9" s="106">
        <f>-Assumptions!$E$35*(1+Assumptions!$E$36)^7/12</f>
        <v>-39.629655533900156</v>
      </c>
      <c r="CP9" s="106">
        <f>-Assumptions!$E$35*(1+Assumptions!$E$36)^7/12</f>
        <v>-39.629655533900156</v>
      </c>
      <c r="CQ9" s="106">
        <f>-Assumptions!$E$35*(1+Assumptions!$E$36)^7/12</f>
        <v>-39.629655533900156</v>
      </c>
      <c r="CR9" s="106">
        <f>-Assumptions!$E$35*(1+Assumptions!$E$36)^7/12</f>
        <v>-39.629655533900156</v>
      </c>
      <c r="CS9" s="106">
        <f>-Assumptions!$E$35*(1+Assumptions!$E$36)^7/12</f>
        <v>-39.629655533900156</v>
      </c>
      <c r="CT9" s="106">
        <f>-Assumptions!$E$35*(1+Assumptions!$E$36)^7/12</f>
        <v>-39.629655533900156</v>
      </c>
      <c r="CU9" s="106">
        <f>-Assumptions!$E$35*(1+Assumptions!$E$36)^8/12</f>
        <v>-40.422248644578161</v>
      </c>
      <c r="CV9" s="106">
        <f>-Assumptions!$E$35*(1+Assumptions!$E$36)^8/12</f>
        <v>-40.422248644578161</v>
      </c>
      <c r="CW9" s="106">
        <f>-Assumptions!$E$35*(1+Assumptions!$E$36)^8/12</f>
        <v>-40.422248644578161</v>
      </c>
      <c r="CX9" s="106">
        <f>-Assumptions!$E$35*(1+Assumptions!$E$36)^8/12</f>
        <v>-40.422248644578161</v>
      </c>
      <c r="CY9" s="106">
        <f>-Assumptions!$E$35*(1+Assumptions!$E$36)^8/12</f>
        <v>-40.422248644578161</v>
      </c>
      <c r="CZ9" s="106">
        <f>-Assumptions!$E$35*(1+Assumptions!$E$36)^8/12</f>
        <v>-40.422248644578161</v>
      </c>
      <c r="DA9" s="106">
        <f>-Assumptions!$E$35*(1+Assumptions!$E$36)^8/12</f>
        <v>-40.422248644578161</v>
      </c>
      <c r="DB9" s="106">
        <f>-Assumptions!$E$35*(1+Assumptions!$E$36)^8/12</f>
        <v>-40.422248644578161</v>
      </c>
      <c r="DC9" s="106">
        <f>-Assumptions!$E$35*(1+Assumptions!$E$36)^8/12</f>
        <v>-40.422248644578161</v>
      </c>
      <c r="DD9" s="106">
        <f>-Assumptions!$E$35*(1+Assumptions!$E$36)^8/12</f>
        <v>-40.422248644578161</v>
      </c>
      <c r="DE9" s="106">
        <f>-Assumptions!$E$35*(1+Assumptions!$E$36)^8/12</f>
        <v>-40.422248644578161</v>
      </c>
      <c r="DF9" s="106">
        <f>-Assumptions!$E$35*(1+Assumptions!$E$36)^8/12</f>
        <v>-40.422248644578161</v>
      </c>
      <c r="DG9" s="106">
        <f>-Assumptions!$E$35*(1+Assumptions!$E$36)^9/12</f>
        <v>-41.230693617469726</v>
      </c>
      <c r="DH9" s="106">
        <f>-Assumptions!$E$35*(1+Assumptions!$E$36)^9/12</f>
        <v>-41.230693617469726</v>
      </c>
      <c r="DI9" s="106">
        <f>-Assumptions!$E$35*(1+Assumptions!$E$36)^9/12</f>
        <v>-41.230693617469726</v>
      </c>
      <c r="DJ9" s="106">
        <f>-Assumptions!$E$35*(1+Assumptions!$E$36)^9/12</f>
        <v>-41.230693617469726</v>
      </c>
      <c r="DK9" s="106">
        <f>-Assumptions!$E$35*(1+Assumptions!$E$36)^9/12</f>
        <v>-41.230693617469726</v>
      </c>
      <c r="DL9" s="106">
        <f>-Assumptions!$E$35*(1+Assumptions!$E$36)^9/12</f>
        <v>-41.230693617469726</v>
      </c>
      <c r="DM9" s="106">
        <f>-Assumptions!$E$35*(1+Assumptions!$E$36)^9/12</f>
        <v>-41.230693617469726</v>
      </c>
      <c r="DN9" s="106">
        <f>-Assumptions!$E$35*(1+Assumptions!$E$36)^9/12</f>
        <v>-41.230693617469726</v>
      </c>
      <c r="DO9" s="106">
        <f>-Assumptions!$E$35*(1+Assumptions!$E$36)^9/12</f>
        <v>-41.230693617469726</v>
      </c>
      <c r="DP9" s="106">
        <f>-Assumptions!$E$35*(1+Assumptions!$E$36)^9/12</f>
        <v>-41.230693617469726</v>
      </c>
      <c r="DQ9" s="106">
        <f>-Assumptions!$E$35*(1+Assumptions!$E$36)^9/12</f>
        <v>-41.230693617469726</v>
      </c>
      <c r="DR9" s="106">
        <f>-Assumptions!$E$35*(1+Assumptions!$E$36)^9/12</f>
        <v>-41.230693617469726</v>
      </c>
      <c r="DS9" s="106">
        <f>-Assumptions!$E$35*(1+Assumptions!$E$36)^10/12</f>
        <v>-42.055307489819121</v>
      </c>
      <c r="DT9" s="106">
        <f>-Assumptions!$E$35*(1+Assumptions!$E$36)^10/12</f>
        <v>-42.055307489819121</v>
      </c>
      <c r="DU9" s="106">
        <f>-Assumptions!$E$35*(1+Assumptions!$E$36)^10/12</f>
        <v>-42.055307489819121</v>
      </c>
      <c r="DV9" s="106">
        <f>-Assumptions!$E$35*(1+Assumptions!$E$36)^10/12</f>
        <v>-42.055307489819121</v>
      </c>
      <c r="DW9" s="106">
        <f>-Assumptions!$E$35*(1+Assumptions!$E$36)^10/12</f>
        <v>-42.055307489819121</v>
      </c>
      <c r="DX9" s="106">
        <f>-Assumptions!$E$35*(1+Assumptions!$E$36)^10/12</f>
        <v>-42.055307489819121</v>
      </c>
      <c r="DY9" s="106">
        <f>-Assumptions!$E$35*(1+Assumptions!$E$36)^10/12</f>
        <v>-42.055307489819121</v>
      </c>
      <c r="DZ9" s="106">
        <f>-Assumptions!$E$35*(1+Assumptions!$E$36)^10/12</f>
        <v>-42.055307489819121</v>
      </c>
      <c r="EA9" s="106">
        <f>-Assumptions!$E$35*(1+Assumptions!$E$36)^10/12</f>
        <v>-42.055307489819121</v>
      </c>
      <c r="EB9" s="106">
        <f>-Assumptions!$E$35*(1+Assumptions!$E$36)^10/12</f>
        <v>-42.055307489819121</v>
      </c>
      <c r="EC9" s="106">
        <f>-Assumptions!$E$35*(1+Assumptions!$E$36)^10/12</f>
        <v>-42.055307489819121</v>
      </c>
      <c r="ED9" s="106">
        <f>-Assumptions!$E$35*(1+Assumptions!$E$36)^10/12</f>
        <v>-42.055307489819121</v>
      </c>
      <c r="EE9" s="106">
        <f>-Assumptions!$E$35*(1+Assumptions!$E$36)^11/12</f>
        <v>-42.896413639615496</v>
      </c>
      <c r="EF9" s="106">
        <f>-Assumptions!$E$35*(1+Assumptions!$E$36)^11/12</f>
        <v>-42.896413639615496</v>
      </c>
      <c r="EG9" s="106">
        <f>-Assumptions!$E$35*(1+Assumptions!$E$36)^11/12</f>
        <v>-42.896413639615496</v>
      </c>
      <c r="EH9" s="106">
        <f>-Assumptions!$E$35*(1+Assumptions!$E$36)^11/12</f>
        <v>-42.896413639615496</v>
      </c>
      <c r="EI9" s="106">
        <f>-Assumptions!$E$35*(1+Assumptions!$E$36)^11/12</f>
        <v>-42.896413639615496</v>
      </c>
      <c r="EJ9" s="106">
        <f>-Assumptions!$E$35*(1+Assumptions!$E$36)^11/12</f>
        <v>-42.896413639615496</v>
      </c>
      <c r="EK9" s="106">
        <f>-Assumptions!$E$35*(1+Assumptions!$E$36)^11/12</f>
        <v>-42.896413639615496</v>
      </c>
      <c r="EL9" s="106">
        <f>-Assumptions!$E$35*(1+Assumptions!$E$36)^11/12</f>
        <v>-42.896413639615496</v>
      </c>
      <c r="EM9" s="106">
        <f>-Assumptions!$E$35*(1+Assumptions!$E$36)^11/12</f>
        <v>-42.896413639615496</v>
      </c>
      <c r="EN9" s="106">
        <f>-Assumptions!$E$35*(1+Assumptions!$E$36)^11/12</f>
        <v>-42.896413639615496</v>
      </c>
      <c r="EO9" s="106">
        <f>-Assumptions!$E$35*(1+Assumptions!$E$36)^11/12</f>
        <v>-42.896413639615496</v>
      </c>
      <c r="EP9" s="106">
        <f>-Assumptions!$E$35*(1+Assumptions!$E$36)^11/12</f>
        <v>-42.896413639615496</v>
      </c>
      <c r="EQ9" s="106">
        <f>-Assumptions!$E$35*(1+Assumptions!$E$36)^12/12</f>
        <v>-43.754341912407817</v>
      </c>
      <c r="ER9" s="106">
        <f>-Assumptions!$E$35*(1+Assumptions!$E$36)^12/12</f>
        <v>-43.754341912407817</v>
      </c>
      <c r="ES9" s="106">
        <f>-Assumptions!$E$35*(1+Assumptions!$E$36)^12/12</f>
        <v>-43.754341912407817</v>
      </c>
      <c r="ET9" s="106">
        <f>-Assumptions!$E$35*(1+Assumptions!$E$36)^12/12</f>
        <v>-43.754341912407817</v>
      </c>
      <c r="EU9" s="106">
        <f>-Assumptions!$E$35*(1+Assumptions!$E$36)^12/12</f>
        <v>-43.754341912407817</v>
      </c>
      <c r="EV9" s="106">
        <f>-Assumptions!$E$35*(1+Assumptions!$E$36)^12/12</f>
        <v>-43.754341912407817</v>
      </c>
      <c r="EW9" s="106">
        <f>-Assumptions!$E$35*(1+Assumptions!$E$36)^12/12</f>
        <v>-43.754341912407817</v>
      </c>
      <c r="EX9" s="106">
        <f>-Assumptions!$E$35*(1+Assumptions!$E$36)^12/12</f>
        <v>-43.754341912407817</v>
      </c>
      <c r="EY9" s="106">
        <f>-Assumptions!$E$35*(1+Assumptions!$E$36)^12/12</f>
        <v>-43.754341912407817</v>
      </c>
      <c r="EZ9" s="106">
        <f>-Assumptions!$E$35*(1+Assumptions!$E$36)^12/12</f>
        <v>-43.754341912407817</v>
      </c>
      <c r="FA9" s="106">
        <f>-Assumptions!$E$35*(1+Assumptions!$E$36)^12/12</f>
        <v>-43.754341912407817</v>
      </c>
      <c r="FB9" s="106">
        <f>-Assumptions!$E$35*(1+Assumptions!$E$36)^12/12</f>
        <v>-43.754341912407817</v>
      </c>
      <c r="FC9" s="106">
        <f>-Assumptions!$E$35*(1+Assumptions!$E$36)^13/12</f>
        <v>-44.629428750655961</v>
      </c>
      <c r="FD9" s="106">
        <f>-Assumptions!$E$35*(1+Assumptions!$E$36)^13/12</f>
        <v>-44.629428750655961</v>
      </c>
      <c r="FE9" s="106">
        <f>-Assumptions!$E$35*(1+Assumptions!$E$36)^13/12</f>
        <v>-44.629428750655961</v>
      </c>
      <c r="FF9" s="106">
        <f>-Assumptions!$E$35*(1+Assumptions!$E$36)^13/12</f>
        <v>-44.629428750655961</v>
      </c>
      <c r="FG9" s="106">
        <f>-Assumptions!$E$35*(1+Assumptions!$E$36)^13/12</f>
        <v>-44.629428750655961</v>
      </c>
      <c r="FH9" s="106">
        <f>-Assumptions!$E$35*(1+Assumptions!$E$36)^13/12</f>
        <v>-44.629428750655961</v>
      </c>
      <c r="FI9" s="106">
        <f>-Assumptions!$E$35*(1+Assumptions!$E$36)^13/12</f>
        <v>-44.629428750655961</v>
      </c>
      <c r="FJ9" s="106">
        <f>-Assumptions!$E$35*(1+Assumptions!$E$36)^13/12</f>
        <v>-44.629428750655961</v>
      </c>
      <c r="FK9" s="106">
        <f>-Assumptions!$E$35*(1+Assumptions!$E$36)^13/12</f>
        <v>-44.629428750655961</v>
      </c>
      <c r="FL9" s="106">
        <f>-Assumptions!$E$35*(1+Assumptions!$E$36)^13/12</f>
        <v>-44.629428750655961</v>
      </c>
      <c r="FM9" s="106">
        <f>-Assumptions!$E$35*(1+Assumptions!$E$36)^13/12</f>
        <v>-44.629428750655961</v>
      </c>
      <c r="FN9" s="106">
        <f>-Assumptions!$E$35*(1+Assumptions!$E$36)^13/12</f>
        <v>-44.629428750655961</v>
      </c>
      <c r="FO9" s="106">
        <f>-Assumptions!$E$35*(1+Assumptions!$E$36)^14/12</f>
        <v>-45.52201732566909</v>
      </c>
      <c r="FP9" s="106">
        <f>-Assumptions!$E$35*(1+Assumptions!$E$36)^14/12</f>
        <v>-45.52201732566909</v>
      </c>
      <c r="FQ9" s="106">
        <f>-Assumptions!$E$35*(1+Assumptions!$E$36)^14/12</f>
        <v>-45.52201732566909</v>
      </c>
      <c r="FR9" s="106">
        <f>-Assumptions!$E$35*(1+Assumptions!$E$36)^14/12</f>
        <v>-45.52201732566909</v>
      </c>
      <c r="FS9" s="106">
        <f>-Assumptions!$E$35*(1+Assumptions!$E$36)^14/12</f>
        <v>-45.52201732566909</v>
      </c>
      <c r="FT9" s="106">
        <f>-Assumptions!$E$35*(1+Assumptions!$E$36)^14/12</f>
        <v>-45.52201732566909</v>
      </c>
      <c r="FU9" s="106">
        <f>-Assumptions!$E$35*(1+Assumptions!$E$36)^14/12</f>
        <v>-45.52201732566909</v>
      </c>
      <c r="FV9" s="106">
        <f>-Assumptions!$E$35*(1+Assumptions!$E$36)^14/12</f>
        <v>-45.52201732566909</v>
      </c>
      <c r="FW9" s="106">
        <f>-Assumptions!$E$35*(1+Assumptions!$E$36)^14/12</f>
        <v>-45.52201732566909</v>
      </c>
      <c r="FX9" s="106">
        <f>-Assumptions!$E$35*(1+Assumptions!$E$36)^14/12</f>
        <v>-45.52201732566909</v>
      </c>
      <c r="FY9" s="106">
        <f>-Assumptions!$E$35*(1+Assumptions!$E$36)^14/12</f>
        <v>-45.52201732566909</v>
      </c>
      <c r="FZ9" s="106">
        <f>-Assumptions!$E$35*(1+Assumptions!$E$36)^14/12</f>
        <v>-45.52201732566909</v>
      </c>
      <c r="GA9" s="106">
        <f>-Assumptions!$E$35*(1+Assumptions!$E$36)^15/12</f>
        <v>-46.432457672182458</v>
      </c>
      <c r="GB9" s="106">
        <f>-Assumptions!$E$35*(1+Assumptions!$E$36)^15/12</f>
        <v>-46.432457672182458</v>
      </c>
      <c r="GC9" s="106">
        <f>-Assumptions!$E$35*(1+Assumptions!$E$36)^15/12</f>
        <v>-46.432457672182458</v>
      </c>
      <c r="GD9" s="106">
        <f>-Assumptions!$E$35*(1+Assumptions!$E$36)^15/12</f>
        <v>-46.432457672182458</v>
      </c>
      <c r="GE9" s="106">
        <f>-Assumptions!$E$35*(1+Assumptions!$E$36)^15/12</f>
        <v>-46.432457672182458</v>
      </c>
      <c r="GF9" s="106">
        <f>-Assumptions!$E$35*(1+Assumptions!$E$36)^15/12</f>
        <v>-46.432457672182458</v>
      </c>
      <c r="GG9" s="106">
        <f>-Assumptions!$E$35*(1+Assumptions!$E$36)^15/12</f>
        <v>-46.432457672182458</v>
      </c>
      <c r="GH9" s="106">
        <f>-Assumptions!$E$35*(1+Assumptions!$E$36)^15/12</f>
        <v>-46.432457672182458</v>
      </c>
      <c r="GI9" s="106">
        <f>-Assumptions!$E$35*(1+Assumptions!$E$36)^15/12</f>
        <v>-46.432457672182458</v>
      </c>
      <c r="GJ9" s="106">
        <f>-Assumptions!$E$35*(1+Assumptions!$E$36)^15/12</f>
        <v>-46.432457672182458</v>
      </c>
      <c r="GK9" s="106">
        <f>-Assumptions!$E$35*(1+Assumptions!$E$36)^15/12</f>
        <v>-46.432457672182458</v>
      </c>
      <c r="GL9" s="106">
        <f>-Assumptions!$E$35*(1+Assumptions!$E$36)^15/12</f>
        <v>-46.432457672182458</v>
      </c>
      <c r="GM9" s="106">
        <f>-Assumptions!$E$35*(1+Assumptions!$E$36)^16/12</f>
        <v>-47.361106825626116</v>
      </c>
      <c r="GN9" s="106">
        <f>-Assumptions!$E$35*(1+Assumptions!$E$36)^16/12</f>
        <v>-47.361106825626116</v>
      </c>
      <c r="GO9" s="106">
        <f>-Assumptions!$E$35*(1+Assumptions!$E$36)^16/12</f>
        <v>-47.361106825626116</v>
      </c>
      <c r="GP9" s="106">
        <f>-Assumptions!$E$35*(1+Assumptions!$E$36)^16/12</f>
        <v>-47.361106825626116</v>
      </c>
      <c r="GQ9" s="106">
        <f>-Assumptions!$E$35*(1+Assumptions!$E$36)^16/12</f>
        <v>-47.361106825626116</v>
      </c>
      <c r="GR9" s="106">
        <f>-Assumptions!$E$35*(1+Assumptions!$E$36)^16/12</f>
        <v>-47.361106825626116</v>
      </c>
      <c r="GS9" s="106">
        <f>-Assumptions!$E$35*(1+Assumptions!$E$36)^16/12</f>
        <v>-47.361106825626116</v>
      </c>
      <c r="GT9" s="106">
        <f>-Assumptions!$E$35*(1+Assumptions!$E$36)^16/12</f>
        <v>-47.361106825626116</v>
      </c>
      <c r="GU9" s="106">
        <f>-Assumptions!$E$35*(1+Assumptions!$E$36)^16/12</f>
        <v>-47.361106825626116</v>
      </c>
      <c r="GV9" s="106">
        <f>-Assumptions!$E$35*(1+Assumptions!$E$36)^16/12</f>
        <v>-47.361106825626116</v>
      </c>
      <c r="GW9" s="106">
        <f>-Assumptions!$E$35*(1+Assumptions!$E$36)^16/12</f>
        <v>-47.361106825626116</v>
      </c>
      <c r="GX9" s="106">
        <f>-Assumptions!$E$35*(1+Assumptions!$E$36)^16/12</f>
        <v>-47.361106825626116</v>
      </c>
      <c r="GY9" s="106">
        <f>-Assumptions!$E$35*(1+Assumptions!$E$36)^17/12</f>
        <v>-48.308328962138638</v>
      </c>
      <c r="GZ9" s="106">
        <f>-Assumptions!$E$35*(1+Assumptions!$E$36)^17/12</f>
        <v>-48.308328962138638</v>
      </c>
      <c r="HA9" s="106">
        <f>-Assumptions!$E$35*(1+Assumptions!$E$36)^17/12</f>
        <v>-48.308328962138638</v>
      </c>
      <c r="HB9" s="106">
        <f>-Assumptions!$E$35*(1+Assumptions!$E$36)^17/12</f>
        <v>-48.308328962138638</v>
      </c>
      <c r="HC9" s="106">
        <f>-Assumptions!$E$35*(1+Assumptions!$E$36)^17/12</f>
        <v>-48.308328962138638</v>
      </c>
      <c r="HD9" s="106">
        <f>-Assumptions!$E$35*(1+Assumptions!$E$36)^17/12</f>
        <v>-48.308328962138638</v>
      </c>
      <c r="HE9" s="106">
        <f>-Assumptions!$E$35*(1+Assumptions!$E$36)^17/12</f>
        <v>-48.308328962138638</v>
      </c>
      <c r="HF9" s="106">
        <f>-Assumptions!$E$35*(1+Assumptions!$E$36)^17/12</f>
        <v>-48.308328962138638</v>
      </c>
      <c r="HG9" s="106">
        <f>-Assumptions!$E$35*(1+Assumptions!$E$36)^17/12</f>
        <v>-48.308328962138638</v>
      </c>
      <c r="HH9" s="106">
        <f>-Assumptions!$E$35*(1+Assumptions!$E$36)^17/12</f>
        <v>-48.308328962138638</v>
      </c>
      <c r="HI9" s="106">
        <f>-Assumptions!$E$35*(1+Assumptions!$E$36)^17/12</f>
        <v>-48.308328962138638</v>
      </c>
      <c r="HJ9" s="106">
        <f>-Assumptions!$E$35*(1+Assumptions!$E$36)^17/12</f>
        <v>-48.308328962138638</v>
      </c>
      <c r="HK9" s="106">
        <f>-Assumptions!$E$35*(1+Assumptions!$E$36)^18/12</f>
        <v>-49.274495541381413</v>
      </c>
      <c r="HL9" s="106">
        <f>-Assumptions!$E$35*(1+Assumptions!$E$36)^18/12</f>
        <v>-49.274495541381413</v>
      </c>
      <c r="HM9" s="106">
        <f>-Assumptions!$E$35*(1+Assumptions!$E$36)^18/12</f>
        <v>-49.274495541381413</v>
      </c>
      <c r="HN9" s="106">
        <f>-Assumptions!$E$35*(1+Assumptions!$E$36)^18/12</f>
        <v>-49.274495541381413</v>
      </c>
      <c r="HO9" s="106">
        <f>-Assumptions!$E$35*(1+Assumptions!$E$36)^18/12</f>
        <v>-49.274495541381413</v>
      </c>
      <c r="HP9" s="106">
        <f>-Assumptions!$E$35*(1+Assumptions!$E$36)^18/12</f>
        <v>-49.274495541381413</v>
      </c>
      <c r="HQ9" s="106">
        <f>-Assumptions!$E$35*(1+Assumptions!$E$36)^18/12</f>
        <v>-49.274495541381413</v>
      </c>
      <c r="HR9" s="106">
        <f>-Assumptions!$E$35*(1+Assumptions!$E$36)^18/12</f>
        <v>-49.274495541381413</v>
      </c>
      <c r="HS9" s="106">
        <f>-Assumptions!$E$35*(1+Assumptions!$E$36)^18/12</f>
        <v>-49.274495541381413</v>
      </c>
      <c r="HT9" s="106">
        <f>-Assumptions!$E$35*(1+Assumptions!$E$36)^18/12</f>
        <v>-49.274495541381413</v>
      </c>
      <c r="HU9" s="106">
        <f>-Assumptions!$E$35*(1+Assumptions!$E$36)^18/12</f>
        <v>-49.274495541381413</v>
      </c>
      <c r="HV9" s="106">
        <f>-Assumptions!$E$35*(1+Assumptions!$E$36)^18/12</f>
        <v>-49.274495541381413</v>
      </c>
      <c r="HW9" s="106">
        <f>-Assumptions!$E$35*(1+Assumptions!$E$36)^19/12</f>
        <v>-50.259985452209037</v>
      </c>
      <c r="HX9" s="106">
        <f>-Assumptions!$E$35*(1+Assumptions!$E$36)^19/12</f>
        <v>-50.259985452209037</v>
      </c>
      <c r="HY9" s="106">
        <f>-Assumptions!$E$35*(1+Assumptions!$E$36)^19/12</f>
        <v>-50.259985452209037</v>
      </c>
      <c r="HZ9" s="106">
        <f>-Assumptions!$E$35*(1+Assumptions!$E$36)^19/12</f>
        <v>-50.259985452209037</v>
      </c>
      <c r="IA9" s="106">
        <f>-Assumptions!$E$35*(1+Assumptions!$E$36)^19/12</f>
        <v>-50.259985452209037</v>
      </c>
      <c r="IB9" s="106">
        <f>-Assumptions!$E$35*(1+Assumptions!$E$36)^19/12</f>
        <v>-50.259985452209037</v>
      </c>
      <c r="IC9" s="106">
        <f>-Assumptions!$E$35*(1+Assumptions!$E$36)^19/12</f>
        <v>-50.259985452209037</v>
      </c>
      <c r="ID9" s="106">
        <f>-Assumptions!$E$35*(1+Assumptions!$E$36)^19/12</f>
        <v>-50.259985452209037</v>
      </c>
      <c r="IE9" s="106">
        <f>-Assumptions!$E$35*(1+Assumptions!$E$36)^19/12</f>
        <v>-50.259985452209037</v>
      </c>
      <c r="IF9" s="106">
        <f>-Assumptions!$E$35*(1+Assumptions!$E$36)^19/12</f>
        <v>-50.259985452209037</v>
      </c>
      <c r="IG9" s="106">
        <f>-Assumptions!$E$35*(1+Assumptions!$E$36)^19/12</f>
        <v>-50.259985452209037</v>
      </c>
      <c r="IH9" s="106">
        <f>-Assumptions!$E$35*(1+Assumptions!$E$36)^19/12</f>
        <v>-50.259985452209037</v>
      </c>
      <c r="II9" s="106">
        <f>-Assumptions!$E$35*(1+Assumptions!$E$36)^20/12</f>
        <v>-51.265185161253221</v>
      </c>
      <c r="IJ9" s="106">
        <f>-Assumptions!$E$35*(1+Assumptions!$E$36)^20/12</f>
        <v>-51.265185161253221</v>
      </c>
      <c r="IK9" s="106">
        <f>-Assumptions!$E$35*(1+Assumptions!$E$36)^20/12</f>
        <v>-51.265185161253221</v>
      </c>
      <c r="IL9" s="106">
        <f>-Assumptions!$E$35*(1+Assumptions!$E$36)^20/12</f>
        <v>-51.265185161253221</v>
      </c>
      <c r="IM9" s="106">
        <f>-Assumptions!$E$35*(1+Assumptions!$E$36)^20/12</f>
        <v>-51.265185161253221</v>
      </c>
      <c r="IN9" s="106">
        <f>-Assumptions!$E$35*(1+Assumptions!$E$36)^20/12</f>
        <v>-51.265185161253221</v>
      </c>
      <c r="IO9" s="106">
        <f>-Assumptions!$E$35*(1+Assumptions!$E$36)^20/12</f>
        <v>-51.265185161253221</v>
      </c>
      <c r="IP9" s="106">
        <f>-Assumptions!$E$35*(1+Assumptions!$E$36)^20/12</f>
        <v>-51.265185161253221</v>
      </c>
      <c r="IQ9" s="106">
        <f>-Assumptions!$E$35*(1+Assumptions!$E$36)^20/12</f>
        <v>-51.265185161253221</v>
      </c>
      <c r="IR9" s="106">
        <f>-Assumptions!$E$35*(1+Assumptions!$E$36)^20/12</f>
        <v>-51.265185161253221</v>
      </c>
      <c r="IS9" s="106">
        <f>-Assumptions!$E$35*(1+Assumptions!$E$36)^20/12</f>
        <v>-51.265185161253221</v>
      </c>
      <c r="IT9" s="106">
        <f>-Assumptions!$E$35*(1+Assumptions!$E$36)^20/12</f>
        <v>-51.265185161253221</v>
      </c>
      <c r="IU9" s="106">
        <f>-Assumptions!$E$35*(1+Assumptions!$E$36)^21/12</f>
        <v>-52.290488864478277</v>
      </c>
      <c r="IV9" s="106">
        <f>-Assumptions!$E$35*(1+Assumptions!$E$36)^21/12</f>
        <v>-52.290488864478277</v>
      </c>
      <c r="IW9" s="106">
        <f>-Assumptions!$E$35*(1+Assumptions!$E$36)^21/12</f>
        <v>-52.290488864478277</v>
      </c>
      <c r="IX9" s="106">
        <f>-Assumptions!$E$35*(1+Assumptions!$E$36)^21/12</f>
        <v>-52.290488864478277</v>
      </c>
      <c r="IY9" s="106">
        <f>-Assumptions!$E$35*(1+Assumptions!$E$36)^21/12</f>
        <v>-52.290488864478277</v>
      </c>
      <c r="IZ9" s="106">
        <f>-Assumptions!$E$35*(1+Assumptions!$E$36)^21/12</f>
        <v>-52.290488864478277</v>
      </c>
      <c r="JA9" s="106">
        <f>-Assumptions!$E$35*(1+Assumptions!$E$36)^21/12</f>
        <v>-52.290488864478277</v>
      </c>
      <c r="JB9" s="106">
        <f>-Assumptions!$E$35*(1+Assumptions!$E$36)^21/12</f>
        <v>-52.290488864478277</v>
      </c>
      <c r="JC9" s="106">
        <f>-Assumptions!$E$35*(1+Assumptions!$E$36)^21/12</f>
        <v>-52.290488864478277</v>
      </c>
      <c r="JD9" s="106">
        <f>-Assumptions!$E$35*(1+Assumptions!$E$36)^21/12</f>
        <v>-52.290488864478277</v>
      </c>
      <c r="JE9" s="106">
        <f>-Assumptions!$E$35*(1+Assumptions!$E$36)^21/12</f>
        <v>-52.290488864478277</v>
      </c>
      <c r="JF9" s="106">
        <f>-Assumptions!$E$35*(1+Assumptions!$E$36)^21/12</f>
        <v>-52.290488864478277</v>
      </c>
      <c r="JG9" s="106">
        <f>-Assumptions!$E$35*(1+Assumptions!$E$36)^22/12</f>
        <v>-53.336298641767854</v>
      </c>
      <c r="JH9" s="106">
        <f>-Assumptions!$E$35*(1+Assumptions!$E$36)^22/12</f>
        <v>-53.336298641767854</v>
      </c>
      <c r="JI9" s="106">
        <f>-Assumptions!$E$35*(1+Assumptions!$E$36)^22/12</f>
        <v>-53.336298641767854</v>
      </c>
      <c r="JJ9" s="106">
        <f>-Assumptions!$E$35*(1+Assumptions!$E$36)^22/12</f>
        <v>-53.336298641767854</v>
      </c>
      <c r="JK9" s="106">
        <f>-Assumptions!$E$35*(1+Assumptions!$E$36)^22/12</f>
        <v>-53.336298641767854</v>
      </c>
      <c r="JL9" s="106">
        <f>-Assumptions!$E$35*(1+Assumptions!$E$36)^22/12</f>
        <v>-53.336298641767854</v>
      </c>
      <c r="JM9" s="106">
        <f>-Assumptions!$E$35*(1+Assumptions!$E$36)^22/12</f>
        <v>-53.336298641767854</v>
      </c>
      <c r="JN9" s="106">
        <f>-Assumptions!$E$35*(1+Assumptions!$E$36)^22/12</f>
        <v>-53.336298641767854</v>
      </c>
      <c r="JO9" s="106">
        <f>-Assumptions!$E$35*(1+Assumptions!$E$36)^22/12</f>
        <v>-53.336298641767854</v>
      </c>
      <c r="JP9" s="106">
        <f>-Assumptions!$E$35*(1+Assumptions!$E$36)^22/12</f>
        <v>-53.336298641767854</v>
      </c>
      <c r="JQ9" s="106">
        <f>-Assumptions!$E$35*(1+Assumptions!$E$36)^22/12</f>
        <v>-53.336298641767854</v>
      </c>
      <c r="JR9" s="106">
        <f>-Assumptions!$E$35*(1+Assumptions!$E$36)^22/12</f>
        <v>-53.336298641767854</v>
      </c>
      <c r="JS9" s="106">
        <f>-Assumptions!$E$35*(1+Assumptions!$E$36)^23/12</f>
        <v>-54.403024614603197</v>
      </c>
      <c r="JT9" s="106">
        <f>-Assumptions!$E$35*(1+Assumptions!$E$36)^23/12</f>
        <v>-54.403024614603197</v>
      </c>
      <c r="JU9" s="106">
        <f>-Assumptions!$E$35*(1+Assumptions!$E$36)^23/12</f>
        <v>-54.403024614603197</v>
      </c>
      <c r="JV9" s="106">
        <f>-Assumptions!$E$35*(1+Assumptions!$E$36)^23/12</f>
        <v>-54.403024614603197</v>
      </c>
      <c r="JW9" s="106">
        <f>-Assumptions!$E$35*(1+Assumptions!$E$36)^23/12</f>
        <v>-54.403024614603197</v>
      </c>
      <c r="JX9" s="106">
        <f>-Assumptions!$E$35*(1+Assumptions!$E$36)^23/12</f>
        <v>-54.403024614603197</v>
      </c>
      <c r="JY9" s="106">
        <f>-Assumptions!$E$35*(1+Assumptions!$E$36)^23/12</f>
        <v>-54.403024614603197</v>
      </c>
      <c r="JZ9" s="106">
        <f>-Assumptions!$E$35*(1+Assumptions!$E$36)^23/12</f>
        <v>-54.403024614603197</v>
      </c>
      <c r="KA9" s="106">
        <f>-Assumptions!$E$35*(1+Assumptions!$E$36)^23/12</f>
        <v>-54.403024614603197</v>
      </c>
      <c r="KB9" s="106">
        <f>-Assumptions!$E$35*(1+Assumptions!$E$36)^23/12</f>
        <v>-54.403024614603197</v>
      </c>
      <c r="KC9" s="106">
        <f>-Assumptions!$E$35*(1+Assumptions!$E$36)^23/12</f>
        <v>-54.403024614603197</v>
      </c>
      <c r="KD9" s="106">
        <f>-Assumptions!$E$35*(1+Assumptions!$E$36)^23/12</f>
        <v>-54.403024614603197</v>
      </c>
      <c r="KE9" s="106">
        <f>-Assumptions!$E$35*(1+Assumptions!$E$36)^24/12</f>
        <v>-55.491085106895262</v>
      </c>
      <c r="KF9" s="106">
        <f>-Assumptions!$E$35*(1+Assumptions!$E$36)^24/12</f>
        <v>-55.491085106895262</v>
      </c>
      <c r="KG9" s="106">
        <f>-Assumptions!$E$35*(1+Assumptions!$E$36)^24/12</f>
        <v>-55.491085106895262</v>
      </c>
      <c r="KH9" s="106">
        <f>-Assumptions!$E$35*(1+Assumptions!$E$36)^24/12</f>
        <v>-55.491085106895262</v>
      </c>
      <c r="KI9" s="106">
        <f>-Assumptions!$E$35*(1+Assumptions!$E$36)^24/12</f>
        <v>-55.491085106895262</v>
      </c>
      <c r="KJ9" s="106">
        <f>-Assumptions!$E$35*(1+Assumptions!$E$36)^24/12</f>
        <v>-55.491085106895262</v>
      </c>
      <c r="KK9" s="106">
        <f>-Assumptions!$E$35*(1+Assumptions!$E$36)^24/12</f>
        <v>-55.491085106895262</v>
      </c>
      <c r="KL9" s="106">
        <f>-Assumptions!$E$35*(1+Assumptions!$E$36)^24/12</f>
        <v>-55.491085106895262</v>
      </c>
      <c r="KM9" s="106">
        <f>-Assumptions!$E$35*(1+Assumptions!$E$36)^24/12</f>
        <v>-55.491085106895262</v>
      </c>
      <c r="KN9" s="106">
        <f>-Assumptions!$E$35*(1+Assumptions!$E$36)^24/12</f>
        <v>-55.491085106895262</v>
      </c>
      <c r="KO9" s="106">
        <f>-Assumptions!$E$35*(1+Assumptions!$E$36)^24/12</f>
        <v>-55.491085106895262</v>
      </c>
      <c r="KP9" s="106">
        <f>-Assumptions!$E$35*(1+Assumptions!$E$36)^24/12</f>
        <v>-55.491085106895262</v>
      </c>
    </row>
    <row r="10" spans="1:302" ht="16" customHeight="1" x14ac:dyDescent="0.2">
      <c r="A10" s="108" t="s">
        <v>444</v>
      </c>
      <c r="B10" s="109" t="s">
        <v>215</v>
      </c>
      <c r="C10" s="110">
        <f t="shared" ref="C10:BN10" si="5">C8+C9</f>
        <v>166.40567249999995</v>
      </c>
      <c r="D10" s="110">
        <f t="shared" si="5"/>
        <v>166.40567249999995</v>
      </c>
      <c r="E10" s="110">
        <f t="shared" si="5"/>
        <v>166.40567249999995</v>
      </c>
      <c r="F10" s="110">
        <f t="shared" si="5"/>
        <v>166.40567249999995</v>
      </c>
      <c r="G10" s="110">
        <f t="shared" si="5"/>
        <v>166.40567249999995</v>
      </c>
      <c r="H10" s="110">
        <f t="shared" si="5"/>
        <v>166.40567249999995</v>
      </c>
      <c r="I10" s="110">
        <f t="shared" si="5"/>
        <v>166.40567249999995</v>
      </c>
      <c r="J10" s="110">
        <f t="shared" si="5"/>
        <v>166.40567249999995</v>
      </c>
      <c r="K10" s="110">
        <f t="shared" si="5"/>
        <v>166.40567249999995</v>
      </c>
      <c r="L10" s="110">
        <f t="shared" si="5"/>
        <v>166.40567249999995</v>
      </c>
      <c r="M10" s="110">
        <f t="shared" si="5"/>
        <v>166.40567249999995</v>
      </c>
      <c r="N10" s="110">
        <f t="shared" si="5"/>
        <v>166.40567249999995</v>
      </c>
      <c r="O10" s="110">
        <f t="shared" si="5"/>
        <v>164.71114413749996</v>
      </c>
      <c r="P10" s="110">
        <f t="shared" si="5"/>
        <v>164.71114413749996</v>
      </c>
      <c r="Q10" s="110">
        <f t="shared" si="5"/>
        <v>164.71114413749996</v>
      </c>
      <c r="R10" s="110">
        <f t="shared" si="5"/>
        <v>164.71114413749996</v>
      </c>
      <c r="S10" s="110">
        <f t="shared" si="5"/>
        <v>164.71114413749996</v>
      </c>
      <c r="T10" s="110">
        <f t="shared" si="5"/>
        <v>164.71114413749996</v>
      </c>
      <c r="U10" s="110">
        <f t="shared" si="5"/>
        <v>164.71114413749996</v>
      </c>
      <c r="V10" s="110">
        <f t="shared" si="5"/>
        <v>164.71114413749996</v>
      </c>
      <c r="W10" s="110">
        <f t="shared" si="5"/>
        <v>164.71114413749996</v>
      </c>
      <c r="X10" s="110">
        <f t="shared" si="5"/>
        <v>164.71114413749996</v>
      </c>
      <c r="Y10" s="110">
        <f t="shared" si="5"/>
        <v>164.71114413749996</v>
      </c>
      <c r="Z10" s="110">
        <f t="shared" si="5"/>
        <v>164.71114413749996</v>
      </c>
      <c r="AA10" s="110">
        <f t="shared" si="5"/>
        <v>163.00783841681249</v>
      </c>
      <c r="AB10" s="110">
        <f t="shared" si="5"/>
        <v>163.00783841681249</v>
      </c>
      <c r="AC10" s="110">
        <f t="shared" si="5"/>
        <v>163.00783841681249</v>
      </c>
      <c r="AD10" s="110">
        <f t="shared" si="5"/>
        <v>163.00783841681249</v>
      </c>
      <c r="AE10" s="110">
        <f t="shared" si="5"/>
        <v>163.00783841681249</v>
      </c>
      <c r="AF10" s="110">
        <f t="shared" si="5"/>
        <v>163.00783841681249</v>
      </c>
      <c r="AG10" s="110">
        <f t="shared" si="5"/>
        <v>163.00783841681249</v>
      </c>
      <c r="AH10" s="110">
        <f t="shared" si="5"/>
        <v>163.00783841681249</v>
      </c>
      <c r="AI10" s="110">
        <f t="shared" si="5"/>
        <v>163.00783841681249</v>
      </c>
      <c r="AJ10" s="110">
        <f t="shared" si="5"/>
        <v>163.00783841681249</v>
      </c>
      <c r="AK10" s="110">
        <f t="shared" si="5"/>
        <v>163.00783841681249</v>
      </c>
      <c r="AL10" s="110">
        <f t="shared" si="5"/>
        <v>163.00783841681249</v>
      </c>
      <c r="AM10" s="110">
        <f t="shared" si="5"/>
        <v>161.29545422472839</v>
      </c>
      <c r="AN10" s="110">
        <f t="shared" si="5"/>
        <v>161.29545422472839</v>
      </c>
      <c r="AO10" s="110">
        <f t="shared" si="5"/>
        <v>161.29545422472839</v>
      </c>
      <c r="AP10" s="110">
        <f t="shared" si="5"/>
        <v>161.29545422472839</v>
      </c>
      <c r="AQ10" s="110">
        <f t="shared" si="5"/>
        <v>161.29545422472839</v>
      </c>
      <c r="AR10" s="110">
        <f t="shared" si="5"/>
        <v>161.29545422472839</v>
      </c>
      <c r="AS10" s="110">
        <f t="shared" si="5"/>
        <v>161.29545422472839</v>
      </c>
      <c r="AT10" s="110">
        <f t="shared" si="5"/>
        <v>161.29545422472839</v>
      </c>
      <c r="AU10" s="110">
        <f t="shared" si="5"/>
        <v>161.29545422472839</v>
      </c>
      <c r="AV10" s="110">
        <f t="shared" si="5"/>
        <v>161.29545422472839</v>
      </c>
      <c r="AW10" s="110">
        <f t="shared" si="5"/>
        <v>161.29545422472839</v>
      </c>
      <c r="AX10" s="110">
        <f t="shared" si="5"/>
        <v>161.29545422472839</v>
      </c>
      <c r="AY10" s="110">
        <f t="shared" si="5"/>
        <v>159.57368505360478</v>
      </c>
      <c r="AZ10" s="110">
        <f t="shared" si="5"/>
        <v>159.57368505360478</v>
      </c>
      <c r="BA10" s="110">
        <f t="shared" si="5"/>
        <v>159.57368505360478</v>
      </c>
      <c r="BB10" s="110">
        <f t="shared" si="5"/>
        <v>159.57368505360478</v>
      </c>
      <c r="BC10" s="110">
        <f t="shared" si="5"/>
        <v>159.57368505360478</v>
      </c>
      <c r="BD10" s="110">
        <f t="shared" si="5"/>
        <v>159.57368505360478</v>
      </c>
      <c r="BE10" s="110">
        <f t="shared" si="5"/>
        <v>159.57368505360478</v>
      </c>
      <c r="BF10" s="110">
        <f t="shared" si="5"/>
        <v>159.57368505360478</v>
      </c>
      <c r="BG10" s="110">
        <f t="shared" si="5"/>
        <v>159.57368505360478</v>
      </c>
      <c r="BH10" s="110">
        <f t="shared" si="5"/>
        <v>159.57368505360478</v>
      </c>
      <c r="BI10" s="110">
        <f t="shared" si="5"/>
        <v>159.57368505360478</v>
      </c>
      <c r="BJ10" s="110">
        <f t="shared" si="5"/>
        <v>159.57368505360478</v>
      </c>
      <c r="BK10" s="110">
        <f t="shared" si="5"/>
        <v>157.84221889033674</v>
      </c>
      <c r="BL10" s="110">
        <f t="shared" si="5"/>
        <v>157.84221889033674</v>
      </c>
      <c r="BM10" s="110">
        <f t="shared" si="5"/>
        <v>157.84221889033674</v>
      </c>
      <c r="BN10" s="110">
        <f t="shared" si="5"/>
        <v>157.84221889033674</v>
      </c>
      <c r="BO10" s="110">
        <f t="shared" ref="BO10:DZ10" si="6">BO8+BO9</f>
        <v>157.84221889033674</v>
      </c>
      <c r="BP10" s="110">
        <f t="shared" si="6"/>
        <v>157.84221889033674</v>
      </c>
      <c r="BQ10" s="110">
        <f t="shared" si="6"/>
        <v>157.84221889033674</v>
      </c>
      <c r="BR10" s="110">
        <f t="shared" si="6"/>
        <v>157.84221889033674</v>
      </c>
      <c r="BS10" s="110">
        <f t="shared" si="6"/>
        <v>157.84221889033674</v>
      </c>
      <c r="BT10" s="110">
        <f t="shared" si="6"/>
        <v>157.84221889033674</v>
      </c>
      <c r="BU10" s="110">
        <f t="shared" si="6"/>
        <v>157.84221889033674</v>
      </c>
      <c r="BV10" s="110">
        <f t="shared" si="6"/>
        <v>157.84221889033674</v>
      </c>
      <c r="BW10" s="110">
        <f t="shared" si="6"/>
        <v>156.10073810312508</v>
      </c>
      <c r="BX10" s="110">
        <f t="shared" si="6"/>
        <v>156.10073810312508</v>
      </c>
      <c r="BY10" s="110">
        <f t="shared" si="6"/>
        <v>156.10073810312508</v>
      </c>
      <c r="BZ10" s="110">
        <f t="shared" si="6"/>
        <v>156.10073810312508</v>
      </c>
      <c r="CA10" s="110">
        <f t="shared" si="6"/>
        <v>156.10073810312508</v>
      </c>
      <c r="CB10" s="110">
        <f t="shared" si="6"/>
        <v>156.10073810312508</v>
      </c>
      <c r="CC10" s="110">
        <f t="shared" si="6"/>
        <v>156.10073810312508</v>
      </c>
      <c r="CD10" s="110">
        <f t="shared" si="6"/>
        <v>156.10073810312508</v>
      </c>
      <c r="CE10" s="110">
        <f t="shared" si="6"/>
        <v>156.10073810312508</v>
      </c>
      <c r="CF10" s="110">
        <f t="shared" si="6"/>
        <v>156.10073810312508</v>
      </c>
      <c r="CG10" s="110">
        <f t="shared" si="6"/>
        <v>156.10073810312508</v>
      </c>
      <c r="CH10" s="110">
        <f t="shared" si="6"/>
        <v>156.10073810312508</v>
      </c>
      <c r="CI10" s="110">
        <f t="shared" si="6"/>
        <v>154.34891932599422</v>
      </c>
      <c r="CJ10" s="110">
        <f t="shared" si="6"/>
        <v>154.34891932599422</v>
      </c>
      <c r="CK10" s="110">
        <f t="shared" si="6"/>
        <v>154.34891932599422</v>
      </c>
      <c r="CL10" s="110">
        <f t="shared" si="6"/>
        <v>154.34891932599422</v>
      </c>
      <c r="CM10" s="110">
        <f t="shared" si="6"/>
        <v>154.34891932599422</v>
      </c>
      <c r="CN10" s="110">
        <f t="shared" si="6"/>
        <v>154.34891932599422</v>
      </c>
      <c r="CO10" s="110">
        <f t="shared" si="6"/>
        <v>154.34891932599422</v>
      </c>
      <c r="CP10" s="110">
        <f t="shared" si="6"/>
        <v>154.34891932599422</v>
      </c>
      <c r="CQ10" s="110">
        <f t="shared" si="6"/>
        <v>154.34891932599422</v>
      </c>
      <c r="CR10" s="110">
        <f t="shared" si="6"/>
        <v>154.34891932599422</v>
      </c>
      <c r="CS10" s="110">
        <f t="shared" si="6"/>
        <v>154.34891932599422</v>
      </c>
      <c r="CT10" s="110">
        <f t="shared" si="6"/>
        <v>154.34891932599422</v>
      </c>
      <c r="CU10" s="110">
        <f t="shared" si="6"/>
        <v>152.58643334101674</v>
      </c>
      <c r="CV10" s="110">
        <f t="shared" si="6"/>
        <v>152.58643334101674</v>
      </c>
      <c r="CW10" s="110">
        <f t="shared" si="6"/>
        <v>152.58643334101674</v>
      </c>
      <c r="CX10" s="110">
        <f t="shared" si="6"/>
        <v>152.58643334101674</v>
      </c>
      <c r="CY10" s="110">
        <f t="shared" si="6"/>
        <v>152.58643334101674</v>
      </c>
      <c r="CZ10" s="110">
        <f t="shared" si="6"/>
        <v>152.58643334101674</v>
      </c>
      <c r="DA10" s="110">
        <f t="shared" si="6"/>
        <v>152.58643334101674</v>
      </c>
      <c r="DB10" s="110">
        <f t="shared" si="6"/>
        <v>152.58643334101674</v>
      </c>
      <c r="DC10" s="110">
        <f t="shared" si="6"/>
        <v>152.58643334101674</v>
      </c>
      <c r="DD10" s="110">
        <f t="shared" si="6"/>
        <v>152.58643334101674</v>
      </c>
      <c r="DE10" s="110">
        <f t="shared" si="6"/>
        <v>152.58643334101674</v>
      </c>
      <c r="DF10" s="110">
        <f t="shared" si="6"/>
        <v>152.58643334101674</v>
      </c>
      <c r="DG10" s="110">
        <f t="shared" si="6"/>
        <v>150.81294495819719</v>
      </c>
      <c r="DH10" s="110">
        <f t="shared" si="6"/>
        <v>150.81294495819719</v>
      </c>
      <c r="DI10" s="110">
        <f t="shared" si="6"/>
        <v>150.81294495819719</v>
      </c>
      <c r="DJ10" s="110">
        <f t="shared" si="6"/>
        <v>150.81294495819719</v>
      </c>
      <c r="DK10" s="110">
        <f t="shared" si="6"/>
        <v>150.81294495819719</v>
      </c>
      <c r="DL10" s="110">
        <f t="shared" si="6"/>
        <v>150.81294495819719</v>
      </c>
      <c r="DM10" s="110">
        <f t="shared" si="6"/>
        <v>150.81294495819719</v>
      </c>
      <c r="DN10" s="110">
        <f t="shared" si="6"/>
        <v>150.81294495819719</v>
      </c>
      <c r="DO10" s="110">
        <f t="shared" si="6"/>
        <v>150.81294495819719</v>
      </c>
      <c r="DP10" s="110">
        <f t="shared" si="6"/>
        <v>150.81294495819719</v>
      </c>
      <c r="DQ10" s="110">
        <f t="shared" si="6"/>
        <v>150.81294495819719</v>
      </c>
      <c r="DR10" s="110">
        <f t="shared" si="6"/>
        <v>150.81294495819719</v>
      </c>
      <c r="DS10" s="110">
        <f t="shared" si="6"/>
        <v>306.66046970354705</v>
      </c>
      <c r="DT10" s="110">
        <f t="shared" si="6"/>
        <v>309.30506424164486</v>
      </c>
      <c r="DU10" s="110">
        <f t="shared" si="6"/>
        <v>309.33393906961385</v>
      </c>
      <c r="DV10" s="110">
        <f t="shared" si="6"/>
        <v>307.23244607522628</v>
      </c>
      <c r="DW10" s="110">
        <f t="shared" si="6"/>
        <v>308.70506230164295</v>
      </c>
      <c r="DX10" s="110">
        <f t="shared" si="6"/>
        <v>309.93776267802343</v>
      </c>
      <c r="DY10" s="110">
        <f t="shared" si="6"/>
        <v>309.19168807888445</v>
      </c>
      <c r="DZ10" s="110">
        <f t="shared" si="6"/>
        <v>307.97894530418836</v>
      </c>
      <c r="EA10" s="110">
        <f t="shared" ref="EA10:GL10" si="7">EA8+EA9</f>
        <v>309.06514839160872</v>
      </c>
      <c r="EB10" s="110">
        <f t="shared" si="7"/>
        <v>307.67958127892194</v>
      </c>
      <c r="EC10" s="110">
        <f t="shared" si="7"/>
        <v>309.65580847550302</v>
      </c>
      <c r="ED10" s="110">
        <f t="shared" si="7"/>
        <v>305.34581577131354</v>
      </c>
      <c r="EE10" s="110">
        <f t="shared" si="7"/>
        <v>304.49364376832784</v>
      </c>
      <c r="EF10" s="110">
        <f t="shared" si="7"/>
        <v>302.62489674941384</v>
      </c>
      <c r="EG10" s="110">
        <f t="shared" si="7"/>
        <v>302.48293450696411</v>
      </c>
      <c r="EH10" s="110">
        <f t="shared" si="7"/>
        <v>304.3347812589198</v>
      </c>
      <c r="EI10" s="110">
        <f t="shared" si="7"/>
        <v>303.37695862905821</v>
      </c>
      <c r="EJ10" s="110">
        <f t="shared" si="7"/>
        <v>305.5300526395456</v>
      </c>
      <c r="EK10" s="110">
        <f t="shared" si="7"/>
        <v>303.33259542829268</v>
      </c>
      <c r="EL10" s="110">
        <f t="shared" si="7"/>
        <v>306.25803163877441</v>
      </c>
      <c r="EM10" s="110">
        <f t="shared" si="7"/>
        <v>305.65553712171095</v>
      </c>
      <c r="EN10" s="110">
        <f t="shared" si="7"/>
        <v>301.43300542217975</v>
      </c>
      <c r="EO10" s="110">
        <f t="shared" si="7"/>
        <v>304.47082840793416</v>
      </c>
      <c r="EP10" s="110">
        <f t="shared" si="7"/>
        <v>304.54772462259439</v>
      </c>
      <c r="EQ10" s="110">
        <f t="shared" si="7"/>
        <v>302.04211961043632</v>
      </c>
      <c r="ER10" s="110">
        <f t="shared" si="7"/>
        <v>305.7277150409688</v>
      </c>
      <c r="ES10" s="110">
        <f t="shared" si="7"/>
        <v>303.77414346965764</v>
      </c>
      <c r="ET10" s="110">
        <f t="shared" si="7"/>
        <v>301.8478975174848</v>
      </c>
      <c r="EU10" s="110">
        <f t="shared" si="7"/>
        <v>301.90212836162056</v>
      </c>
      <c r="EV10" s="110">
        <f t="shared" si="7"/>
        <v>301.86723564795182</v>
      </c>
      <c r="EW10" s="110">
        <f t="shared" si="7"/>
        <v>300.66869195313626</v>
      </c>
      <c r="EX10" s="110">
        <f t="shared" si="7"/>
        <v>302.69499171076905</v>
      </c>
      <c r="EY10" s="110">
        <f t="shared" si="7"/>
        <v>302.42593946079285</v>
      </c>
      <c r="EZ10" s="110">
        <f t="shared" si="7"/>
        <v>302.48143148735051</v>
      </c>
      <c r="FA10" s="110">
        <f t="shared" si="7"/>
        <v>302.22583184987315</v>
      </c>
      <c r="FB10" s="110">
        <f t="shared" si="7"/>
        <v>302.7492225549048</v>
      </c>
      <c r="FC10" s="110">
        <f t="shared" si="7"/>
        <v>300.33361400029719</v>
      </c>
      <c r="FD10" s="110">
        <f t="shared" si="7"/>
        <v>298.44753460628687</v>
      </c>
      <c r="FE10" s="110">
        <f t="shared" si="7"/>
        <v>296.5187894109481</v>
      </c>
      <c r="FF10" s="110">
        <f t="shared" si="7"/>
        <v>297.40305905808452</v>
      </c>
      <c r="FG10" s="110">
        <f t="shared" si="7"/>
        <v>299.60369416384827</v>
      </c>
      <c r="FH10" s="110">
        <f t="shared" si="7"/>
        <v>299.29666771115291</v>
      </c>
      <c r="FI10" s="110">
        <f t="shared" si="7"/>
        <v>298.66881116415584</v>
      </c>
      <c r="FJ10" s="110">
        <f t="shared" si="7"/>
        <v>297.93847303553707</v>
      </c>
      <c r="FK10" s="110">
        <f t="shared" si="7"/>
        <v>297.28217262098786</v>
      </c>
      <c r="FL10" s="110">
        <f t="shared" si="7"/>
        <v>296.24104341014464</v>
      </c>
      <c r="FM10" s="110">
        <f t="shared" si="7"/>
        <v>296.55559912189796</v>
      </c>
      <c r="FN10" s="110">
        <f t="shared" si="7"/>
        <v>296.17537153947274</v>
      </c>
      <c r="FO10" s="110">
        <f t="shared" si="7"/>
        <v>294.12398189184529</v>
      </c>
      <c r="FP10" s="110">
        <f t="shared" si="7"/>
        <v>291.24054337964839</v>
      </c>
      <c r="FQ10" s="110">
        <f t="shared" si="7"/>
        <v>293.73525042960625</v>
      </c>
      <c r="FR10" s="110">
        <f t="shared" si="7"/>
        <v>292.29103396925359</v>
      </c>
      <c r="FS10" s="110">
        <f t="shared" si="7"/>
        <v>292.590698479759</v>
      </c>
      <c r="FT10" s="110">
        <f t="shared" si="7"/>
        <v>292.61150851521086</v>
      </c>
      <c r="FU10" s="110">
        <f t="shared" si="7"/>
        <v>294.01493730607802</v>
      </c>
      <c r="FV10" s="110">
        <f t="shared" si="7"/>
        <v>294.00203508409794</v>
      </c>
      <c r="FW10" s="110">
        <f t="shared" si="7"/>
        <v>291.20974452717974</v>
      </c>
      <c r="FX10" s="110">
        <f t="shared" si="7"/>
        <v>293.22873416671018</v>
      </c>
      <c r="FY10" s="110">
        <f t="shared" si="7"/>
        <v>291.65965749364699</v>
      </c>
      <c r="FZ10" s="110">
        <f t="shared" si="7"/>
        <v>289.80090512709512</v>
      </c>
      <c r="GA10" s="110">
        <f t="shared" si="7"/>
        <v>289.20618007143105</v>
      </c>
      <c r="GB10" s="110">
        <f t="shared" si="7"/>
        <v>288.48726826270013</v>
      </c>
      <c r="GC10" s="110">
        <f t="shared" si="7"/>
        <v>288.49555065680994</v>
      </c>
      <c r="GD10" s="110">
        <f t="shared" si="7"/>
        <v>287.55260008740879</v>
      </c>
      <c r="GE10" s="110">
        <f t="shared" si="7"/>
        <v>286.52558321779316</v>
      </c>
      <c r="GF10" s="110">
        <f t="shared" si="7"/>
        <v>288.491409459755</v>
      </c>
      <c r="GG10" s="110">
        <f t="shared" si="7"/>
        <v>285.95534038333324</v>
      </c>
      <c r="GH10" s="110">
        <f t="shared" si="7"/>
        <v>288.24790707292681</v>
      </c>
      <c r="GI10" s="110">
        <f t="shared" si="7"/>
        <v>288.41893851129419</v>
      </c>
      <c r="GJ10" s="110">
        <f t="shared" si="7"/>
        <v>287.03867753289546</v>
      </c>
      <c r="GK10" s="110">
        <f t="shared" si="7"/>
        <v>291.66853584027558</v>
      </c>
      <c r="GL10" s="110">
        <f t="shared" si="7"/>
        <v>289.74991924473971</v>
      </c>
      <c r="GM10" s="110">
        <f t="shared" ref="GM10:IX10" si="8">GM8+GM9</f>
        <v>286.64548722924917</v>
      </c>
      <c r="GN10" s="110">
        <f t="shared" si="8"/>
        <v>285.16005019864855</v>
      </c>
      <c r="GO10" s="110">
        <f t="shared" si="8"/>
        <v>286.25733697049026</v>
      </c>
      <c r="GP10" s="110">
        <f t="shared" si="8"/>
        <v>286.36488178740757</v>
      </c>
      <c r="GQ10" s="110">
        <f t="shared" si="8"/>
        <v>284.73399142204914</v>
      </c>
      <c r="GR10" s="110">
        <f t="shared" si="8"/>
        <v>284.98328113176149</v>
      </c>
      <c r="GS10" s="110">
        <f t="shared" si="8"/>
        <v>284.78220116756376</v>
      </c>
      <c r="GT10" s="110">
        <f t="shared" si="8"/>
        <v>283.44098132440013</v>
      </c>
      <c r="GU10" s="110">
        <f t="shared" si="8"/>
        <v>281.92958520006084</v>
      </c>
      <c r="GV10" s="110">
        <f t="shared" si="8"/>
        <v>283.20240489146863</v>
      </c>
      <c r="GW10" s="110">
        <f t="shared" si="8"/>
        <v>282.44794297661991</v>
      </c>
      <c r="GX10" s="110">
        <f t="shared" si="8"/>
        <v>281.26577408874385</v>
      </c>
      <c r="GY10" s="110">
        <f t="shared" si="8"/>
        <v>281.1841393907369</v>
      </c>
      <c r="GZ10" s="110">
        <f t="shared" si="8"/>
        <v>280.50929772482652</v>
      </c>
      <c r="HA10" s="110">
        <f t="shared" si="8"/>
        <v>277.40486206609444</v>
      </c>
      <c r="HB10" s="110">
        <f t="shared" si="8"/>
        <v>280.48592835972511</v>
      </c>
      <c r="HC10" s="110">
        <f t="shared" si="8"/>
        <v>280.17474681390138</v>
      </c>
      <c r="HD10" s="110">
        <f t="shared" si="8"/>
        <v>278.58726994245251</v>
      </c>
      <c r="HE10" s="110">
        <f t="shared" si="8"/>
        <v>277.37411290148731</v>
      </c>
      <c r="HF10" s="110">
        <f t="shared" si="8"/>
        <v>278.14407198324892</v>
      </c>
      <c r="HG10" s="110">
        <f t="shared" si="8"/>
        <v>278.96609965041188</v>
      </c>
      <c r="HH10" s="110">
        <f t="shared" si="8"/>
        <v>278.99684881501895</v>
      </c>
      <c r="HI10" s="110">
        <f t="shared" si="8"/>
        <v>281.14929033751548</v>
      </c>
      <c r="HJ10" s="110">
        <f t="shared" si="8"/>
        <v>282.48790397007764</v>
      </c>
      <c r="HK10" s="110">
        <f t="shared" si="8"/>
        <v>277.78726774885786</v>
      </c>
      <c r="HL10" s="110">
        <f t="shared" si="8"/>
        <v>278.23926406902763</v>
      </c>
      <c r="HM10" s="110">
        <f t="shared" si="8"/>
        <v>279.6829598967181</v>
      </c>
      <c r="HN10" s="110">
        <f t="shared" si="8"/>
        <v>280.10028140893269</v>
      </c>
      <c r="HO10" s="110">
        <f t="shared" si="8"/>
        <v>280.8027522242146</v>
      </c>
      <c r="HP10" s="110">
        <f t="shared" si="8"/>
        <v>278.31840421894913</v>
      </c>
      <c r="HQ10" s="110">
        <f t="shared" si="8"/>
        <v>277.85988087610531</v>
      </c>
      <c r="HR10" s="110">
        <f t="shared" si="8"/>
        <v>279.23177945438249</v>
      </c>
      <c r="HS10" s="110">
        <f t="shared" si="8"/>
        <v>276.53897466246826</v>
      </c>
      <c r="HT10" s="110">
        <f t="shared" si="8"/>
        <v>278.32778681404295</v>
      </c>
      <c r="HU10" s="110">
        <f t="shared" si="8"/>
        <v>274.98839883849234</v>
      </c>
      <c r="HV10" s="110">
        <f t="shared" si="8"/>
        <v>274.7624006784074</v>
      </c>
      <c r="HW10" s="110">
        <f t="shared" si="8"/>
        <v>272.41203689745538</v>
      </c>
      <c r="HX10" s="110">
        <f t="shared" si="8"/>
        <v>272.78465238374264</v>
      </c>
      <c r="HY10" s="110">
        <f t="shared" si="8"/>
        <v>273.08095881619329</v>
      </c>
      <c r="HZ10" s="110">
        <f t="shared" si="8"/>
        <v>271.60389154538785</v>
      </c>
      <c r="IA10" s="110">
        <f t="shared" si="8"/>
        <v>273.41907286856514</v>
      </c>
      <c r="IB10" s="110">
        <f t="shared" si="8"/>
        <v>272.64948794263847</v>
      </c>
      <c r="IC10" s="110">
        <f t="shared" si="8"/>
        <v>273.16416815681299</v>
      </c>
      <c r="ID10" s="110">
        <f t="shared" si="8"/>
        <v>273.14427909490882</v>
      </c>
      <c r="IE10" s="110">
        <f t="shared" si="8"/>
        <v>273.21531145885245</v>
      </c>
      <c r="IF10" s="110">
        <f t="shared" si="8"/>
        <v>273.42272596156801</v>
      </c>
      <c r="IG10" s="110">
        <f t="shared" si="8"/>
        <v>272.401889416892</v>
      </c>
      <c r="IH10" s="110">
        <f t="shared" si="8"/>
        <v>273.11789564544404</v>
      </c>
      <c r="II10" s="110">
        <f t="shared" si="8"/>
        <v>269.74743592785069</v>
      </c>
      <c r="IJ10" s="110">
        <f t="shared" si="8"/>
        <v>267.33027561521214</v>
      </c>
      <c r="IK10" s="110">
        <f t="shared" si="8"/>
        <v>269.22442463213355</v>
      </c>
      <c r="IL10" s="110">
        <f t="shared" si="8"/>
        <v>266.30081168256118</v>
      </c>
      <c r="IM10" s="110">
        <f t="shared" si="8"/>
        <v>266.10937743223695</v>
      </c>
      <c r="IN10" s="110">
        <f t="shared" si="8"/>
        <v>267.26363711035248</v>
      </c>
      <c r="IO10" s="110">
        <f t="shared" si="8"/>
        <v>266.89894274739294</v>
      </c>
      <c r="IP10" s="110">
        <f t="shared" si="8"/>
        <v>267.6024838108209</v>
      </c>
      <c r="IQ10" s="110">
        <f t="shared" si="8"/>
        <v>266.41954938212945</v>
      </c>
      <c r="IR10" s="110">
        <f t="shared" si="8"/>
        <v>266.2543666640226</v>
      </c>
      <c r="IS10" s="110">
        <f t="shared" si="8"/>
        <v>266.82341910855195</v>
      </c>
      <c r="IT10" s="110">
        <f t="shared" si="8"/>
        <v>266.45872474559241</v>
      </c>
      <c r="IU10" s="110">
        <f t="shared" si="8"/>
        <v>264.85746444486477</v>
      </c>
      <c r="IV10" s="110">
        <f t="shared" si="8"/>
        <v>265.16045962971879</v>
      </c>
      <c r="IW10" s="110">
        <f t="shared" si="8"/>
        <v>263.59203760520296</v>
      </c>
      <c r="IX10" s="110">
        <f t="shared" si="8"/>
        <v>262.60428937659424</v>
      </c>
      <c r="IY10" s="110">
        <f t="shared" ref="IY10:KP10" si="9">IY8+IY9</f>
        <v>261.29988305028672</v>
      </c>
      <c r="IZ10" s="110">
        <f t="shared" si="9"/>
        <v>262.69269645970815</v>
      </c>
      <c r="JA10" s="110">
        <f t="shared" si="9"/>
        <v>260.55525430024102</v>
      </c>
      <c r="JB10" s="110">
        <f t="shared" si="9"/>
        <v>262.11403191568996</v>
      </c>
      <c r="JC10" s="110">
        <f t="shared" si="9"/>
        <v>262.35514214236423</v>
      </c>
      <c r="JD10" s="110">
        <f t="shared" si="9"/>
        <v>262.92134932467081</v>
      </c>
      <c r="JE10" s="110">
        <f t="shared" si="9"/>
        <v>260.49859339697258</v>
      </c>
      <c r="JF10" s="110">
        <f t="shared" si="9"/>
        <v>261.84197920992585</v>
      </c>
      <c r="JG10" s="110">
        <f t="shared" si="9"/>
        <v>258.05317291112135</v>
      </c>
      <c r="JH10" s="110">
        <f t="shared" si="9"/>
        <v>257.44101614736621</v>
      </c>
      <c r="JI10" s="110">
        <f t="shared" si="9"/>
        <v>255.52217858416529</v>
      </c>
      <c r="JJ10" s="110">
        <f t="shared" si="9"/>
        <v>255.21430091722121</v>
      </c>
      <c r="JK10" s="110">
        <f t="shared" si="9"/>
        <v>253.84684426663839</v>
      </c>
      <c r="JL10" s="110">
        <f t="shared" si="9"/>
        <v>254.70130475268971</v>
      </c>
      <c r="JM10" s="110">
        <f t="shared" si="9"/>
        <v>253.50737915074805</v>
      </c>
      <c r="JN10" s="110">
        <f t="shared" si="9"/>
        <v>256.60174962409917</v>
      </c>
      <c r="JO10" s="110">
        <f t="shared" si="9"/>
        <v>255.22149805748742</v>
      </c>
      <c r="JP10" s="110">
        <f t="shared" si="9"/>
        <v>257.76408777709457</v>
      </c>
      <c r="JQ10" s="110">
        <f t="shared" si="9"/>
        <v>255.89123194337233</v>
      </c>
      <c r="JR10" s="110">
        <f t="shared" si="9"/>
        <v>254.11233877423686</v>
      </c>
      <c r="JS10" s="110">
        <f t="shared" si="9"/>
        <v>254.48820559715816</v>
      </c>
      <c r="JT10" s="110">
        <f t="shared" si="9"/>
        <v>253.92645280573421</v>
      </c>
      <c r="JU10" s="110">
        <f t="shared" si="9"/>
        <v>254.80846834297708</v>
      </c>
      <c r="JV10" s="110">
        <f t="shared" si="9"/>
        <v>253.04960921345494</v>
      </c>
      <c r="JW10" s="110">
        <f t="shared" si="9"/>
        <v>252.07052024766577</v>
      </c>
      <c r="JX10" s="110">
        <f t="shared" si="9"/>
        <v>252.9266760600909</v>
      </c>
      <c r="JY10" s="110">
        <f t="shared" si="9"/>
        <v>252.74486230252668</v>
      </c>
      <c r="JZ10" s="110">
        <f t="shared" si="9"/>
        <v>251.7295697219927</v>
      </c>
      <c r="KA10" s="110">
        <f t="shared" si="9"/>
        <v>252.09160586944014</v>
      </c>
      <c r="KB10" s="110">
        <f t="shared" si="9"/>
        <v>252.84710767603653</v>
      </c>
      <c r="KC10" s="110">
        <f t="shared" si="9"/>
        <v>254.04222480453333</v>
      </c>
      <c r="KD10" s="110">
        <f t="shared" si="9"/>
        <v>252.50178088924045</v>
      </c>
      <c r="KE10" s="110">
        <f t="shared" si="9"/>
        <v>253.30886425467887</v>
      </c>
      <c r="KF10" s="110">
        <f t="shared" si="9"/>
        <v>253.32628177394841</v>
      </c>
      <c r="KG10" s="110">
        <f t="shared" si="9"/>
        <v>254.30166285304071</v>
      </c>
      <c r="KH10" s="110">
        <f t="shared" si="9"/>
        <v>251.35928965462645</v>
      </c>
      <c r="KI10" s="110">
        <f t="shared" si="9"/>
        <v>252.27054259459001</v>
      </c>
      <c r="KJ10" s="110">
        <f t="shared" si="9"/>
        <v>251.33197581759018</v>
      </c>
      <c r="KK10" s="110">
        <f t="shared" si="9"/>
        <v>251.55761186267236</v>
      </c>
      <c r="KL10" s="110">
        <f t="shared" si="9"/>
        <v>-55.491085106895262</v>
      </c>
      <c r="KM10" s="110">
        <f t="shared" si="9"/>
        <v>-55.491085106895262</v>
      </c>
      <c r="KN10" s="110">
        <f t="shared" si="9"/>
        <v>-55.491085106895262</v>
      </c>
      <c r="KO10" s="110">
        <f t="shared" si="9"/>
        <v>-55.491085106895262</v>
      </c>
      <c r="KP10" s="110">
        <f t="shared" si="9"/>
        <v>-55.491085106895262</v>
      </c>
    </row>
    <row r="11" spans="1:302" ht="16" customHeight="1" x14ac:dyDescent="0.2">
      <c r="A11" s="104" t="s">
        <v>445</v>
      </c>
      <c r="B11" s="105" t="s">
        <v>215</v>
      </c>
      <c r="C11" s="106">
        <f>IF(C10&gt;0,-C10*Assumptions!$E$47,0)</f>
        <v>-36.60924794999999</v>
      </c>
      <c r="D11" s="106">
        <f>IF(D10&gt;0,-D10*Assumptions!$E$47,0)</f>
        <v>-36.60924794999999</v>
      </c>
      <c r="E11" s="106">
        <f>IF(E10&gt;0,-E10*Assumptions!$E$47,0)</f>
        <v>-36.60924794999999</v>
      </c>
      <c r="F11" s="106">
        <f>IF(F10&gt;0,-F10*Assumptions!$E$47,0)</f>
        <v>-36.60924794999999</v>
      </c>
      <c r="G11" s="106">
        <f>IF(G10&gt;0,-G10*Assumptions!$E$47,0)</f>
        <v>-36.60924794999999</v>
      </c>
      <c r="H11" s="106">
        <f>IF(H10&gt;0,-H10*Assumptions!$E$47,0)</f>
        <v>-36.60924794999999</v>
      </c>
      <c r="I11" s="106">
        <f>IF(I10&gt;0,-I10*Assumptions!$E$47,0)</f>
        <v>-36.60924794999999</v>
      </c>
      <c r="J11" s="106">
        <f>IF(J10&gt;0,-J10*Assumptions!$E$47,0)</f>
        <v>-36.60924794999999</v>
      </c>
      <c r="K11" s="106">
        <f>IF(K10&gt;0,-K10*Assumptions!$E$47,0)</f>
        <v>-36.60924794999999</v>
      </c>
      <c r="L11" s="106">
        <f>IF(L10&gt;0,-L10*Assumptions!$E$47,0)</f>
        <v>-36.60924794999999</v>
      </c>
      <c r="M11" s="106">
        <f>IF(M10&gt;0,-M10*Assumptions!$E$47,0)</f>
        <v>-36.60924794999999</v>
      </c>
      <c r="N11" s="106">
        <f>IF(N10&gt;0,-N10*Assumptions!$E$47,0)</f>
        <v>-36.60924794999999</v>
      </c>
      <c r="O11" s="106">
        <f>IF(O10&gt;0,-O10*Assumptions!$E$47,0)</f>
        <v>-36.236451710249987</v>
      </c>
      <c r="P11" s="106">
        <f>IF(P10&gt;0,-P10*Assumptions!$E$47,0)</f>
        <v>-36.236451710249987</v>
      </c>
      <c r="Q11" s="106">
        <f>IF(Q10&gt;0,-Q10*Assumptions!$E$47,0)</f>
        <v>-36.236451710249987</v>
      </c>
      <c r="R11" s="106">
        <f>IF(R10&gt;0,-R10*Assumptions!$E$47,0)</f>
        <v>-36.236451710249987</v>
      </c>
      <c r="S11" s="106">
        <f>IF(S10&gt;0,-S10*Assumptions!$E$47,0)</f>
        <v>-36.236451710249987</v>
      </c>
      <c r="T11" s="106">
        <f>IF(T10&gt;0,-T10*Assumptions!$E$47,0)</f>
        <v>-36.236451710249987</v>
      </c>
      <c r="U11" s="106">
        <f>IF(U10&gt;0,-U10*Assumptions!$E$47,0)</f>
        <v>-36.236451710249987</v>
      </c>
      <c r="V11" s="106">
        <f>IF(V10&gt;0,-V10*Assumptions!$E$47,0)</f>
        <v>-36.236451710249987</v>
      </c>
      <c r="W11" s="106">
        <f>IF(W10&gt;0,-W10*Assumptions!$E$47,0)</f>
        <v>-36.236451710249987</v>
      </c>
      <c r="X11" s="106">
        <f>IF(X10&gt;0,-X10*Assumptions!$E$47,0)</f>
        <v>-36.236451710249987</v>
      </c>
      <c r="Y11" s="106">
        <f>IF(Y10&gt;0,-Y10*Assumptions!$E$47,0)</f>
        <v>-36.236451710249987</v>
      </c>
      <c r="Z11" s="106">
        <f>IF(Z10&gt;0,-Z10*Assumptions!$E$47,0)</f>
        <v>-36.236451710249987</v>
      </c>
      <c r="AA11" s="106">
        <f>IF(AA10&gt;0,-AA10*Assumptions!$E$47,0)</f>
        <v>-35.861724451698748</v>
      </c>
      <c r="AB11" s="106">
        <f>IF(AB10&gt;0,-AB10*Assumptions!$E$47,0)</f>
        <v>-35.861724451698748</v>
      </c>
      <c r="AC11" s="106">
        <f>IF(AC10&gt;0,-AC10*Assumptions!$E$47,0)</f>
        <v>-35.861724451698748</v>
      </c>
      <c r="AD11" s="106">
        <f>IF(AD10&gt;0,-AD10*Assumptions!$E$47,0)</f>
        <v>-35.861724451698748</v>
      </c>
      <c r="AE11" s="106">
        <f>IF(AE10&gt;0,-AE10*Assumptions!$E$47,0)</f>
        <v>-35.861724451698748</v>
      </c>
      <c r="AF11" s="106">
        <f>IF(AF10&gt;0,-AF10*Assumptions!$E$47,0)</f>
        <v>-35.861724451698748</v>
      </c>
      <c r="AG11" s="106">
        <f>IF(AG10&gt;0,-AG10*Assumptions!$E$47,0)</f>
        <v>-35.861724451698748</v>
      </c>
      <c r="AH11" s="106">
        <f>IF(AH10&gt;0,-AH10*Assumptions!$E$47,0)</f>
        <v>-35.861724451698748</v>
      </c>
      <c r="AI11" s="106">
        <f>IF(AI10&gt;0,-AI10*Assumptions!$E$47,0)</f>
        <v>-35.861724451698748</v>
      </c>
      <c r="AJ11" s="106">
        <f>IF(AJ10&gt;0,-AJ10*Assumptions!$E$47,0)</f>
        <v>-35.861724451698748</v>
      </c>
      <c r="AK11" s="106">
        <f>IF(AK10&gt;0,-AK10*Assumptions!$E$47,0)</f>
        <v>-35.861724451698748</v>
      </c>
      <c r="AL11" s="106">
        <f>IF(AL10&gt;0,-AL10*Assumptions!$E$47,0)</f>
        <v>-35.861724451698748</v>
      </c>
      <c r="AM11" s="106">
        <f>IF(AM10&gt;0,-AM10*Assumptions!$E$47,0)</f>
        <v>-35.484999929440242</v>
      </c>
      <c r="AN11" s="106">
        <f>IF(AN10&gt;0,-AN10*Assumptions!$E$47,0)</f>
        <v>-35.484999929440242</v>
      </c>
      <c r="AO11" s="106">
        <f>IF(AO10&gt;0,-AO10*Assumptions!$E$47,0)</f>
        <v>-35.484999929440242</v>
      </c>
      <c r="AP11" s="106">
        <f>IF(AP10&gt;0,-AP10*Assumptions!$E$47,0)</f>
        <v>-35.484999929440242</v>
      </c>
      <c r="AQ11" s="106">
        <f>IF(AQ10&gt;0,-AQ10*Assumptions!$E$47,0)</f>
        <v>-35.484999929440242</v>
      </c>
      <c r="AR11" s="106">
        <f>IF(AR10&gt;0,-AR10*Assumptions!$E$47,0)</f>
        <v>-35.484999929440242</v>
      </c>
      <c r="AS11" s="106">
        <f>IF(AS10&gt;0,-AS10*Assumptions!$E$47,0)</f>
        <v>-35.484999929440242</v>
      </c>
      <c r="AT11" s="106">
        <f>IF(AT10&gt;0,-AT10*Assumptions!$E$47,0)</f>
        <v>-35.484999929440242</v>
      </c>
      <c r="AU11" s="106">
        <f>IF(AU10&gt;0,-AU10*Assumptions!$E$47,0)</f>
        <v>-35.484999929440242</v>
      </c>
      <c r="AV11" s="106">
        <f>IF(AV10&gt;0,-AV10*Assumptions!$E$47,0)</f>
        <v>-35.484999929440242</v>
      </c>
      <c r="AW11" s="106">
        <f>IF(AW10&gt;0,-AW10*Assumptions!$E$47,0)</f>
        <v>-35.484999929440242</v>
      </c>
      <c r="AX11" s="106">
        <f>IF(AX10&gt;0,-AX10*Assumptions!$E$47,0)</f>
        <v>-35.484999929440242</v>
      </c>
      <c r="AY11" s="106">
        <f>IF(AY10&gt;0,-AY10*Assumptions!$E$47,0)</f>
        <v>-35.106210711793054</v>
      </c>
      <c r="AZ11" s="106">
        <f>IF(AZ10&gt;0,-AZ10*Assumptions!$E$47,0)</f>
        <v>-35.106210711793054</v>
      </c>
      <c r="BA11" s="106">
        <f>IF(BA10&gt;0,-BA10*Assumptions!$E$47,0)</f>
        <v>-35.106210711793054</v>
      </c>
      <c r="BB11" s="106">
        <f>IF(BB10&gt;0,-BB10*Assumptions!$E$47,0)</f>
        <v>-35.106210711793054</v>
      </c>
      <c r="BC11" s="106">
        <f>IF(BC10&gt;0,-BC10*Assumptions!$E$47,0)</f>
        <v>-35.106210711793054</v>
      </c>
      <c r="BD11" s="106">
        <f>IF(BD10&gt;0,-BD10*Assumptions!$E$47,0)</f>
        <v>-35.106210711793054</v>
      </c>
      <c r="BE11" s="106">
        <f>IF(BE10&gt;0,-BE10*Assumptions!$E$47,0)</f>
        <v>-35.106210711793054</v>
      </c>
      <c r="BF11" s="106">
        <f>IF(BF10&gt;0,-BF10*Assumptions!$E$47,0)</f>
        <v>-35.106210711793054</v>
      </c>
      <c r="BG11" s="106">
        <f>IF(BG10&gt;0,-BG10*Assumptions!$E$47,0)</f>
        <v>-35.106210711793054</v>
      </c>
      <c r="BH11" s="106">
        <f>IF(BH10&gt;0,-BH10*Assumptions!$E$47,0)</f>
        <v>-35.106210711793054</v>
      </c>
      <c r="BI11" s="106">
        <f>IF(BI10&gt;0,-BI10*Assumptions!$E$47,0)</f>
        <v>-35.106210711793054</v>
      </c>
      <c r="BJ11" s="106">
        <f>IF(BJ10&gt;0,-BJ10*Assumptions!$E$47,0)</f>
        <v>-35.106210711793054</v>
      </c>
      <c r="BK11" s="106">
        <f>IF(BK10&gt;0,-BK10*Assumptions!$E$47,0)</f>
        <v>-34.725288155874082</v>
      </c>
      <c r="BL11" s="106">
        <f>IF(BL10&gt;0,-BL10*Assumptions!$E$47,0)</f>
        <v>-34.725288155874082</v>
      </c>
      <c r="BM11" s="106">
        <f>IF(BM10&gt;0,-BM10*Assumptions!$E$47,0)</f>
        <v>-34.725288155874082</v>
      </c>
      <c r="BN11" s="106">
        <f>IF(BN10&gt;0,-BN10*Assumptions!$E$47,0)</f>
        <v>-34.725288155874082</v>
      </c>
      <c r="BO11" s="106">
        <f>IF(BO10&gt;0,-BO10*Assumptions!$E$47,0)</f>
        <v>-34.725288155874082</v>
      </c>
      <c r="BP11" s="106">
        <f>IF(BP10&gt;0,-BP10*Assumptions!$E$47,0)</f>
        <v>-34.725288155874082</v>
      </c>
      <c r="BQ11" s="106">
        <f>IF(BQ10&gt;0,-BQ10*Assumptions!$E$47,0)</f>
        <v>-34.725288155874082</v>
      </c>
      <c r="BR11" s="106">
        <f>IF(BR10&gt;0,-BR10*Assumptions!$E$47,0)</f>
        <v>-34.725288155874082</v>
      </c>
      <c r="BS11" s="106">
        <f>IF(BS10&gt;0,-BS10*Assumptions!$E$47,0)</f>
        <v>-34.725288155874082</v>
      </c>
      <c r="BT11" s="106">
        <f>IF(BT10&gt;0,-BT10*Assumptions!$E$47,0)</f>
        <v>-34.725288155874082</v>
      </c>
      <c r="BU11" s="106">
        <f>IF(BU10&gt;0,-BU10*Assumptions!$E$47,0)</f>
        <v>-34.725288155874082</v>
      </c>
      <c r="BV11" s="106">
        <f>IF(BV10&gt;0,-BV10*Assumptions!$E$47,0)</f>
        <v>-34.725288155874082</v>
      </c>
      <c r="BW11" s="106">
        <f>IF(BW10&gt;0,-BW10*Assumptions!$E$47,0)</f>
        <v>-34.342162382687519</v>
      </c>
      <c r="BX11" s="106">
        <f>IF(BX10&gt;0,-BX10*Assumptions!$E$47,0)</f>
        <v>-34.342162382687519</v>
      </c>
      <c r="BY11" s="106">
        <f>IF(BY10&gt;0,-BY10*Assumptions!$E$47,0)</f>
        <v>-34.342162382687519</v>
      </c>
      <c r="BZ11" s="106">
        <f>IF(BZ10&gt;0,-BZ10*Assumptions!$E$47,0)</f>
        <v>-34.342162382687519</v>
      </c>
      <c r="CA11" s="106">
        <f>IF(CA10&gt;0,-CA10*Assumptions!$E$47,0)</f>
        <v>-34.342162382687519</v>
      </c>
      <c r="CB11" s="106">
        <f>IF(CB10&gt;0,-CB10*Assumptions!$E$47,0)</f>
        <v>-34.342162382687519</v>
      </c>
      <c r="CC11" s="106">
        <f>IF(CC10&gt;0,-CC10*Assumptions!$E$47,0)</f>
        <v>-34.342162382687519</v>
      </c>
      <c r="CD11" s="106">
        <f>IF(CD10&gt;0,-CD10*Assumptions!$E$47,0)</f>
        <v>-34.342162382687519</v>
      </c>
      <c r="CE11" s="106">
        <f>IF(CE10&gt;0,-CE10*Assumptions!$E$47,0)</f>
        <v>-34.342162382687519</v>
      </c>
      <c r="CF11" s="106">
        <f>IF(CF10&gt;0,-CF10*Assumptions!$E$47,0)</f>
        <v>-34.342162382687519</v>
      </c>
      <c r="CG11" s="106">
        <f>IF(CG10&gt;0,-CG10*Assumptions!$E$47,0)</f>
        <v>-34.342162382687519</v>
      </c>
      <c r="CH11" s="106">
        <f>IF(CH10&gt;0,-CH10*Assumptions!$E$47,0)</f>
        <v>-34.342162382687519</v>
      </c>
      <c r="CI11" s="106">
        <f>IF(CI10&gt;0,-CI10*Assumptions!$E$47,0)</f>
        <v>-33.956762251718729</v>
      </c>
      <c r="CJ11" s="106">
        <f>IF(CJ10&gt;0,-CJ10*Assumptions!$E$47,0)</f>
        <v>-33.956762251718729</v>
      </c>
      <c r="CK11" s="106">
        <f>IF(CK10&gt;0,-CK10*Assumptions!$E$47,0)</f>
        <v>-33.956762251718729</v>
      </c>
      <c r="CL11" s="106">
        <f>IF(CL10&gt;0,-CL10*Assumptions!$E$47,0)</f>
        <v>-33.956762251718729</v>
      </c>
      <c r="CM11" s="106">
        <f>IF(CM10&gt;0,-CM10*Assumptions!$E$47,0)</f>
        <v>-33.956762251718729</v>
      </c>
      <c r="CN11" s="106">
        <f>IF(CN10&gt;0,-CN10*Assumptions!$E$47,0)</f>
        <v>-33.956762251718729</v>
      </c>
      <c r="CO11" s="106">
        <f>IF(CO10&gt;0,-CO10*Assumptions!$E$47,0)</f>
        <v>-33.956762251718729</v>
      </c>
      <c r="CP11" s="106">
        <f>IF(CP10&gt;0,-CP10*Assumptions!$E$47,0)</f>
        <v>-33.956762251718729</v>
      </c>
      <c r="CQ11" s="106">
        <f>IF(CQ10&gt;0,-CQ10*Assumptions!$E$47,0)</f>
        <v>-33.956762251718729</v>
      </c>
      <c r="CR11" s="106">
        <f>IF(CR10&gt;0,-CR10*Assumptions!$E$47,0)</f>
        <v>-33.956762251718729</v>
      </c>
      <c r="CS11" s="106">
        <f>IF(CS10&gt;0,-CS10*Assumptions!$E$47,0)</f>
        <v>-33.956762251718729</v>
      </c>
      <c r="CT11" s="106">
        <f>IF(CT10&gt;0,-CT10*Assumptions!$E$47,0)</f>
        <v>-33.956762251718729</v>
      </c>
      <c r="CU11" s="106">
        <f>IF(CU10&gt;0,-CU10*Assumptions!$E$47,0)</f>
        <v>-33.569015335023686</v>
      </c>
      <c r="CV11" s="106">
        <f>IF(CV10&gt;0,-CV10*Assumptions!$E$47,0)</f>
        <v>-33.569015335023686</v>
      </c>
      <c r="CW11" s="106">
        <f>IF(CW10&gt;0,-CW10*Assumptions!$E$47,0)</f>
        <v>-33.569015335023686</v>
      </c>
      <c r="CX11" s="106">
        <f>IF(CX10&gt;0,-CX10*Assumptions!$E$47,0)</f>
        <v>-33.569015335023686</v>
      </c>
      <c r="CY11" s="106">
        <f>IF(CY10&gt;0,-CY10*Assumptions!$E$47,0)</f>
        <v>-33.569015335023686</v>
      </c>
      <c r="CZ11" s="106">
        <f>IF(CZ10&gt;0,-CZ10*Assumptions!$E$47,0)</f>
        <v>-33.569015335023686</v>
      </c>
      <c r="DA11" s="106">
        <f>IF(DA10&gt;0,-DA10*Assumptions!$E$47,0)</f>
        <v>-33.569015335023686</v>
      </c>
      <c r="DB11" s="106">
        <f>IF(DB10&gt;0,-DB10*Assumptions!$E$47,0)</f>
        <v>-33.569015335023686</v>
      </c>
      <c r="DC11" s="106">
        <f>IF(DC10&gt;0,-DC10*Assumptions!$E$47,0)</f>
        <v>-33.569015335023686</v>
      </c>
      <c r="DD11" s="106">
        <f>IF(DD10&gt;0,-DD10*Assumptions!$E$47,0)</f>
        <v>-33.569015335023686</v>
      </c>
      <c r="DE11" s="106">
        <f>IF(DE10&gt;0,-DE10*Assumptions!$E$47,0)</f>
        <v>-33.569015335023686</v>
      </c>
      <c r="DF11" s="106">
        <f>IF(DF10&gt;0,-DF10*Assumptions!$E$47,0)</f>
        <v>-33.569015335023686</v>
      </c>
      <c r="DG11" s="106">
        <f>IF(DG10&gt;0,-DG10*Assumptions!$E$47,0)</f>
        <v>-33.178847890803382</v>
      </c>
      <c r="DH11" s="106">
        <f>IF(DH10&gt;0,-DH10*Assumptions!$E$47,0)</f>
        <v>-33.178847890803382</v>
      </c>
      <c r="DI11" s="106">
        <f>IF(DI10&gt;0,-DI10*Assumptions!$E$47,0)</f>
        <v>-33.178847890803382</v>
      </c>
      <c r="DJ11" s="106">
        <f>IF(DJ10&gt;0,-DJ10*Assumptions!$E$47,0)</f>
        <v>-33.178847890803382</v>
      </c>
      <c r="DK11" s="106">
        <f>IF(DK10&gt;0,-DK10*Assumptions!$E$47,0)</f>
        <v>-33.178847890803382</v>
      </c>
      <c r="DL11" s="106">
        <f>IF(DL10&gt;0,-DL10*Assumptions!$E$47,0)</f>
        <v>-33.178847890803382</v>
      </c>
      <c r="DM11" s="106">
        <f>IF(DM10&gt;0,-DM10*Assumptions!$E$47,0)</f>
        <v>-33.178847890803382</v>
      </c>
      <c r="DN11" s="106">
        <f>IF(DN10&gt;0,-DN10*Assumptions!$E$47,0)</f>
        <v>-33.178847890803382</v>
      </c>
      <c r="DO11" s="106">
        <f>IF(DO10&gt;0,-DO10*Assumptions!$E$47,0)</f>
        <v>-33.178847890803382</v>
      </c>
      <c r="DP11" s="106">
        <f>IF(DP10&gt;0,-DP10*Assumptions!$E$47,0)</f>
        <v>-33.178847890803382</v>
      </c>
      <c r="DQ11" s="106">
        <f>IF(DQ10&gt;0,-DQ10*Assumptions!$E$47,0)</f>
        <v>-33.178847890803382</v>
      </c>
      <c r="DR11" s="106">
        <f>IF(DR10&gt;0,-DR10*Assumptions!$E$47,0)</f>
        <v>-33.178847890803382</v>
      </c>
      <c r="DS11" s="106">
        <f>IF(DS10&gt;0,-DS10*Assumptions!$E$47,0)</f>
        <v>-67.465303334780359</v>
      </c>
      <c r="DT11" s="106">
        <f>IF(DT10&gt;0,-DT10*Assumptions!$E$47,0)</f>
        <v>-68.04711413316187</v>
      </c>
      <c r="DU11" s="106">
        <f>IF(DU10&gt;0,-DU10*Assumptions!$E$47,0)</f>
        <v>-68.053466595315044</v>
      </c>
      <c r="DV11" s="106">
        <f>IF(DV10&gt;0,-DV10*Assumptions!$E$47,0)</f>
        <v>-67.591138136549787</v>
      </c>
      <c r="DW11" s="106">
        <f>IF(DW10&gt;0,-DW10*Assumptions!$E$47,0)</f>
        <v>-67.915113706361453</v>
      </c>
      <c r="DX11" s="106">
        <f>IF(DX10&gt;0,-DX10*Assumptions!$E$47,0)</f>
        <v>-68.186307789165156</v>
      </c>
      <c r="DY11" s="106">
        <f>IF(DY10&gt;0,-DY10*Assumptions!$E$47,0)</f>
        <v>-68.022171377354582</v>
      </c>
      <c r="DZ11" s="106">
        <f>IF(DZ10&gt;0,-DZ10*Assumptions!$E$47,0)</f>
        <v>-67.75536796692144</v>
      </c>
      <c r="EA11" s="106">
        <f>IF(EA10&gt;0,-EA10*Assumptions!$E$47,0)</f>
        <v>-67.994332646153921</v>
      </c>
      <c r="EB11" s="106">
        <f>IF(EB10&gt;0,-EB10*Assumptions!$E$47,0)</f>
        <v>-67.689507881362829</v>
      </c>
      <c r="EC11" s="106">
        <f>IF(EC10&gt;0,-EC10*Assumptions!$E$47,0)</f>
        <v>-68.124277864610661</v>
      </c>
      <c r="ED11" s="106">
        <f>IF(ED10&gt;0,-ED10*Assumptions!$E$47,0)</f>
        <v>-67.176079469688986</v>
      </c>
      <c r="EE11" s="106">
        <f>IF(EE10&gt;0,-EE10*Assumptions!$E$47,0)</f>
        <v>-66.988601629032132</v>
      </c>
      <c r="EF11" s="106">
        <f>IF(EF10&gt;0,-EF10*Assumptions!$E$47,0)</f>
        <v>-66.577477284871051</v>
      </c>
      <c r="EG11" s="106">
        <f>IF(EG10&gt;0,-EG10*Assumptions!$E$47,0)</f>
        <v>-66.546245591532099</v>
      </c>
      <c r="EH11" s="106">
        <f>IF(EH10&gt;0,-EH10*Assumptions!$E$47,0)</f>
        <v>-66.953651876962354</v>
      </c>
      <c r="EI11" s="106">
        <f>IF(EI10&gt;0,-EI10*Assumptions!$E$47,0)</f>
        <v>-66.7429308983928</v>
      </c>
      <c r="EJ11" s="106">
        <f>IF(EJ10&gt;0,-EJ10*Assumptions!$E$47,0)</f>
        <v>-67.216611580700032</v>
      </c>
      <c r="EK11" s="106">
        <f>IF(EK10&gt;0,-EK10*Assumptions!$E$47,0)</f>
        <v>-66.733170994224395</v>
      </c>
      <c r="EL11" s="106">
        <f>IF(EL10&gt;0,-EL10*Assumptions!$E$47,0)</f>
        <v>-67.376766960530375</v>
      </c>
      <c r="EM11" s="106">
        <f>IF(EM10&gt;0,-EM10*Assumptions!$E$47,0)</f>
        <v>-67.244218166776406</v>
      </c>
      <c r="EN11" s="106">
        <f>IF(EN10&gt;0,-EN10*Assumptions!$E$47,0)</f>
        <v>-66.315261192879547</v>
      </c>
      <c r="EO11" s="106">
        <f>IF(EO10&gt;0,-EO10*Assumptions!$E$47,0)</f>
        <v>-66.98358224974551</v>
      </c>
      <c r="EP11" s="106">
        <f>IF(EP10&gt;0,-EP10*Assumptions!$E$47,0)</f>
        <v>-67.000499416970769</v>
      </c>
      <c r="EQ11" s="106">
        <f>IF(EQ10&gt;0,-EQ10*Assumptions!$E$47,0)</f>
        <v>-66.449266314295997</v>
      </c>
      <c r="ER11" s="106">
        <f>IF(ER10&gt;0,-ER10*Assumptions!$E$47,0)</f>
        <v>-67.260097309013133</v>
      </c>
      <c r="ES11" s="106">
        <f>IF(ES10&gt;0,-ES10*Assumptions!$E$47,0)</f>
        <v>-66.830311563324685</v>
      </c>
      <c r="ET11" s="106">
        <f>IF(ET10&gt;0,-ET10*Assumptions!$E$47,0)</f>
        <v>-66.406537453846653</v>
      </c>
      <c r="EU11" s="106">
        <f>IF(EU10&gt;0,-EU10*Assumptions!$E$47,0)</f>
        <v>-66.418468239556518</v>
      </c>
      <c r="EV11" s="106">
        <f>IF(EV10&gt;0,-EV10*Assumptions!$E$47,0)</f>
        <v>-66.410791842549401</v>
      </c>
      <c r="EW11" s="106">
        <f>IF(EW10&gt;0,-EW10*Assumptions!$E$47,0)</f>
        <v>-66.147112229689981</v>
      </c>
      <c r="EX11" s="106">
        <f>IF(EX10&gt;0,-EX10*Assumptions!$E$47,0)</f>
        <v>-66.592898176369189</v>
      </c>
      <c r="EY11" s="106">
        <f>IF(EY10&gt;0,-EY10*Assumptions!$E$47,0)</f>
        <v>-66.533706681374426</v>
      </c>
      <c r="EZ11" s="106">
        <f>IF(EZ10&gt;0,-EZ10*Assumptions!$E$47,0)</f>
        <v>-66.545914927217112</v>
      </c>
      <c r="FA11" s="106">
        <f>IF(FA10&gt;0,-FA10*Assumptions!$E$47,0)</f>
        <v>-66.489683006972086</v>
      </c>
      <c r="FB11" s="106">
        <f>IF(FB10&gt;0,-FB10*Assumptions!$E$47,0)</f>
        <v>-66.604828962079054</v>
      </c>
      <c r="FC11" s="106">
        <f>IF(FC10&gt;0,-FC10*Assumptions!$E$47,0)</f>
        <v>-66.073395080065382</v>
      </c>
      <c r="FD11" s="106">
        <f>IF(FD10&gt;0,-FD10*Assumptions!$E$47,0)</f>
        <v>-65.658457613383106</v>
      </c>
      <c r="FE11" s="106">
        <f>IF(FE10&gt;0,-FE10*Assumptions!$E$47,0)</f>
        <v>-65.234133670408582</v>
      </c>
      <c r="FF11" s="106">
        <f>IF(FF10&gt;0,-FF10*Assumptions!$E$47,0)</f>
        <v>-65.428672992778601</v>
      </c>
      <c r="FG11" s="106">
        <f>IF(FG10&gt;0,-FG10*Assumptions!$E$47,0)</f>
        <v>-65.912812716046616</v>
      </c>
      <c r="FH11" s="106">
        <f>IF(FH10&gt;0,-FH10*Assumptions!$E$47,0)</f>
        <v>-65.845266896453637</v>
      </c>
      <c r="FI11" s="106">
        <f>IF(FI10&gt;0,-FI10*Assumptions!$E$47,0)</f>
        <v>-65.707138456114279</v>
      </c>
      <c r="FJ11" s="106">
        <f>IF(FJ10&gt;0,-FJ10*Assumptions!$E$47,0)</f>
        <v>-65.54646406781815</v>
      </c>
      <c r="FK11" s="106">
        <f>IF(FK10&gt;0,-FK10*Assumptions!$E$47,0)</f>
        <v>-65.402077976617335</v>
      </c>
      <c r="FL11" s="106">
        <f>IF(FL10&gt;0,-FL10*Assumptions!$E$47,0)</f>
        <v>-65.173029550231817</v>
      </c>
      <c r="FM11" s="106">
        <f>IF(FM10&gt;0,-FM10*Assumptions!$E$47,0)</f>
        <v>-65.242231806817557</v>
      </c>
      <c r="FN11" s="106">
        <f>IF(FN10&gt;0,-FN10*Assumptions!$E$47,0)</f>
        <v>-65.158581738684006</v>
      </c>
      <c r="FO11" s="106">
        <f>IF(FO10&gt;0,-FO10*Assumptions!$E$47,0)</f>
        <v>-64.707276016205967</v>
      </c>
      <c r="FP11" s="106">
        <f>IF(FP10&gt;0,-FP10*Assumptions!$E$47,0)</f>
        <v>-64.072919543522644</v>
      </c>
      <c r="FQ11" s="106">
        <f>IF(FQ10&gt;0,-FQ10*Assumptions!$E$47,0)</f>
        <v>-64.621755094513375</v>
      </c>
      <c r="FR11" s="106">
        <f>IF(FR10&gt;0,-FR10*Assumptions!$E$47,0)</f>
        <v>-64.304027473235791</v>
      </c>
      <c r="FS11" s="106">
        <f>IF(FS10&gt;0,-FS10*Assumptions!$E$47,0)</f>
        <v>-64.369953665546987</v>
      </c>
      <c r="FT11" s="106">
        <f>IF(FT10&gt;0,-FT10*Assumptions!$E$47,0)</f>
        <v>-64.374531873346385</v>
      </c>
      <c r="FU11" s="106">
        <f>IF(FU10&gt;0,-FU10*Assumptions!$E$47,0)</f>
        <v>-64.683286207337161</v>
      </c>
      <c r="FV11" s="106">
        <f>IF(FV10&gt;0,-FV10*Assumptions!$E$47,0)</f>
        <v>-64.680447718501554</v>
      </c>
      <c r="FW11" s="106">
        <f>IF(FW10&gt;0,-FW10*Assumptions!$E$47,0)</f>
        <v>-64.066143795979542</v>
      </c>
      <c r="FX11" s="106">
        <f>IF(FX10&gt;0,-FX10*Assumptions!$E$47,0)</f>
        <v>-64.510321516676242</v>
      </c>
      <c r="FY11" s="106">
        <f>IF(FY10&gt;0,-FY10*Assumptions!$E$47,0)</f>
        <v>-64.165124648602344</v>
      </c>
      <c r="FZ11" s="106">
        <f>IF(FZ10&gt;0,-FZ10*Assumptions!$E$47,0)</f>
        <v>-63.756199127960926</v>
      </c>
      <c r="GA11" s="106">
        <f>IF(GA10&gt;0,-GA10*Assumptions!$E$47,0)</f>
        <v>-63.625359615714828</v>
      </c>
      <c r="GB11" s="106">
        <f>IF(GB10&gt;0,-GB10*Assumptions!$E$47,0)</f>
        <v>-63.46719901779403</v>
      </c>
      <c r="GC11" s="106">
        <f>IF(GC10&gt;0,-GC10*Assumptions!$E$47,0)</f>
        <v>-63.469021144498186</v>
      </c>
      <c r="GD11" s="106">
        <f>IF(GD10&gt;0,-GD10*Assumptions!$E$47,0)</f>
        <v>-63.261572019229938</v>
      </c>
      <c r="GE11" s="106">
        <f>IF(GE10&gt;0,-GE10*Assumptions!$E$47,0)</f>
        <v>-63.035628307914493</v>
      </c>
      <c r="GF11" s="106">
        <f>IF(GF10&gt;0,-GF10*Assumptions!$E$47,0)</f>
        <v>-63.468110081146101</v>
      </c>
      <c r="GG11" s="106">
        <f>IF(GG10&gt;0,-GG10*Assumptions!$E$47,0)</f>
        <v>-62.910174884333316</v>
      </c>
      <c r="GH11" s="106">
        <f>IF(GH10&gt;0,-GH10*Assumptions!$E$47,0)</f>
        <v>-63.414539556043898</v>
      </c>
      <c r="GI11" s="106">
        <f>IF(GI10&gt;0,-GI10*Assumptions!$E$47,0)</f>
        <v>-63.45216647248472</v>
      </c>
      <c r="GJ11" s="106">
        <f>IF(GJ10&gt;0,-GJ10*Assumptions!$E$47,0)</f>
        <v>-63.148509057237</v>
      </c>
      <c r="GK11" s="106">
        <f>IF(GK10&gt;0,-GK10*Assumptions!$E$47,0)</f>
        <v>-64.167077884860632</v>
      </c>
      <c r="GL11" s="106">
        <f>IF(GL10&gt;0,-GL10*Assumptions!$E$47,0)</f>
        <v>-63.744982233842741</v>
      </c>
      <c r="GM11" s="106">
        <f>IF(GM10&gt;0,-GM10*Assumptions!$E$47,0)</f>
        <v>-63.062007190434819</v>
      </c>
      <c r="GN11" s="106">
        <f>IF(GN10&gt;0,-GN10*Assumptions!$E$47,0)</f>
        <v>-62.735211043702684</v>
      </c>
      <c r="GO11" s="106">
        <f>IF(GO10&gt;0,-GO10*Assumptions!$E$47,0)</f>
        <v>-62.976614133507859</v>
      </c>
      <c r="GP11" s="106">
        <f>IF(GP10&gt;0,-GP10*Assumptions!$E$47,0)</f>
        <v>-63.000273993229662</v>
      </c>
      <c r="GQ11" s="106">
        <f>IF(GQ10&gt;0,-GQ10*Assumptions!$E$47,0)</f>
        <v>-62.641478112850812</v>
      </c>
      <c r="GR11" s="106">
        <f>IF(GR10&gt;0,-GR10*Assumptions!$E$47,0)</f>
        <v>-62.69632184898753</v>
      </c>
      <c r="GS11" s="106">
        <f>IF(GS10&gt;0,-GS10*Assumptions!$E$47,0)</f>
        <v>-62.652084256864029</v>
      </c>
      <c r="GT11" s="106">
        <f>IF(GT10&gt;0,-GT10*Assumptions!$E$47,0)</f>
        <v>-62.357015891368029</v>
      </c>
      <c r="GU11" s="106">
        <f>IF(GU10&gt;0,-GU10*Assumptions!$E$47,0)</f>
        <v>-62.024508744013389</v>
      </c>
      <c r="GV11" s="106">
        <f>IF(GV10&gt;0,-GV10*Assumptions!$E$47,0)</f>
        <v>-62.304529076123096</v>
      </c>
      <c r="GW11" s="106">
        <f>IF(GW10&gt;0,-GW10*Assumptions!$E$47,0)</f>
        <v>-62.138547454856379</v>
      </c>
      <c r="GX11" s="106">
        <f>IF(GX10&gt;0,-GX10*Assumptions!$E$47,0)</f>
        <v>-61.878470299523649</v>
      </c>
      <c r="GY11" s="106">
        <f>IF(GY10&gt;0,-GY10*Assumptions!$E$47,0)</f>
        <v>-61.860510665962117</v>
      </c>
      <c r="GZ11" s="106">
        <f>IF(GZ10&gt;0,-GZ10*Assumptions!$E$47,0)</f>
        <v>-61.712045499461837</v>
      </c>
      <c r="HA11" s="106">
        <f>IF(HA10&gt;0,-HA10*Assumptions!$E$47,0)</f>
        <v>-61.029069654540777</v>
      </c>
      <c r="HB11" s="106">
        <f>IF(HB10&gt;0,-HB10*Assumptions!$E$47,0)</f>
        <v>-61.706904239139526</v>
      </c>
      <c r="HC11" s="106">
        <f>IF(HC10&gt;0,-HC10*Assumptions!$E$47,0)</f>
        <v>-61.638444299058307</v>
      </c>
      <c r="HD11" s="106">
        <f>IF(HD10&gt;0,-HD10*Assumptions!$E$47,0)</f>
        <v>-61.289199387339551</v>
      </c>
      <c r="HE11" s="106">
        <f>IF(HE10&gt;0,-HE10*Assumptions!$E$47,0)</f>
        <v>-61.022304838327209</v>
      </c>
      <c r="HF11" s="106">
        <f>IF(HF10&gt;0,-HF10*Assumptions!$E$47,0)</f>
        <v>-61.191695836314764</v>
      </c>
      <c r="HG11" s="106">
        <f>IF(HG10&gt;0,-HG10*Assumptions!$E$47,0)</f>
        <v>-61.372541923090616</v>
      </c>
      <c r="HH11" s="106">
        <f>IF(HH10&gt;0,-HH10*Assumptions!$E$47,0)</f>
        <v>-61.37930673930417</v>
      </c>
      <c r="HI11" s="106">
        <f>IF(HI10&gt;0,-HI10*Assumptions!$E$47,0)</f>
        <v>-61.852843874253409</v>
      </c>
      <c r="HJ11" s="106">
        <f>IF(HJ10&gt;0,-HJ10*Assumptions!$E$47,0)</f>
        <v>-62.147338873417084</v>
      </c>
      <c r="HK11" s="106">
        <f>IF(HK10&gt;0,-HK10*Assumptions!$E$47,0)</f>
        <v>-61.113198904748728</v>
      </c>
      <c r="HL11" s="106">
        <f>IF(HL10&gt;0,-HL10*Assumptions!$E$47,0)</f>
        <v>-61.21263809518608</v>
      </c>
      <c r="HM11" s="106">
        <f>IF(HM10&gt;0,-HM10*Assumptions!$E$47,0)</f>
        <v>-61.530251177277982</v>
      </c>
      <c r="HN11" s="106">
        <f>IF(HN10&gt;0,-HN10*Assumptions!$E$47,0)</f>
        <v>-61.62206190996519</v>
      </c>
      <c r="HO11" s="106">
        <f>IF(HO10&gt;0,-HO10*Assumptions!$E$47,0)</f>
        <v>-61.77660548932721</v>
      </c>
      <c r="HP11" s="106">
        <f>IF(HP10&gt;0,-HP10*Assumptions!$E$47,0)</f>
        <v>-61.230048928168806</v>
      </c>
      <c r="HQ11" s="106">
        <f>IF(HQ10&gt;0,-HQ10*Assumptions!$E$47,0)</f>
        <v>-61.129173792743167</v>
      </c>
      <c r="HR11" s="106">
        <f>IF(HR10&gt;0,-HR10*Assumptions!$E$47,0)</f>
        <v>-61.430991479964149</v>
      </c>
      <c r="HS11" s="106">
        <f>IF(HS10&gt;0,-HS10*Assumptions!$E$47,0)</f>
        <v>-60.838574425743019</v>
      </c>
      <c r="HT11" s="106">
        <f>IF(HT10&gt;0,-HT10*Assumptions!$E$47,0)</f>
        <v>-61.232113099089453</v>
      </c>
      <c r="HU11" s="106">
        <f>IF(HU10&gt;0,-HU10*Assumptions!$E$47,0)</f>
        <v>-60.497447744468317</v>
      </c>
      <c r="HV11" s="106">
        <f>IF(HV10&gt;0,-HV10*Assumptions!$E$47,0)</f>
        <v>-60.447728149249627</v>
      </c>
      <c r="HW11" s="106">
        <f>IF(HW10&gt;0,-HW10*Assumptions!$E$47,0)</f>
        <v>-59.930648117440185</v>
      </c>
      <c r="HX11" s="106">
        <f>IF(HX10&gt;0,-HX10*Assumptions!$E$47,0)</f>
        <v>-60.012623524423383</v>
      </c>
      <c r="HY11" s="106">
        <f>IF(HY10&gt;0,-HY10*Assumptions!$E$47,0)</f>
        <v>-60.077810939562525</v>
      </c>
      <c r="HZ11" s="106">
        <f>IF(HZ10&gt;0,-HZ10*Assumptions!$E$47,0)</f>
        <v>-59.752856139985326</v>
      </c>
      <c r="IA11" s="106">
        <f>IF(IA10&gt;0,-IA10*Assumptions!$E$47,0)</f>
        <v>-60.15219603108433</v>
      </c>
      <c r="IB11" s="106">
        <f>IF(IB10&gt;0,-IB10*Assumptions!$E$47,0)</f>
        <v>-59.982887347380462</v>
      </c>
      <c r="IC11" s="106">
        <f>IF(IC10&gt;0,-IC10*Assumptions!$E$47,0)</f>
        <v>-60.096116994498857</v>
      </c>
      <c r="ID11" s="106">
        <f>IF(ID10&gt;0,-ID10*Assumptions!$E$47,0)</f>
        <v>-60.09174140087994</v>
      </c>
      <c r="IE11" s="106">
        <f>IF(IE10&gt;0,-IE10*Assumptions!$E$47,0)</f>
        <v>-60.107368520947539</v>
      </c>
      <c r="IF11" s="106">
        <f>IF(IF10&gt;0,-IF10*Assumptions!$E$47,0)</f>
        <v>-60.152999711544965</v>
      </c>
      <c r="IG11" s="106">
        <f>IF(IG10&gt;0,-IG10*Assumptions!$E$47,0)</f>
        <v>-59.928415671716245</v>
      </c>
      <c r="IH11" s="106">
        <f>IF(IH10&gt;0,-IH10*Assumptions!$E$47,0)</f>
        <v>-60.085937041997688</v>
      </c>
      <c r="II11" s="106">
        <f>IF(II10&gt;0,-II10*Assumptions!$E$47,0)</f>
        <v>-59.344435904127153</v>
      </c>
      <c r="IJ11" s="106">
        <f>IF(IJ10&gt;0,-IJ10*Assumptions!$E$47,0)</f>
        <v>-58.812660635346674</v>
      </c>
      <c r="IK11" s="106">
        <f>IF(IK10&gt;0,-IK10*Assumptions!$E$47,0)</f>
        <v>-59.229373419069383</v>
      </c>
      <c r="IL11" s="106">
        <f>IF(IL10&gt;0,-IL10*Assumptions!$E$47,0)</f>
        <v>-58.586178570163462</v>
      </c>
      <c r="IM11" s="106">
        <f>IF(IM10&gt;0,-IM10*Assumptions!$E$47,0)</f>
        <v>-58.54406303509213</v>
      </c>
      <c r="IN11" s="106">
        <f>IF(IN10&gt;0,-IN10*Assumptions!$E$47,0)</f>
        <v>-58.798000164277546</v>
      </c>
      <c r="IO11" s="106">
        <f>IF(IO10&gt;0,-IO10*Assumptions!$E$47,0)</f>
        <v>-58.717767404426446</v>
      </c>
      <c r="IP11" s="106">
        <f>IF(IP10&gt;0,-IP10*Assumptions!$E$47,0)</f>
        <v>-58.872546438380596</v>
      </c>
      <c r="IQ11" s="106">
        <f>IF(IQ10&gt;0,-IQ10*Assumptions!$E$47,0)</f>
        <v>-58.61230086406848</v>
      </c>
      <c r="IR11" s="106">
        <f>IF(IR10&gt;0,-IR10*Assumptions!$E$47,0)</f>
        <v>-58.575960666084974</v>
      </c>
      <c r="IS11" s="106">
        <f>IF(IS10&gt;0,-IS10*Assumptions!$E$47,0)</f>
        <v>-58.701152203881428</v>
      </c>
      <c r="IT11" s="106">
        <f>IF(IT10&gt;0,-IT10*Assumptions!$E$47,0)</f>
        <v>-58.620919444030328</v>
      </c>
      <c r="IU11" s="106">
        <f>IF(IU10&gt;0,-IU10*Assumptions!$E$47,0)</f>
        <v>-58.268642177870248</v>
      </c>
      <c r="IV11" s="106">
        <f>IF(IV10&gt;0,-IV10*Assumptions!$E$47,0)</f>
        <v>-58.335301118538133</v>
      </c>
      <c r="IW11" s="106">
        <f>IF(IW10&gt;0,-IW10*Assumptions!$E$47,0)</f>
        <v>-57.990248273144651</v>
      </c>
      <c r="IX11" s="106">
        <f>IF(IX10&gt;0,-IX10*Assumptions!$E$47,0)</f>
        <v>-57.772943662850736</v>
      </c>
      <c r="IY11" s="106">
        <f>IF(IY10&gt;0,-IY10*Assumptions!$E$47,0)</f>
        <v>-57.485974271063078</v>
      </c>
      <c r="IZ11" s="106">
        <f>IF(IZ10&gt;0,-IZ10*Assumptions!$E$47,0)</f>
        <v>-57.792393221135789</v>
      </c>
      <c r="JA11" s="106">
        <f>IF(JA10&gt;0,-JA10*Assumptions!$E$47,0)</f>
        <v>-57.322155946053023</v>
      </c>
      <c r="JB11" s="106">
        <f>IF(JB10&gt;0,-JB10*Assumptions!$E$47,0)</f>
        <v>-57.665087021451789</v>
      </c>
      <c r="JC11" s="106">
        <f>IF(JC10&gt;0,-JC10*Assumptions!$E$47,0)</f>
        <v>-57.718131271320132</v>
      </c>
      <c r="JD11" s="106">
        <f>IF(JD10&gt;0,-JD10*Assumptions!$E$47,0)</f>
        <v>-57.842696851427583</v>
      </c>
      <c r="JE11" s="106">
        <f>IF(JE10&gt;0,-JE10*Assumptions!$E$47,0)</f>
        <v>-57.309690547333965</v>
      </c>
      <c r="JF11" s="106">
        <f>IF(JF10&gt;0,-JF10*Assumptions!$E$47,0)</f>
        <v>-57.60523542618369</v>
      </c>
      <c r="JG11" s="106">
        <f>IF(JG10&gt;0,-JG10*Assumptions!$E$47,0)</f>
        <v>-56.771698040446701</v>
      </c>
      <c r="JH11" s="106">
        <f>IF(JH10&gt;0,-JH10*Assumptions!$E$47,0)</f>
        <v>-56.637023552420565</v>
      </c>
      <c r="JI11" s="106">
        <f>IF(JI10&gt;0,-JI10*Assumptions!$E$47,0)</f>
        <v>-56.214879288516364</v>
      </c>
      <c r="JJ11" s="106">
        <f>IF(JJ10&gt;0,-JJ10*Assumptions!$E$47,0)</f>
        <v>-56.147146201788665</v>
      </c>
      <c r="JK11" s="106">
        <f>IF(JK10&gt;0,-JK10*Assumptions!$E$47,0)</f>
        <v>-55.846305738660448</v>
      </c>
      <c r="JL11" s="106">
        <f>IF(JL10&gt;0,-JL10*Assumptions!$E$47,0)</f>
        <v>-56.034287045591739</v>
      </c>
      <c r="JM11" s="106">
        <f>IF(JM10&gt;0,-JM10*Assumptions!$E$47,0)</f>
        <v>-55.771623413164569</v>
      </c>
      <c r="JN11" s="106">
        <f>IF(JN10&gt;0,-JN10*Assumptions!$E$47,0)</f>
        <v>-56.452384917301821</v>
      </c>
      <c r="JO11" s="106">
        <f>IF(JO10&gt;0,-JO10*Assumptions!$E$47,0)</f>
        <v>-56.148729572647234</v>
      </c>
      <c r="JP11" s="106">
        <f>IF(JP10&gt;0,-JP10*Assumptions!$E$47,0)</f>
        <v>-56.708099310960804</v>
      </c>
      <c r="JQ11" s="106">
        <f>IF(JQ10&gt;0,-JQ10*Assumptions!$E$47,0)</f>
        <v>-56.296071027541913</v>
      </c>
      <c r="JR11" s="106">
        <f>IF(JR10&gt;0,-JR10*Assumptions!$E$47,0)</f>
        <v>-55.904714530332107</v>
      </c>
      <c r="JS11" s="106">
        <f>IF(JS10&gt;0,-JS10*Assumptions!$E$47,0)</f>
        <v>-55.987405231374794</v>
      </c>
      <c r="JT11" s="106">
        <f>IF(JT10&gt;0,-JT10*Assumptions!$E$47,0)</f>
        <v>-55.863819617261527</v>
      </c>
      <c r="JU11" s="106">
        <f>IF(JU10&gt;0,-JU10*Assumptions!$E$47,0)</f>
        <v>-56.057863035454957</v>
      </c>
      <c r="JV11" s="106">
        <f>IF(JV10&gt;0,-JV10*Assumptions!$E$47,0)</f>
        <v>-55.670914026960091</v>
      </c>
      <c r="JW11" s="106">
        <f>IF(JW10&gt;0,-JW10*Assumptions!$E$47,0)</f>
        <v>-55.455514454486469</v>
      </c>
      <c r="JX11" s="106">
        <f>IF(JX10&gt;0,-JX10*Assumptions!$E$47,0)</f>
        <v>-55.643868733219996</v>
      </c>
      <c r="JY11" s="106">
        <f>IF(JY10&gt;0,-JY10*Assumptions!$E$47,0)</f>
        <v>-55.603869706555869</v>
      </c>
      <c r="JZ11" s="106">
        <f>IF(JZ10&gt;0,-JZ10*Assumptions!$E$47,0)</f>
        <v>-55.380505338838397</v>
      </c>
      <c r="KA11" s="106">
        <f>IF(KA10&gt;0,-KA10*Assumptions!$E$47,0)</f>
        <v>-55.460153291276832</v>
      </c>
      <c r="KB11" s="106">
        <f>IF(KB10&gt;0,-KB10*Assumptions!$E$47,0)</f>
        <v>-55.626363688728034</v>
      </c>
      <c r="KC11" s="106">
        <f>IF(KC10&gt;0,-KC10*Assumptions!$E$47,0)</f>
        <v>-55.889289456997332</v>
      </c>
      <c r="KD11" s="106">
        <f>IF(KD10&gt;0,-KD10*Assumptions!$E$47,0)</f>
        <v>-55.550391795632898</v>
      </c>
      <c r="KE11" s="106">
        <f>IF(KE10&gt;0,-KE10*Assumptions!$E$47,0)</f>
        <v>-55.727950136029349</v>
      </c>
      <c r="KF11" s="106">
        <f>IF(KF10&gt;0,-KF10*Assumptions!$E$47,0)</f>
        <v>-55.731781990268651</v>
      </c>
      <c r="KG11" s="106">
        <f>IF(KG10&gt;0,-KG10*Assumptions!$E$47,0)</f>
        <v>-55.946365827668956</v>
      </c>
      <c r="KH11" s="106">
        <f>IF(KH10&gt;0,-KH10*Assumptions!$E$47,0)</f>
        <v>-55.299043724017821</v>
      </c>
      <c r="KI11" s="106">
        <f>IF(KI10&gt;0,-KI10*Assumptions!$E$47,0)</f>
        <v>-55.4995193708098</v>
      </c>
      <c r="KJ11" s="106">
        <f>IF(KJ10&gt;0,-KJ10*Assumptions!$E$47,0)</f>
        <v>-55.293034679869841</v>
      </c>
      <c r="KK11" s="106">
        <f>IF(KK10&gt;0,-KK10*Assumptions!$E$47,0)</f>
        <v>-55.34267460978792</v>
      </c>
      <c r="KL11" s="106">
        <f>IF(KL10&gt;0,-KL10*Assumptions!$E$47,0)</f>
        <v>0</v>
      </c>
      <c r="KM11" s="106">
        <f>IF(KM10&gt;0,-KM10*Assumptions!$E$47,0)</f>
        <v>0</v>
      </c>
      <c r="KN11" s="106">
        <f>IF(KN10&gt;0,-KN10*Assumptions!$E$47,0)</f>
        <v>0</v>
      </c>
      <c r="KO11" s="106">
        <f>IF(KO10&gt;0,-KO10*Assumptions!$E$47,0)</f>
        <v>0</v>
      </c>
      <c r="KP11" s="106">
        <f>IF(KP10&gt;0,-KP10*Assumptions!$E$47,0)</f>
        <v>0</v>
      </c>
    </row>
    <row r="12" spans="1:302" ht="16" customHeight="1" x14ac:dyDescent="0.2">
      <c r="A12" s="108" t="s">
        <v>446</v>
      </c>
      <c r="B12" s="109" t="s">
        <v>215</v>
      </c>
      <c r="C12" s="110">
        <f t="shared" ref="C12:BN12" si="10">C10+C11</f>
        <v>129.79642454999995</v>
      </c>
      <c r="D12" s="110">
        <f t="shared" si="10"/>
        <v>129.79642454999995</v>
      </c>
      <c r="E12" s="110">
        <f t="shared" si="10"/>
        <v>129.79642454999995</v>
      </c>
      <c r="F12" s="110">
        <f t="shared" si="10"/>
        <v>129.79642454999995</v>
      </c>
      <c r="G12" s="110">
        <f t="shared" si="10"/>
        <v>129.79642454999995</v>
      </c>
      <c r="H12" s="110">
        <f t="shared" si="10"/>
        <v>129.79642454999995</v>
      </c>
      <c r="I12" s="110">
        <f t="shared" si="10"/>
        <v>129.79642454999995</v>
      </c>
      <c r="J12" s="110">
        <f t="shared" si="10"/>
        <v>129.79642454999995</v>
      </c>
      <c r="K12" s="110">
        <f t="shared" si="10"/>
        <v>129.79642454999995</v>
      </c>
      <c r="L12" s="110">
        <f t="shared" si="10"/>
        <v>129.79642454999995</v>
      </c>
      <c r="M12" s="110">
        <f t="shared" si="10"/>
        <v>129.79642454999995</v>
      </c>
      <c r="N12" s="110">
        <f t="shared" si="10"/>
        <v>129.79642454999995</v>
      </c>
      <c r="O12" s="110">
        <f t="shared" si="10"/>
        <v>128.47469242724998</v>
      </c>
      <c r="P12" s="110">
        <f t="shared" si="10"/>
        <v>128.47469242724998</v>
      </c>
      <c r="Q12" s="110">
        <f t="shared" si="10"/>
        <v>128.47469242724998</v>
      </c>
      <c r="R12" s="110">
        <f t="shared" si="10"/>
        <v>128.47469242724998</v>
      </c>
      <c r="S12" s="110">
        <f t="shared" si="10"/>
        <v>128.47469242724998</v>
      </c>
      <c r="T12" s="110">
        <f t="shared" si="10"/>
        <v>128.47469242724998</v>
      </c>
      <c r="U12" s="110">
        <f t="shared" si="10"/>
        <v>128.47469242724998</v>
      </c>
      <c r="V12" s="110">
        <f t="shared" si="10"/>
        <v>128.47469242724998</v>
      </c>
      <c r="W12" s="110">
        <f t="shared" si="10"/>
        <v>128.47469242724998</v>
      </c>
      <c r="X12" s="110">
        <f t="shared" si="10"/>
        <v>128.47469242724998</v>
      </c>
      <c r="Y12" s="110">
        <f t="shared" si="10"/>
        <v>128.47469242724998</v>
      </c>
      <c r="Z12" s="110">
        <f t="shared" si="10"/>
        <v>128.47469242724998</v>
      </c>
      <c r="AA12" s="110">
        <f t="shared" si="10"/>
        <v>127.14611396511374</v>
      </c>
      <c r="AB12" s="110">
        <f t="shared" si="10"/>
        <v>127.14611396511374</v>
      </c>
      <c r="AC12" s="110">
        <f t="shared" si="10"/>
        <v>127.14611396511374</v>
      </c>
      <c r="AD12" s="110">
        <f t="shared" si="10"/>
        <v>127.14611396511374</v>
      </c>
      <c r="AE12" s="110">
        <f t="shared" si="10"/>
        <v>127.14611396511374</v>
      </c>
      <c r="AF12" s="110">
        <f t="shared" si="10"/>
        <v>127.14611396511374</v>
      </c>
      <c r="AG12" s="110">
        <f t="shared" si="10"/>
        <v>127.14611396511374</v>
      </c>
      <c r="AH12" s="110">
        <f t="shared" si="10"/>
        <v>127.14611396511374</v>
      </c>
      <c r="AI12" s="110">
        <f t="shared" si="10"/>
        <v>127.14611396511374</v>
      </c>
      <c r="AJ12" s="110">
        <f t="shared" si="10"/>
        <v>127.14611396511374</v>
      </c>
      <c r="AK12" s="110">
        <f t="shared" si="10"/>
        <v>127.14611396511374</v>
      </c>
      <c r="AL12" s="110">
        <f t="shared" si="10"/>
        <v>127.14611396511374</v>
      </c>
      <c r="AM12" s="110">
        <f t="shared" si="10"/>
        <v>125.81045429528814</v>
      </c>
      <c r="AN12" s="110">
        <f t="shared" si="10"/>
        <v>125.81045429528814</v>
      </c>
      <c r="AO12" s="110">
        <f t="shared" si="10"/>
        <v>125.81045429528814</v>
      </c>
      <c r="AP12" s="110">
        <f t="shared" si="10"/>
        <v>125.81045429528814</v>
      </c>
      <c r="AQ12" s="110">
        <f t="shared" si="10"/>
        <v>125.81045429528814</v>
      </c>
      <c r="AR12" s="110">
        <f t="shared" si="10"/>
        <v>125.81045429528814</v>
      </c>
      <c r="AS12" s="110">
        <f t="shared" si="10"/>
        <v>125.81045429528814</v>
      </c>
      <c r="AT12" s="110">
        <f t="shared" si="10"/>
        <v>125.81045429528814</v>
      </c>
      <c r="AU12" s="110">
        <f t="shared" si="10"/>
        <v>125.81045429528814</v>
      </c>
      <c r="AV12" s="110">
        <f t="shared" si="10"/>
        <v>125.81045429528814</v>
      </c>
      <c r="AW12" s="110">
        <f t="shared" si="10"/>
        <v>125.81045429528814</v>
      </c>
      <c r="AX12" s="110">
        <f t="shared" si="10"/>
        <v>125.81045429528814</v>
      </c>
      <c r="AY12" s="110">
        <f t="shared" si="10"/>
        <v>124.46747434181172</v>
      </c>
      <c r="AZ12" s="110">
        <f t="shared" si="10"/>
        <v>124.46747434181172</v>
      </c>
      <c r="BA12" s="110">
        <f t="shared" si="10"/>
        <v>124.46747434181172</v>
      </c>
      <c r="BB12" s="110">
        <f t="shared" si="10"/>
        <v>124.46747434181172</v>
      </c>
      <c r="BC12" s="110">
        <f t="shared" si="10"/>
        <v>124.46747434181172</v>
      </c>
      <c r="BD12" s="110">
        <f t="shared" si="10"/>
        <v>124.46747434181172</v>
      </c>
      <c r="BE12" s="110">
        <f t="shared" si="10"/>
        <v>124.46747434181172</v>
      </c>
      <c r="BF12" s="110">
        <f t="shared" si="10"/>
        <v>124.46747434181172</v>
      </c>
      <c r="BG12" s="110">
        <f t="shared" si="10"/>
        <v>124.46747434181172</v>
      </c>
      <c r="BH12" s="110">
        <f t="shared" si="10"/>
        <v>124.46747434181172</v>
      </c>
      <c r="BI12" s="110">
        <f t="shared" si="10"/>
        <v>124.46747434181172</v>
      </c>
      <c r="BJ12" s="110">
        <f t="shared" si="10"/>
        <v>124.46747434181172</v>
      </c>
      <c r="BK12" s="110">
        <f t="shared" si="10"/>
        <v>123.11693073446266</v>
      </c>
      <c r="BL12" s="110">
        <f t="shared" si="10"/>
        <v>123.11693073446266</v>
      </c>
      <c r="BM12" s="110">
        <f t="shared" si="10"/>
        <v>123.11693073446266</v>
      </c>
      <c r="BN12" s="110">
        <f t="shared" si="10"/>
        <v>123.11693073446266</v>
      </c>
      <c r="BO12" s="110">
        <f t="shared" ref="BO12:DZ12" si="11">BO10+BO11</f>
        <v>123.11693073446266</v>
      </c>
      <c r="BP12" s="110">
        <f t="shared" si="11"/>
        <v>123.11693073446266</v>
      </c>
      <c r="BQ12" s="110">
        <f t="shared" si="11"/>
        <v>123.11693073446266</v>
      </c>
      <c r="BR12" s="110">
        <f t="shared" si="11"/>
        <v>123.11693073446266</v>
      </c>
      <c r="BS12" s="110">
        <f t="shared" si="11"/>
        <v>123.11693073446266</v>
      </c>
      <c r="BT12" s="110">
        <f t="shared" si="11"/>
        <v>123.11693073446266</v>
      </c>
      <c r="BU12" s="110">
        <f t="shared" si="11"/>
        <v>123.11693073446266</v>
      </c>
      <c r="BV12" s="110">
        <f t="shared" si="11"/>
        <v>123.11693073446266</v>
      </c>
      <c r="BW12" s="110">
        <f t="shared" si="11"/>
        <v>121.75857572043756</v>
      </c>
      <c r="BX12" s="110">
        <f t="shared" si="11"/>
        <v>121.75857572043756</v>
      </c>
      <c r="BY12" s="110">
        <f t="shared" si="11"/>
        <v>121.75857572043756</v>
      </c>
      <c r="BZ12" s="110">
        <f t="shared" si="11"/>
        <v>121.75857572043756</v>
      </c>
      <c r="CA12" s="110">
        <f t="shared" si="11"/>
        <v>121.75857572043756</v>
      </c>
      <c r="CB12" s="110">
        <f t="shared" si="11"/>
        <v>121.75857572043756</v>
      </c>
      <c r="CC12" s="110">
        <f t="shared" si="11"/>
        <v>121.75857572043756</v>
      </c>
      <c r="CD12" s="110">
        <f t="shared" si="11"/>
        <v>121.75857572043756</v>
      </c>
      <c r="CE12" s="110">
        <f t="shared" si="11"/>
        <v>121.75857572043756</v>
      </c>
      <c r="CF12" s="110">
        <f t="shared" si="11"/>
        <v>121.75857572043756</v>
      </c>
      <c r="CG12" s="110">
        <f t="shared" si="11"/>
        <v>121.75857572043756</v>
      </c>
      <c r="CH12" s="110">
        <f t="shared" si="11"/>
        <v>121.75857572043756</v>
      </c>
      <c r="CI12" s="110">
        <f t="shared" si="11"/>
        <v>120.39215707427549</v>
      </c>
      <c r="CJ12" s="110">
        <f t="shared" si="11"/>
        <v>120.39215707427549</v>
      </c>
      <c r="CK12" s="110">
        <f t="shared" si="11"/>
        <v>120.39215707427549</v>
      </c>
      <c r="CL12" s="110">
        <f t="shared" si="11"/>
        <v>120.39215707427549</v>
      </c>
      <c r="CM12" s="110">
        <f t="shared" si="11"/>
        <v>120.39215707427549</v>
      </c>
      <c r="CN12" s="110">
        <f t="shared" si="11"/>
        <v>120.39215707427549</v>
      </c>
      <c r="CO12" s="110">
        <f t="shared" si="11"/>
        <v>120.39215707427549</v>
      </c>
      <c r="CP12" s="110">
        <f t="shared" si="11"/>
        <v>120.39215707427549</v>
      </c>
      <c r="CQ12" s="110">
        <f t="shared" si="11"/>
        <v>120.39215707427549</v>
      </c>
      <c r="CR12" s="110">
        <f t="shared" si="11"/>
        <v>120.39215707427549</v>
      </c>
      <c r="CS12" s="110">
        <f t="shared" si="11"/>
        <v>120.39215707427549</v>
      </c>
      <c r="CT12" s="110">
        <f t="shared" si="11"/>
        <v>120.39215707427549</v>
      </c>
      <c r="CU12" s="110">
        <f t="shared" si="11"/>
        <v>119.01741800599305</v>
      </c>
      <c r="CV12" s="110">
        <f t="shared" si="11"/>
        <v>119.01741800599305</v>
      </c>
      <c r="CW12" s="110">
        <f t="shared" si="11"/>
        <v>119.01741800599305</v>
      </c>
      <c r="CX12" s="110">
        <f t="shared" si="11"/>
        <v>119.01741800599305</v>
      </c>
      <c r="CY12" s="110">
        <f t="shared" si="11"/>
        <v>119.01741800599305</v>
      </c>
      <c r="CZ12" s="110">
        <f t="shared" si="11"/>
        <v>119.01741800599305</v>
      </c>
      <c r="DA12" s="110">
        <f t="shared" si="11"/>
        <v>119.01741800599305</v>
      </c>
      <c r="DB12" s="110">
        <f t="shared" si="11"/>
        <v>119.01741800599305</v>
      </c>
      <c r="DC12" s="110">
        <f t="shared" si="11"/>
        <v>119.01741800599305</v>
      </c>
      <c r="DD12" s="110">
        <f t="shared" si="11"/>
        <v>119.01741800599305</v>
      </c>
      <c r="DE12" s="110">
        <f t="shared" si="11"/>
        <v>119.01741800599305</v>
      </c>
      <c r="DF12" s="110">
        <f t="shared" si="11"/>
        <v>119.01741800599305</v>
      </c>
      <c r="DG12" s="110">
        <f t="shared" si="11"/>
        <v>117.63409706739381</v>
      </c>
      <c r="DH12" s="110">
        <f t="shared" si="11"/>
        <v>117.63409706739381</v>
      </c>
      <c r="DI12" s="110">
        <f t="shared" si="11"/>
        <v>117.63409706739381</v>
      </c>
      <c r="DJ12" s="110">
        <f t="shared" si="11"/>
        <v>117.63409706739381</v>
      </c>
      <c r="DK12" s="110">
        <f t="shared" si="11"/>
        <v>117.63409706739381</v>
      </c>
      <c r="DL12" s="110">
        <f t="shared" si="11"/>
        <v>117.63409706739381</v>
      </c>
      <c r="DM12" s="110">
        <f t="shared" si="11"/>
        <v>117.63409706739381</v>
      </c>
      <c r="DN12" s="110">
        <f t="shared" si="11"/>
        <v>117.63409706739381</v>
      </c>
      <c r="DO12" s="110">
        <f t="shared" si="11"/>
        <v>117.63409706739381</v>
      </c>
      <c r="DP12" s="110">
        <f t="shared" si="11"/>
        <v>117.63409706739381</v>
      </c>
      <c r="DQ12" s="110">
        <f t="shared" si="11"/>
        <v>117.63409706739381</v>
      </c>
      <c r="DR12" s="110">
        <f t="shared" si="11"/>
        <v>117.63409706739381</v>
      </c>
      <c r="DS12" s="110">
        <f t="shared" si="11"/>
        <v>239.19516636876671</v>
      </c>
      <c r="DT12" s="110">
        <f t="shared" si="11"/>
        <v>241.25795010848299</v>
      </c>
      <c r="DU12" s="110">
        <f t="shared" si="11"/>
        <v>241.28047247429879</v>
      </c>
      <c r="DV12" s="110">
        <f t="shared" si="11"/>
        <v>239.6413079386765</v>
      </c>
      <c r="DW12" s="110">
        <f t="shared" si="11"/>
        <v>240.78994859528149</v>
      </c>
      <c r="DX12" s="110">
        <f t="shared" si="11"/>
        <v>241.75145488885829</v>
      </c>
      <c r="DY12" s="110">
        <f t="shared" si="11"/>
        <v>241.16951670152986</v>
      </c>
      <c r="DZ12" s="110">
        <f t="shared" si="11"/>
        <v>240.22357733726693</v>
      </c>
      <c r="EA12" s="110">
        <f t="shared" ref="EA12:GL12" si="12">EA10+EA11</f>
        <v>241.07081574545481</v>
      </c>
      <c r="EB12" s="110">
        <f t="shared" si="12"/>
        <v>239.99007339755912</v>
      </c>
      <c r="EC12" s="110">
        <f t="shared" si="12"/>
        <v>241.53153061089236</v>
      </c>
      <c r="ED12" s="110">
        <f t="shared" si="12"/>
        <v>238.16973630162454</v>
      </c>
      <c r="EE12" s="110">
        <f t="shared" si="12"/>
        <v>237.50504213929571</v>
      </c>
      <c r="EF12" s="110">
        <f t="shared" si="12"/>
        <v>236.04741946454277</v>
      </c>
      <c r="EG12" s="110">
        <f t="shared" si="12"/>
        <v>235.936688915432</v>
      </c>
      <c r="EH12" s="110">
        <f t="shared" si="12"/>
        <v>237.38112938195746</v>
      </c>
      <c r="EI12" s="110">
        <f t="shared" si="12"/>
        <v>236.63402773066542</v>
      </c>
      <c r="EJ12" s="110">
        <f t="shared" si="12"/>
        <v>238.31344105884557</v>
      </c>
      <c r="EK12" s="110">
        <f t="shared" si="12"/>
        <v>236.59942443406828</v>
      </c>
      <c r="EL12" s="110">
        <f t="shared" si="12"/>
        <v>238.88126467824404</v>
      </c>
      <c r="EM12" s="110">
        <f t="shared" si="12"/>
        <v>238.41131895493453</v>
      </c>
      <c r="EN12" s="110">
        <f t="shared" si="12"/>
        <v>235.1177442293002</v>
      </c>
      <c r="EO12" s="110">
        <f t="shared" si="12"/>
        <v>237.48724615818867</v>
      </c>
      <c r="EP12" s="110">
        <f t="shared" si="12"/>
        <v>237.54722520562362</v>
      </c>
      <c r="EQ12" s="110">
        <f t="shared" si="12"/>
        <v>235.59285329614033</v>
      </c>
      <c r="ER12" s="110">
        <f t="shared" si="12"/>
        <v>238.46761773195567</v>
      </c>
      <c r="ES12" s="110">
        <f t="shared" si="12"/>
        <v>236.94383190633295</v>
      </c>
      <c r="ET12" s="110">
        <f t="shared" si="12"/>
        <v>235.44136006363814</v>
      </c>
      <c r="EU12" s="110">
        <f t="shared" si="12"/>
        <v>235.48366012206404</v>
      </c>
      <c r="EV12" s="110">
        <f t="shared" si="12"/>
        <v>235.45644380540242</v>
      </c>
      <c r="EW12" s="110">
        <f t="shared" si="12"/>
        <v>234.52157972344628</v>
      </c>
      <c r="EX12" s="110">
        <f t="shared" si="12"/>
        <v>236.10209353439984</v>
      </c>
      <c r="EY12" s="110">
        <f t="shared" si="12"/>
        <v>235.89223277941841</v>
      </c>
      <c r="EZ12" s="110">
        <f t="shared" si="12"/>
        <v>235.93551656013341</v>
      </c>
      <c r="FA12" s="110">
        <f t="shared" si="12"/>
        <v>235.73614884290106</v>
      </c>
      <c r="FB12" s="110">
        <f t="shared" si="12"/>
        <v>236.14439359282574</v>
      </c>
      <c r="FC12" s="110">
        <f t="shared" si="12"/>
        <v>234.26021892023181</v>
      </c>
      <c r="FD12" s="110">
        <f t="shared" si="12"/>
        <v>232.78907699290374</v>
      </c>
      <c r="FE12" s="110">
        <f t="shared" si="12"/>
        <v>231.28465574053951</v>
      </c>
      <c r="FF12" s="110">
        <f t="shared" si="12"/>
        <v>231.97438606530591</v>
      </c>
      <c r="FG12" s="110">
        <f t="shared" si="12"/>
        <v>233.69088144780164</v>
      </c>
      <c r="FH12" s="110">
        <f t="shared" si="12"/>
        <v>233.45140081469927</v>
      </c>
      <c r="FI12" s="110">
        <f t="shared" si="12"/>
        <v>232.96167270804156</v>
      </c>
      <c r="FJ12" s="110">
        <f t="shared" si="12"/>
        <v>232.39200896771894</v>
      </c>
      <c r="FK12" s="110">
        <f t="shared" si="12"/>
        <v>231.88009464437053</v>
      </c>
      <c r="FL12" s="110">
        <f t="shared" si="12"/>
        <v>231.06801385991281</v>
      </c>
      <c r="FM12" s="110">
        <f t="shared" si="12"/>
        <v>231.3133673150804</v>
      </c>
      <c r="FN12" s="110">
        <f t="shared" si="12"/>
        <v>231.01678980078873</v>
      </c>
      <c r="FO12" s="110">
        <f t="shared" si="12"/>
        <v>229.41670587563931</v>
      </c>
      <c r="FP12" s="110">
        <f t="shared" si="12"/>
        <v>227.16762383612576</v>
      </c>
      <c r="FQ12" s="110">
        <f t="shared" si="12"/>
        <v>229.11349533509286</v>
      </c>
      <c r="FR12" s="110">
        <f t="shared" si="12"/>
        <v>227.98700649601778</v>
      </c>
      <c r="FS12" s="110">
        <f t="shared" si="12"/>
        <v>228.22074481421203</v>
      </c>
      <c r="FT12" s="110">
        <f t="shared" si="12"/>
        <v>228.23697664186449</v>
      </c>
      <c r="FU12" s="110">
        <f t="shared" si="12"/>
        <v>229.33165109874085</v>
      </c>
      <c r="FV12" s="110">
        <f t="shared" si="12"/>
        <v>229.32158736559637</v>
      </c>
      <c r="FW12" s="110">
        <f t="shared" si="12"/>
        <v>227.14360073120019</v>
      </c>
      <c r="FX12" s="110">
        <f t="shared" si="12"/>
        <v>228.71841265003394</v>
      </c>
      <c r="FY12" s="110">
        <f t="shared" si="12"/>
        <v>227.49453284504466</v>
      </c>
      <c r="FZ12" s="110">
        <f t="shared" si="12"/>
        <v>226.04470599913418</v>
      </c>
      <c r="GA12" s="110">
        <f t="shared" si="12"/>
        <v>225.58082045571621</v>
      </c>
      <c r="GB12" s="110">
        <f t="shared" si="12"/>
        <v>225.0200692449061</v>
      </c>
      <c r="GC12" s="110">
        <f t="shared" si="12"/>
        <v>225.02652951231175</v>
      </c>
      <c r="GD12" s="110">
        <f t="shared" si="12"/>
        <v>224.29102806817886</v>
      </c>
      <c r="GE12" s="110">
        <f t="shared" si="12"/>
        <v>223.48995490987866</v>
      </c>
      <c r="GF12" s="110">
        <f t="shared" si="12"/>
        <v>225.0232993786089</v>
      </c>
      <c r="GG12" s="110">
        <f t="shared" si="12"/>
        <v>223.04516549899992</v>
      </c>
      <c r="GH12" s="110">
        <f t="shared" si="12"/>
        <v>224.8333675168829</v>
      </c>
      <c r="GI12" s="110">
        <f t="shared" si="12"/>
        <v>224.96677203880947</v>
      </c>
      <c r="GJ12" s="110">
        <f t="shared" si="12"/>
        <v>223.89016847565847</v>
      </c>
      <c r="GK12" s="110">
        <f t="shared" si="12"/>
        <v>227.50145795541493</v>
      </c>
      <c r="GL12" s="110">
        <f t="shared" si="12"/>
        <v>226.00493701089698</v>
      </c>
      <c r="GM12" s="110">
        <f t="shared" ref="GM12:IX12" si="13">GM10+GM11</f>
        <v>223.58348003881434</v>
      </c>
      <c r="GN12" s="110">
        <f t="shared" si="13"/>
        <v>222.42483915494586</v>
      </c>
      <c r="GO12" s="110">
        <f t="shared" si="13"/>
        <v>223.28072283698239</v>
      </c>
      <c r="GP12" s="110">
        <f t="shared" si="13"/>
        <v>223.36460779417791</v>
      </c>
      <c r="GQ12" s="110">
        <f t="shared" si="13"/>
        <v>222.09251330919832</v>
      </c>
      <c r="GR12" s="110">
        <f t="shared" si="13"/>
        <v>222.28695928277395</v>
      </c>
      <c r="GS12" s="110">
        <f t="shared" si="13"/>
        <v>222.13011691069971</v>
      </c>
      <c r="GT12" s="110">
        <f t="shared" si="13"/>
        <v>221.08396543303209</v>
      </c>
      <c r="GU12" s="110">
        <f t="shared" si="13"/>
        <v>219.90507645604745</v>
      </c>
      <c r="GV12" s="110">
        <f t="shared" si="13"/>
        <v>220.89787581534554</v>
      </c>
      <c r="GW12" s="110">
        <f t="shared" si="13"/>
        <v>220.30939552176352</v>
      </c>
      <c r="GX12" s="110">
        <f t="shared" si="13"/>
        <v>219.3873037892202</v>
      </c>
      <c r="GY12" s="110">
        <f t="shared" si="13"/>
        <v>219.32362872477478</v>
      </c>
      <c r="GZ12" s="110">
        <f t="shared" si="13"/>
        <v>218.79725222536467</v>
      </c>
      <c r="HA12" s="110">
        <f t="shared" si="13"/>
        <v>216.37579241155368</v>
      </c>
      <c r="HB12" s="110">
        <f t="shared" si="13"/>
        <v>218.77902412058558</v>
      </c>
      <c r="HC12" s="110">
        <f t="shared" si="13"/>
        <v>218.53630251484307</v>
      </c>
      <c r="HD12" s="110">
        <f t="shared" si="13"/>
        <v>217.29807055511296</v>
      </c>
      <c r="HE12" s="110">
        <f t="shared" si="13"/>
        <v>216.35180806316009</v>
      </c>
      <c r="HF12" s="110">
        <f t="shared" si="13"/>
        <v>216.95237614693417</v>
      </c>
      <c r="HG12" s="110">
        <f t="shared" si="13"/>
        <v>217.59355772732127</v>
      </c>
      <c r="HH12" s="110">
        <f t="shared" si="13"/>
        <v>217.61754207571477</v>
      </c>
      <c r="HI12" s="110">
        <f t="shared" si="13"/>
        <v>219.29644646326207</v>
      </c>
      <c r="HJ12" s="110">
        <f t="shared" si="13"/>
        <v>220.34056509666055</v>
      </c>
      <c r="HK12" s="110">
        <f t="shared" si="13"/>
        <v>216.67406884410912</v>
      </c>
      <c r="HL12" s="110">
        <f t="shared" si="13"/>
        <v>217.02662597384153</v>
      </c>
      <c r="HM12" s="110">
        <f t="shared" si="13"/>
        <v>218.15270871944011</v>
      </c>
      <c r="HN12" s="110">
        <f t="shared" si="13"/>
        <v>218.47821949896749</v>
      </c>
      <c r="HO12" s="110">
        <f t="shared" si="13"/>
        <v>219.02614673488739</v>
      </c>
      <c r="HP12" s="110">
        <f t="shared" si="13"/>
        <v>217.08835529078033</v>
      </c>
      <c r="HQ12" s="110">
        <f t="shared" si="13"/>
        <v>216.73070708336215</v>
      </c>
      <c r="HR12" s="110">
        <f t="shared" si="13"/>
        <v>217.80078797441834</v>
      </c>
      <c r="HS12" s="110">
        <f t="shared" si="13"/>
        <v>215.70040023672524</v>
      </c>
      <c r="HT12" s="110">
        <f t="shared" si="13"/>
        <v>217.09567371495351</v>
      </c>
      <c r="HU12" s="110">
        <f t="shared" si="13"/>
        <v>214.49095109402401</v>
      </c>
      <c r="HV12" s="110">
        <f t="shared" si="13"/>
        <v>214.31467252915778</v>
      </c>
      <c r="HW12" s="110">
        <f t="shared" si="13"/>
        <v>212.48138878001521</v>
      </c>
      <c r="HX12" s="110">
        <f t="shared" si="13"/>
        <v>212.77202885931925</v>
      </c>
      <c r="HY12" s="110">
        <f t="shared" si="13"/>
        <v>213.00314787663075</v>
      </c>
      <c r="HZ12" s="110">
        <f t="shared" si="13"/>
        <v>211.85103540540251</v>
      </c>
      <c r="IA12" s="110">
        <f t="shared" si="13"/>
        <v>213.26687683748082</v>
      </c>
      <c r="IB12" s="110">
        <f t="shared" si="13"/>
        <v>212.66660059525802</v>
      </c>
      <c r="IC12" s="110">
        <f t="shared" si="13"/>
        <v>213.06805116231413</v>
      </c>
      <c r="ID12" s="110">
        <f t="shared" si="13"/>
        <v>213.0525376940289</v>
      </c>
      <c r="IE12" s="110">
        <f t="shared" si="13"/>
        <v>213.10794293790491</v>
      </c>
      <c r="IF12" s="110">
        <f t="shared" si="13"/>
        <v>213.26972625002304</v>
      </c>
      <c r="IG12" s="110">
        <f t="shared" si="13"/>
        <v>212.47347374517577</v>
      </c>
      <c r="IH12" s="110">
        <f t="shared" si="13"/>
        <v>213.03195860344636</v>
      </c>
      <c r="II12" s="110">
        <f t="shared" si="13"/>
        <v>210.40300002372354</v>
      </c>
      <c r="IJ12" s="110">
        <f t="shared" si="13"/>
        <v>208.51761497986547</v>
      </c>
      <c r="IK12" s="110">
        <f t="shared" si="13"/>
        <v>209.99505121306416</v>
      </c>
      <c r="IL12" s="110">
        <f t="shared" si="13"/>
        <v>207.71463311239771</v>
      </c>
      <c r="IM12" s="110">
        <f t="shared" si="13"/>
        <v>207.56531439714482</v>
      </c>
      <c r="IN12" s="110">
        <f t="shared" si="13"/>
        <v>208.46563694607494</v>
      </c>
      <c r="IO12" s="110">
        <f t="shared" si="13"/>
        <v>208.1811753429665</v>
      </c>
      <c r="IP12" s="110">
        <f t="shared" si="13"/>
        <v>208.7299373724403</v>
      </c>
      <c r="IQ12" s="110">
        <f t="shared" si="13"/>
        <v>207.80724851806096</v>
      </c>
      <c r="IR12" s="110">
        <f t="shared" si="13"/>
        <v>207.67840599793763</v>
      </c>
      <c r="IS12" s="110">
        <f t="shared" si="13"/>
        <v>208.12226690467051</v>
      </c>
      <c r="IT12" s="110">
        <f t="shared" si="13"/>
        <v>207.83780530156207</v>
      </c>
      <c r="IU12" s="110">
        <f t="shared" si="13"/>
        <v>206.58882226699453</v>
      </c>
      <c r="IV12" s="110">
        <f t="shared" si="13"/>
        <v>206.82515851118066</v>
      </c>
      <c r="IW12" s="110">
        <f t="shared" si="13"/>
        <v>205.6017893320583</v>
      </c>
      <c r="IX12" s="110">
        <f t="shared" si="13"/>
        <v>204.8313457137435</v>
      </c>
      <c r="IY12" s="110">
        <f t="shared" ref="IY12:KP12" si="14">IY10+IY11</f>
        <v>203.81390877922365</v>
      </c>
      <c r="IZ12" s="110">
        <f t="shared" si="14"/>
        <v>204.90030323857235</v>
      </c>
      <c r="JA12" s="110">
        <f t="shared" si="14"/>
        <v>203.233098354188</v>
      </c>
      <c r="JB12" s="110">
        <f t="shared" si="14"/>
        <v>204.44894489423817</v>
      </c>
      <c r="JC12" s="110">
        <f t="shared" si="14"/>
        <v>204.63701087104408</v>
      </c>
      <c r="JD12" s="110">
        <f t="shared" si="14"/>
        <v>205.07865247324324</v>
      </c>
      <c r="JE12" s="110">
        <f t="shared" si="14"/>
        <v>203.18890284963862</v>
      </c>
      <c r="JF12" s="110">
        <f t="shared" si="14"/>
        <v>204.23674378374216</v>
      </c>
      <c r="JG12" s="110">
        <f t="shared" si="14"/>
        <v>201.28147487067466</v>
      </c>
      <c r="JH12" s="110">
        <f t="shared" si="14"/>
        <v>200.80399259494564</v>
      </c>
      <c r="JI12" s="110">
        <f t="shared" si="14"/>
        <v>199.30729929564893</v>
      </c>
      <c r="JJ12" s="110">
        <f t="shared" si="14"/>
        <v>199.06715471543254</v>
      </c>
      <c r="JK12" s="110">
        <f t="shared" si="14"/>
        <v>198.00053852797794</v>
      </c>
      <c r="JL12" s="110">
        <f t="shared" si="14"/>
        <v>198.66701770709795</v>
      </c>
      <c r="JM12" s="110">
        <f t="shared" si="14"/>
        <v>197.73575573758347</v>
      </c>
      <c r="JN12" s="110">
        <f t="shared" si="14"/>
        <v>200.14936470679734</v>
      </c>
      <c r="JO12" s="110">
        <f t="shared" si="14"/>
        <v>199.0727684848402</v>
      </c>
      <c r="JP12" s="110">
        <f t="shared" si="14"/>
        <v>201.05598846613378</v>
      </c>
      <c r="JQ12" s="110">
        <f t="shared" si="14"/>
        <v>199.59516091583043</v>
      </c>
      <c r="JR12" s="110">
        <f t="shared" si="14"/>
        <v>198.20762424390475</v>
      </c>
      <c r="JS12" s="110">
        <f t="shared" si="14"/>
        <v>198.50080036578336</v>
      </c>
      <c r="JT12" s="110">
        <f t="shared" si="14"/>
        <v>198.06263318847269</v>
      </c>
      <c r="JU12" s="110">
        <f t="shared" si="14"/>
        <v>198.75060530752211</v>
      </c>
      <c r="JV12" s="110">
        <f t="shared" si="14"/>
        <v>197.37869518649484</v>
      </c>
      <c r="JW12" s="110">
        <f t="shared" si="14"/>
        <v>196.61500579317931</v>
      </c>
      <c r="JX12" s="110">
        <f t="shared" si="14"/>
        <v>197.28280732687091</v>
      </c>
      <c r="JY12" s="110">
        <f t="shared" si="14"/>
        <v>197.14099259597083</v>
      </c>
      <c r="JZ12" s="110">
        <f t="shared" si="14"/>
        <v>196.34906438315431</v>
      </c>
      <c r="KA12" s="110">
        <f t="shared" si="14"/>
        <v>196.63145257816331</v>
      </c>
      <c r="KB12" s="110">
        <f t="shared" si="14"/>
        <v>197.22074398730848</v>
      </c>
      <c r="KC12" s="110">
        <f t="shared" si="14"/>
        <v>198.15293534753602</v>
      </c>
      <c r="KD12" s="110">
        <f t="shared" si="14"/>
        <v>196.95138909360756</v>
      </c>
      <c r="KE12" s="110">
        <f t="shared" si="14"/>
        <v>197.5809141186495</v>
      </c>
      <c r="KF12" s="110">
        <f t="shared" si="14"/>
        <v>197.59449978367977</v>
      </c>
      <c r="KG12" s="110">
        <f t="shared" si="14"/>
        <v>198.35529702537175</v>
      </c>
      <c r="KH12" s="110">
        <f t="shared" si="14"/>
        <v>196.06024593060863</v>
      </c>
      <c r="KI12" s="110">
        <f t="shared" si="14"/>
        <v>196.77102322378022</v>
      </c>
      <c r="KJ12" s="110">
        <f t="shared" si="14"/>
        <v>196.03894113772034</v>
      </c>
      <c r="KK12" s="110">
        <f t="shared" si="14"/>
        <v>196.21493725288445</v>
      </c>
      <c r="KL12" s="110">
        <f t="shared" si="14"/>
        <v>-55.491085106895262</v>
      </c>
      <c r="KM12" s="110">
        <f t="shared" si="14"/>
        <v>-55.491085106895262</v>
      </c>
      <c r="KN12" s="110">
        <f t="shared" si="14"/>
        <v>-55.491085106895262</v>
      </c>
      <c r="KO12" s="110">
        <f t="shared" si="14"/>
        <v>-55.491085106895262</v>
      </c>
      <c r="KP12" s="110">
        <f t="shared" si="14"/>
        <v>-55.491085106895262</v>
      </c>
    </row>
    <row r="13" spans="1:302" ht="16" customHeight="1" x14ac:dyDescent="0.2">
      <c r="A13" s="104" t="s">
        <v>447</v>
      </c>
      <c r="B13" s="105" t="s">
        <v>448</v>
      </c>
      <c r="C13" s="111">
        <f>1/(1+WACC!$E$34)^1</f>
        <v>0.99722652788012034</v>
      </c>
      <c r="D13" s="111">
        <f>1/(1+WACC!$E$34)^2</f>
        <v>0.99446074790784056</v>
      </c>
      <c r="E13" s="111">
        <f>1/(1+WACC!$E$34)^3</f>
        <v>0.99170263874920339</v>
      </c>
      <c r="F13" s="111">
        <f>1/(1+WACC!$E$34)^4</f>
        <v>0.98895217912942168</v>
      </c>
      <c r="G13" s="111">
        <f>1/(1+WACC!$E$34)^5</f>
        <v>0.98620934783271186</v>
      </c>
      <c r="H13" s="111">
        <f>1/(1+WACC!$E$34)^6</f>
        <v>0.98347412370213338</v>
      </c>
      <c r="I13" s="111">
        <f>1/(1+WACC!$E$34)^7</f>
        <v>0.98074648563942224</v>
      </c>
      <c r="J13" s="111">
        <f>1/(1+WACC!$E$34)^8</f>
        <v>0.9780264126048317</v>
      </c>
      <c r="K13" s="111">
        <f>1/(1+WACC!$E$34)^9</f>
        <v>0.97531388361696614</v>
      </c>
      <c r="L13" s="111">
        <f>1/(1+WACC!$E$34)^10</f>
        <v>0.97260887775262306</v>
      </c>
      <c r="M13" s="111">
        <f>1/(1+WACC!$E$34)^11</f>
        <v>0.96991137414662865</v>
      </c>
      <c r="N13" s="111">
        <f>1/(1+WACC!$E$34)^12</f>
        <v>0.96722135199167913</v>
      </c>
      <c r="O13" s="111">
        <f>1/(1+WACC!$E$34)^13</f>
        <v>0.96453879053817793</v>
      </c>
      <c r="P13" s="111">
        <f>1/(1+WACC!$E$34)^14</f>
        <v>0.96186366909407783</v>
      </c>
      <c r="Q13" s="111">
        <f>1/(1+WACC!$E$34)^15</f>
        <v>0.95919596702472021</v>
      </c>
      <c r="R13" s="111">
        <f>1/(1+WACC!$E$34)^16</f>
        <v>0.9565356637526764</v>
      </c>
      <c r="S13" s="111">
        <f>1/(1+WACC!$E$34)^17</f>
        <v>0.95388273875758767</v>
      </c>
      <c r="T13" s="111">
        <f>1/(1+WACC!$E$34)^18</f>
        <v>0.95123717157600929</v>
      </c>
      <c r="U13" s="111">
        <f>1/(1+WACC!$E$34)^19</f>
        <v>0.94859894180124993</v>
      </c>
      <c r="V13" s="111">
        <f>1/(1+WACC!$E$34)^20</f>
        <v>0.94596802908321709</v>
      </c>
      <c r="W13" s="111">
        <f>1/(1+WACC!$E$34)^21</f>
        <v>0.94334441312825712</v>
      </c>
      <c r="X13" s="111">
        <f>1/(1+WACC!$E$34)^22</f>
        <v>0.9407280736990018</v>
      </c>
      <c r="Y13" s="111">
        <f>1/(1+WACC!$E$34)^23</f>
        <v>0.93811899061420945</v>
      </c>
      <c r="Z13" s="111">
        <f>1/(1+WACC!$E$34)^24</f>
        <v>0.9355171437486115</v>
      </c>
      <c r="AA13" s="111">
        <f>1/(1+WACC!$E$34)^25</f>
        <v>0.9329225130327552</v>
      </c>
      <c r="AB13" s="111">
        <f>1/(1+WACC!$E$34)^26</f>
        <v>0.93033507845285091</v>
      </c>
      <c r="AC13" s="111">
        <f>1/(1+WACC!$E$34)^27</f>
        <v>0.92775482005061582</v>
      </c>
      <c r="AD13" s="111">
        <f>1/(1+WACC!$E$34)^28</f>
        <v>0.92518171792312176</v>
      </c>
      <c r="AE13" s="111">
        <f>1/(1+WACC!$E$34)^29</f>
        <v>0.9226157522226397</v>
      </c>
      <c r="AF13" s="111">
        <f>1/(1+WACC!$E$34)^30</f>
        <v>0.92005690315648847</v>
      </c>
      <c r="AG13" s="111">
        <f>1/(1+WACC!$E$34)^31</f>
        <v>0.91750515098688101</v>
      </c>
      <c r="AH13" s="111">
        <f>1/(1+WACC!$E$34)^32</f>
        <v>0.91496047603077324</v>
      </c>
      <c r="AI13" s="111">
        <f>1/(1+WACC!$E$34)^33</f>
        <v>0.91242285865971007</v>
      </c>
      <c r="AJ13" s="111">
        <f>1/(1+WACC!$E$34)^34</f>
        <v>0.90989227929967653</v>
      </c>
      <c r="AK13" s="111">
        <f>1/(1+WACC!$E$34)^35</f>
        <v>0.90736871843094502</v>
      </c>
      <c r="AL13" s="111">
        <f>1/(1+WACC!$E$34)^36</f>
        <v>0.90485215658792606</v>
      </c>
      <c r="AM13" s="111">
        <f>1/(1+WACC!$E$34)^37</f>
        <v>0.90234257435901644</v>
      </c>
      <c r="AN13" s="111">
        <f>1/(1+WACC!$E$34)^38</f>
        <v>0.89983995238645142</v>
      </c>
      <c r="AO13" s="111">
        <f>1/(1+WACC!$E$34)^39</f>
        <v>0.89734427136615369</v>
      </c>
      <c r="AP13" s="111">
        <f>1/(1+WACC!$E$34)^40</f>
        <v>0.89485551204758607</v>
      </c>
      <c r="AQ13" s="111">
        <f>1/(1+WACC!$E$34)^41</f>
        <v>0.89237365523360157</v>
      </c>
      <c r="AR13" s="111">
        <f>1/(1+WACC!$E$34)^42</f>
        <v>0.88989868178029607</v>
      </c>
      <c r="AS13" s="111">
        <f>1/(1+WACC!$E$34)^43</f>
        <v>0.88743057259686065</v>
      </c>
      <c r="AT13" s="111">
        <f>1/(1+WACC!$E$34)^44</f>
        <v>0.88496930864543477</v>
      </c>
      <c r="AU13" s="111">
        <f>1/(1+WACC!$E$34)^45</f>
        <v>0.88251487094095737</v>
      </c>
      <c r="AV13" s="111">
        <f>1/(1+WACC!$E$34)^46</f>
        <v>0.88006724055102359</v>
      </c>
      <c r="AW13" s="111">
        <f>1/(1+WACC!$E$34)^47</f>
        <v>0.87762639859573588</v>
      </c>
      <c r="AX13" s="111">
        <f>1/(1+WACC!$E$34)^48</f>
        <v>0.87519232624756038</v>
      </c>
      <c r="AY13" s="111">
        <f>1/(1+WACC!$E$34)^49</f>
        <v>0.87276500473118013</v>
      </c>
      <c r="AZ13" s="111">
        <f>1/(1+WACC!$E$34)^50</f>
        <v>0.87034441532335172</v>
      </c>
      <c r="BA13" s="111">
        <f>1/(1+WACC!$E$34)^51</f>
        <v>0.86793053935275943</v>
      </c>
      <c r="BB13" s="111">
        <f>1/(1+WACC!$E$34)^52</f>
        <v>0.86552335819987269</v>
      </c>
      <c r="BC13" s="111">
        <f>1/(1+WACC!$E$34)^53</f>
        <v>0.8631228532968005</v>
      </c>
      <c r="BD13" s="111">
        <f>1/(1+WACC!$E$34)^54</f>
        <v>0.86072900612715098</v>
      </c>
      <c r="BE13" s="111">
        <f>1/(1+WACC!$E$34)^55</f>
        <v>0.85834179822588541</v>
      </c>
      <c r="BF13" s="111">
        <f>1/(1+WACC!$E$34)^56</f>
        <v>0.855961211179179</v>
      </c>
      <c r="BG13" s="111">
        <f>1/(1+WACC!$E$34)^57</f>
        <v>0.853587226624275</v>
      </c>
      <c r="BH13" s="111">
        <f>1/(1+WACC!$E$34)^58</f>
        <v>0.85121982624934722</v>
      </c>
      <c r="BI13" s="111">
        <f>1/(1+WACC!$E$34)^59</f>
        <v>0.84885899179335578</v>
      </c>
      <c r="BJ13" s="111">
        <f>1/(1+WACC!$E$34)^60</f>
        <v>0.84650470504590802</v>
      </c>
      <c r="BK13" s="111">
        <f>1/(1+WACC!$E$34)^61</f>
        <v>0.84415694784711637</v>
      </c>
      <c r="BL13" s="111">
        <f>1/(1+WACC!$E$34)^62</f>
        <v>0.84181570208745959</v>
      </c>
      <c r="BM13" s="111">
        <f>1/(1+WACC!$E$34)^63</f>
        <v>0.83948094970764309</v>
      </c>
      <c r="BN13" s="111">
        <f>1/(1+WACC!$E$34)^64</f>
        <v>0.83715267269845905</v>
      </c>
      <c r="BO13" s="111">
        <f>1/(1+WACC!$E$34)^65</f>
        <v>0.8348308531006472</v>
      </c>
      <c r="BP13" s="111">
        <f>1/(1+WACC!$E$34)^66</f>
        <v>0.83251547300475714</v>
      </c>
      <c r="BQ13" s="111">
        <f>1/(1+WACC!$E$34)^67</f>
        <v>0.83020651455101002</v>
      </c>
      <c r="BR13" s="111">
        <f>1/(1+WACC!$E$34)^68</f>
        <v>0.82790395992916066</v>
      </c>
      <c r="BS13" s="111">
        <f>1/(1+WACC!$E$34)^69</f>
        <v>0.82560779137835894</v>
      </c>
      <c r="BT13" s="111">
        <f>1/(1+WACC!$E$34)^70</f>
        <v>0.82331799118701587</v>
      </c>
      <c r="BU13" s="111">
        <f>1/(1+WACC!$E$34)^71</f>
        <v>0.82103454169266321</v>
      </c>
      <c r="BV13" s="111">
        <f>1/(1+WACC!$E$34)^72</f>
        <v>0.81875742528182072</v>
      </c>
      <c r="BW13" s="111">
        <f>1/(1+WACC!$E$34)^73</f>
        <v>0.81648662438985709</v>
      </c>
      <c r="BX13" s="111">
        <f>1/(1+WACC!$E$34)^74</f>
        <v>0.81422212150085715</v>
      </c>
      <c r="BY13" s="111">
        <f>1/(1+WACC!$E$34)^75</f>
        <v>0.81196389914748524</v>
      </c>
      <c r="BZ13" s="111">
        <f>1/(1+WACC!$E$34)^76</f>
        <v>0.80971193991085122</v>
      </c>
      <c r="CA13" s="111">
        <f>1/(1+WACC!$E$34)^77</f>
        <v>0.8074662264203748</v>
      </c>
      <c r="CB13" s="111">
        <f>1/(1+WACC!$E$34)^78</f>
        <v>0.80522674135365346</v>
      </c>
      <c r="CC13" s="111">
        <f>1/(1+WACC!$E$34)^79</f>
        <v>0.80299346743632749</v>
      </c>
      <c r="CD13" s="111">
        <f>1/(1+WACC!$E$34)^80</f>
        <v>0.80076638744194761</v>
      </c>
      <c r="CE13" s="111">
        <f>1/(1+WACC!$E$34)^81</f>
        <v>0.79854548419184057</v>
      </c>
      <c r="CF13" s="111">
        <f>1/(1+WACC!$E$34)^82</f>
        <v>0.79633074055497888</v>
      </c>
      <c r="CG13" s="111">
        <f>1/(1+WACC!$E$34)^83</f>
        <v>0.79412213944784638</v>
      </c>
      <c r="CH13" s="111">
        <f>1/(1+WACC!$E$34)^84</f>
        <v>0.79191966383430878</v>
      </c>
      <c r="CI13" s="111">
        <f>1/(1+WACC!$E$34)^85</f>
        <v>0.78972329672547981</v>
      </c>
      <c r="CJ13" s="111">
        <f>1/(1+WACC!$E$34)^86</f>
        <v>0.78753302117959234</v>
      </c>
      <c r="CK13" s="111">
        <f>1/(1+WACC!$E$34)^87</f>
        <v>0.78534882030186615</v>
      </c>
      <c r="CL13" s="111">
        <f>1/(1+WACC!$E$34)^88</f>
        <v>0.78317067724437861</v>
      </c>
      <c r="CM13" s="111">
        <f>1/(1+WACC!$E$34)^89</f>
        <v>0.78099857520593396</v>
      </c>
      <c r="CN13" s="111">
        <f>1/(1+WACC!$E$34)^90</f>
        <v>0.77883249743193472</v>
      </c>
      <c r="CO13" s="111">
        <f>1/(1+WACC!$E$34)^91</f>
        <v>0.77667242721425089</v>
      </c>
      <c r="CP13" s="111">
        <f>1/(1+WACC!$E$34)^92</f>
        <v>0.77451834789109331</v>
      </c>
      <c r="CQ13" s="111">
        <f>1/(1+WACC!$E$34)^93</f>
        <v>0.77237024284688205</v>
      </c>
      <c r="CR13" s="111">
        <f>1/(1+WACC!$E$34)^94</f>
        <v>0.77022809551212157</v>
      </c>
      <c r="CS13" s="111">
        <f>1/(1+WACC!$E$34)^95</f>
        <v>0.76809188936327066</v>
      </c>
      <c r="CT13" s="111">
        <f>1/(1+WACC!$E$34)^96</f>
        <v>0.76596160792261614</v>
      </c>
      <c r="CU13" s="111">
        <f>1/(1+WACC!$E$34)^97</f>
        <v>0.76383723475814469</v>
      </c>
      <c r="CV13" s="111">
        <f>1/(1+WACC!$E$34)^98</f>
        <v>0.761718753483417</v>
      </c>
      <c r="CW13" s="111">
        <f>1/(1+WACC!$E$34)^99</f>
        <v>0.75960614775744117</v>
      </c>
      <c r="CX13" s="111">
        <f>1/(1+WACC!$E$34)^100</f>
        <v>0.75749940128454685</v>
      </c>
      <c r="CY13" s="111">
        <f>1/(1+WACC!$E$34)^101</f>
        <v>0.75539849781425861</v>
      </c>
      <c r="CZ13" s="111">
        <f>1/(1+WACC!$E$34)^102</f>
        <v>0.75330342114117199</v>
      </c>
      <c r="DA13" s="111">
        <f>1/(1+WACC!$E$34)^103</f>
        <v>0.75121415510482692</v>
      </c>
      <c r="DB13" s="111">
        <f>1/(1+WACC!$E$34)^104</f>
        <v>0.74913068358958479</v>
      </c>
      <c r="DC13" s="111">
        <f>1/(1+WACC!$E$34)^105</f>
        <v>0.7470529905245028</v>
      </c>
      <c r="DD13" s="111">
        <f>1/(1+WACC!$E$34)^106</f>
        <v>0.74498105988321039</v>
      </c>
      <c r="DE13" s="111">
        <f>1/(1+WACC!$E$34)^107</f>
        <v>0.74291487568378589</v>
      </c>
      <c r="DF13" s="111">
        <f>1/(1+WACC!$E$34)^108</f>
        <v>0.74085442198863316</v>
      </c>
      <c r="DG13" s="111">
        <f>1/(1+WACC!$E$34)^109</f>
        <v>0.73879968290435805</v>
      </c>
      <c r="DH13" s="111">
        <f>1/(1+WACC!$E$34)^110</f>
        <v>0.73675064258164702</v>
      </c>
      <c r="DI13" s="111">
        <f>1/(1+WACC!$E$34)^111</f>
        <v>0.7347072852151435</v>
      </c>
      <c r="DJ13" s="111">
        <f>1/(1+WACC!$E$34)^112</f>
        <v>0.73266959504332685</v>
      </c>
      <c r="DK13" s="111">
        <f>1/(1+WACC!$E$34)^113</f>
        <v>0.73063755634839067</v>
      </c>
      <c r="DL13" s="111">
        <f>1/(1+WACC!$E$34)^114</f>
        <v>0.7286111534561216</v>
      </c>
      <c r="DM13" s="111">
        <f>1/(1+WACC!$E$34)^115</f>
        <v>0.72659037073577759</v>
      </c>
      <c r="DN13" s="111">
        <f>1/(1+WACC!$E$34)^116</f>
        <v>0.72457519259996916</v>
      </c>
      <c r="DO13" s="111">
        <f>1/(1+WACC!$E$34)^117</f>
        <v>0.72256560350453647</v>
      </c>
      <c r="DP13" s="111">
        <f>1/(1+WACC!$E$34)^118</f>
        <v>0.72056158794843272</v>
      </c>
      <c r="DQ13" s="111">
        <f>1/(1+WACC!$E$34)^119</f>
        <v>0.71856313047360143</v>
      </c>
      <c r="DR13" s="111">
        <f>1/(1+WACC!$E$34)^120</f>
        <v>0.71657021566485979</v>
      </c>
      <c r="DS13" s="111">
        <f>(1/(1+WACC!$E$34)^120)*(1/(1+WACC!$E$35)^1)</f>
        <v>0.71397108772364792</v>
      </c>
      <c r="DT13" s="111">
        <f>(1/(1+WACC!$E$34)^120)*(1/(1+WACC!$E$35)^2)</f>
        <v>0.71138138728291977</v>
      </c>
      <c r="DU13" s="111">
        <f>(1/(1+WACC!$E$34)^120)*(1/(1+WACC!$E$35)^3)</f>
        <v>0.70880108014745002</v>
      </c>
      <c r="DV13" s="111">
        <f>(1/(1+WACC!$E$34)^120)*(1/(1+WACC!$E$35)^4)</f>
        <v>0.70623013224604581</v>
      </c>
      <c r="DW13" s="111">
        <f>(1/(1+WACC!$E$34)^120)*(1/(1+WACC!$E$35)^5)</f>
        <v>0.70366850963109628</v>
      </c>
      <c r="DX13" s="111">
        <f>(1/(1+WACC!$E$34)^120)*(1/(1+WACC!$E$35)^6)</f>
        <v>0.70111617847812446</v>
      </c>
      <c r="DY13" s="111">
        <f>(1/(1+WACC!$E$34)^120)*(1/(1+WACC!$E$35)^7)</f>
        <v>0.69857310508534132</v>
      </c>
      <c r="DZ13" s="111">
        <f>(1/(1+WACC!$E$34)^120)*(1/(1+WACC!$E$35)^8)</f>
        <v>0.69603925587319992</v>
      </c>
      <c r="EA13" s="111">
        <f>(1/(1+WACC!$E$34)^120)*(1/(1+WACC!$E$35)^9)</f>
        <v>0.69351459738395227</v>
      </c>
      <c r="EB13" s="111">
        <f>(1/(1+WACC!$E$34)^120)*(1/(1+WACC!$E$35)^10)</f>
        <v>0.69099909628120759</v>
      </c>
      <c r="EC13" s="111">
        <f>(1/(1+WACC!$E$34)^120)*(1/(1+WACC!$E$35)^11)</f>
        <v>0.68849271934949241</v>
      </c>
      <c r="ED13" s="111">
        <f>(1/(1+WACC!$E$34)^120)*(1/(1+WACC!$E$35)^12)</f>
        <v>0.68599543349381131</v>
      </c>
      <c r="EE13" s="111">
        <f>(1/(1+WACC!$E$34)^120)*(1/(1+WACC!$E$35)^13)</f>
        <v>0.68350720573921064</v>
      </c>
      <c r="EF13" s="111">
        <f>(1/(1+WACC!$E$34)^120)*(1/(1+WACC!$E$35)^14)</f>
        <v>0.68102800323034263</v>
      </c>
      <c r="EG13" s="111">
        <f>(1/(1+WACC!$E$34)^120)*(1/(1+WACC!$E$35)^15)</f>
        <v>0.67855779323103171</v>
      </c>
      <c r="EH13" s="111">
        <f>(1/(1+WACC!$E$34)^120)*(1/(1+WACC!$E$35)^16)</f>
        <v>0.67609654312384238</v>
      </c>
      <c r="EI13" s="111">
        <f>(1/(1+WACC!$E$34)^120)*(1/(1+WACC!$E$35)^17)</f>
        <v>0.67364422040964822</v>
      </c>
      <c r="EJ13" s="111">
        <f>(1/(1+WACC!$E$34)^120)*(1/(1+WACC!$E$35)^18)</f>
        <v>0.67120079270720312</v>
      </c>
      <c r="EK13" s="111">
        <f>(1/(1+WACC!$E$34)^120)*(1/(1+WACC!$E$35)^19)</f>
        <v>0.66876622775271333</v>
      </c>
      <c r="EL13" s="111">
        <f>(1/(1+WACC!$E$34)^120)*(1/(1+WACC!$E$35)^20)</f>
        <v>0.66634049339941182</v>
      </c>
      <c r="EM13" s="111">
        <f>(1/(1+WACC!$E$34)^120)*(1/(1+WACC!$E$35)^21)</f>
        <v>0.66392355761713362</v>
      </c>
      <c r="EN13" s="111">
        <f>(1/(1+WACC!$E$34)^120)*(1/(1+WACC!$E$35)^22)</f>
        <v>0.6615153884918924</v>
      </c>
      <c r="EO13" s="111">
        <f>(1/(1+WACC!$E$34)^120)*(1/(1+WACC!$E$35)^23)</f>
        <v>0.65911595422546032</v>
      </c>
      <c r="EP13" s="111">
        <f>(1/(1+WACC!$E$34)^120)*(1/(1+WACC!$E$35)^24)</f>
        <v>0.65672522313494708</v>
      </c>
      <c r="EQ13" s="111">
        <f>(1/(1+WACC!$E$34)^120)*(1/(1+WACC!$E$35)^25)</f>
        <v>0.65434316365238121</v>
      </c>
      <c r="ER13" s="111">
        <f>(1/(1+WACC!$E$34)^120)*(1/(1+WACC!$E$35)^26)</f>
        <v>0.65196974432429511</v>
      </c>
      <c r="ES13" s="111">
        <f>(1/(1+WACC!$E$34)^120)*(1/(1+WACC!$E$35)^27)</f>
        <v>0.64960493381130757</v>
      </c>
      <c r="ET13" s="111">
        <f>(1/(1+WACC!$E$34)^120)*(1/(1+WACC!$E$35)^28)</f>
        <v>0.64724870088771125</v>
      </c>
      <c r="EU13" s="111">
        <f>(1/(1+WACC!$E$34)^120)*(1/(1+WACC!$E$35)^29)</f>
        <v>0.64490101444106007</v>
      </c>
      <c r="EV13" s="111">
        <f>(1/(1+WACC!$E$34)^120)*(1/(1+WACC!$E$35)^30)</f>
        <v>0.64256184347175815</v>
      </c>
      <c r="EW13" s="111">
        <f>(1/(1+WACC!$E$34)^120)*(1/(1+WACC!$E$35)^31)</f>
        <v>0.64023115709265099</v>
      </c>
      <c r="EX13" s="111">
        <f>(1/(1+WACC!$E$34)^120)*(1/(1+WACC!$E$35)^32)</f>
        <v>0.63790892452861681</v>
      </c>
      <c r="EY13" s="111">
        <f>(1/(1+WACC!$E$34)^120)*(1/(1+WACC!$E$35)^33)</f>
        <v>0.63559511511616107</v>
      </c>
      <c r="EZ13" s="111">
        <f>(1/(1+WACC!$E$34)^120)*(1/(1+WACC!$E$35)^34)</f>
        <v>0.63328969830301118</v>
      </c>
      <c r="FA13" s="111">
        <f>(1/(1+WACC!$E$34)^120)*(1/(1+WACC!$E$35)^35)</f>
        <v>0.63099264364771313</v>
      </c>
      <c r="FB13" s="111">
        <f>(1/(1+WACC!$E$34)^120)*(1/(1+WACC!$E$35)^36)</f>
        <v>0.62870392081922899</v>
      </c>
      <c r="FC13" s="111">
        <f>(1/(1+WACC!$E$34)^120)*(1/(1+WACC!$E$35)^37)</f>
        <v>0.62642349959653776</v>
      </c>
      <c r="FD13" s="111">
        <f>(1/(1+WACC!$E$34)^120)*(1/(1+WACC!$E$35)^38)</f>
        <v>0.6241513498682344</v>
      </c>
      <c r="FE13" s="111">
        <f>(1/(1+WACC!$E$34)^120)*(1/(1+WACC!$E$35)^39)</f>
        <v>0.62188744163213439</v>
      </c>
      <c r="FF13" s="111">
        <f>(1/(1+WACC!$E$34)^120)*(1/(1+WACC!$E$35)^40)</f>
        <v>0.61963174499487605</v>
      </c>
      <c r="FG13" s="111">
        <f>(1/(1+WACC!$E$34)^120)*(1/(1+WACC!$E$35)^41)</f>
        <v>0.61738423017152577</v>
      </c>
      <c r="FH13" s="111">
        <f>(1/(1+WACC!$E$34)^120)*(1/(1+WACC!$E$35)^42)</f>
        <v>0.61514486748518593</v>
      </c>
      <c r="FI13" s="111">
        <f>(1/(1+WACC!$E$34)^120)*(1/(1+WACC!$E$35)^43)</f>
        <v>0.61291362736660193</v>
      </c>
      <c r="FJ13" s="111">
        <f>(1/(1+WACC!$E$34)^120)*(1/(1+WACC!$E$35)^44)</f>
        <v>0.61069048035377238</v>
      </c>
      <c r="FK13" s="111">
        <f>(1/(1+WACC!$E$34)^120)*(1/(1+WACC!$E$35)^45)</f>
        <v>0.6084753970915594</v>
      </c>
      <c r="FL13" s="111">
        <f>(1/(1+WACC!$E$34)^120)*(1/(1+WACC!$E$35)^46)</f>
        <v>0.60626834833130172</v>
      </c>
      <c r="FM13" s="111">
        <f>(1/(1+WACC!$E$34)^120)*(1/(1+WACC!$E$35)^47)</f>
        <v>0.60406930493042821</v>
      </c>
      <c r="FN13" s="111">
        <f>(1/(1+WACC!$E$34)^120)*(1/(1+WACC!$E$35)^48)</f>
        <v>0.60187823785207328</v>
      </c>
      <c r="FO13" s="111">
        <f>(1/(1+WACC!$E$34)^120)*(1/(1+WACC!$E$35)^49)</f>
        <v>0.59969511816469234</v>
      </c>
      <c r="FP13" s="111">
        <f>(1/(1+WACC!$E$34)^120)*(1/(1+WACC!$E$35)^50)</f>
        <v>0.59751991704168173</v>
      </c>
      <c r="FQ13" s="111">
        <f>(1/(1+WACC!$E$34)^120)*(1/(1+WACC!$E$35)^51)</f>
        <v>0.59535260576099636</v>
      </c>
      <c r="FR13" s="111">
        <f>(1/(1+WACC!$E$34)^120)*(1/(1+WACC!$E$35)^52)</f>
        <v>0.59319315570477127</v>
      </c>
      <c r="FS13" s="111">
        <f>(1/(1+WACC!$E$34)^120)*(1/(1+WACC!$E$35)^53)</f>
        <v>0.5910415383589438</v>
      </c>
      <c r="FT13" s="111">
        <f>(1/(1+WACC!$E$34)^120)*(1/(1+WACC!$E$35)^54)</f>
        <v>0.58889772531287643</v>
      </c>
      <c r="FU13" s="111">
        <f>(1/(1+WACC!$E$34)^120)*(1/(1+WACC!$E$35)^55)</f>
        <v>0.58676168825898267</v>
      </c>
      <c r="FV13" s="111">
        <f>(1/(1+WACC!$E$34)^120)*(1/(1+WACC!$E$35)^56)</f>
        <v>0.58463339899235234</v>
      </c>
      <c r="FW13" s="111">
        <f>(1/(1+WACC!$E$34)^120)*(1/(1+WACC!$E$35)^57)</f>
        <v>0.5825128294103793</v>
      </c>
      <c r="FX13" s="111">
        <f>(1/(1+WACC!$E$34)^120)*(1/(1+WACC!$E$35)^58)</f>
        <v>0.58039995151239121</v>
      </c>
      <c r="FY13" s="111">
        <f>(1/(1+WACC!$E$34)^120)*(1/(1+WACC!$E$35)^59)</f>
        <v>0.57829473739927861</v>
      </c>
      <c r="FZ13" s="111">
        <f>(1/(1+WACC!$E$34)^120)*(1/(1+WACC!$E$35)^60)</f>
        <v>0.5761971592731272</v>
      </c>
      <c r="GA13" s="111">
        <f>(1/(1+WACC!$E$34)^120)*(1/(1+WACC!$E$35)^61)</f>
        <v>0.57410718943685068</v>
      </c>
      <c r="GB13" s="111">
        <f>(1/(1+WACC!$E$34)^120)*(1/(1+WACC!$E$35)^62)</f>
        <v>0.57202480029382508</v>
      </c>
      <c r="GC13" s="111">
        <f>(1/(1+WACC!$E$34)^120)*(1/(1+WACC!$E$35)^63)</f>
        <v>0.56994996434752476</v>
      </c>
      <c r="GD13" s="111">
        <f>(1/(1+WACC!$E$34)^120)*(1/(1+WACC!$E$35)^64)</f>
        <v>0.56788265420115758</v>
      </c>
      <c r="GE13" s="111">
        <f>(1/(1+WACC!$E$34)^120)*(1/(1+WACC!$E$35)^65)</f>
        <v>0.56582284255730597</v>
      </c>
      <c r="GF13" s="111">
        <f>(1/(1+WACC!$E$34)^120)*(1/(1+WACC!$E$35)^66)</f>
        <v>0.56377050221756397</v>
      </c>
      <c r="GG13" s="111">
        <f>(1/(1+WACC!$E$34)^120)*(1/(1+WACC!$E$35)^67)</f>
        <v>0.56172560608217947</v>
      </c>
      <c r="GH13" s="111">
        <f>(1/(1+WACC!$E$34)^120)*(1/(1+WACC!$E$35)^68)</f>
        <v>0.55968812714969596</v>
      </c>
      <c r="GI13" s="111">
        <f>(1/(1+WACC!$E$34)^120)*(1/(1+WACC!$E$35)^69)</f>
        <v>0.5576580385165959</v>
      </c>
      <c r="GJ13" s="111">
        <f>(1/(1+WACC!$E$34)^120)*(1/(1+WACC!$E$35)^70)</f>
        <v>0.55563531337694549</v>
      </c>
      <c r="GK13" s="111">
        <f>(1/(1+WACC!$E$34)^120)*(1/(1+WACC!$E$35)^71)</f>
        <v>0.5536199250220416</v>
      </c>
      <c r="GL13" s="111">
        <f>(1/(1+WACC!$E$34)^120)*(1/(1+WACC!$E$35)^72)</f>
        <v>0.55161184684005737</v>
      </c>
      <c r="GM13" s="111">
        <f>(1/(1+WACC!$E$34)^120)*(1/(1+WACC!$E$35)^73)</f>
        <v>0.54961105231569207</v>
      </c>
      <c r="GN13" s="111">
        <f>(1/(1+WACC!$E$34)^120)*(1/(1+WACC!$E$35)^74)</f>
        <v>0.54761751502982092</v>
      </c>
      <c r="GO13" s="111">
        <f>(1/(1+WACC!$E$34)^120)*(1/(1+WACC!$E$35)^75)</f>
        <v>0.54563120865914616</v>
      </c>
      <c r="GP13" s="111">
        <f>(1/(1+WACC!$E$34)^120)*(1/(1+WACC!$E$35)^76)</f>
        <v>0.54365210697584876</v>
      </c>
      <c r="GQ13" s="111">
        <f>(1/(1+WACC!$E$34)^120)*(1/(1+WACC!$E$35)^77)</f>
        <v>0.54168018384724281</v>
      </c>
      <c r="GR13" s="111">
        <f>(1/(1+WACC!$E$34)^120)*(1/(1+WACC!$E$35)^78)</f>
        <v>0.53971541323543071</v>
      </c>
      <c r="GS13" s="111">
        <f>(1/(1+WACC!$E$34)^120)*(1/(1+WACC!$E$35)^79)</f>
        <v>0.53775776919695872</v>
      </c>
      <c r="GT13" s="111">
        <f>(1/(1+WACC!$E$34)^120)*(1/(1+WACC!$E$35)^80)</f>
        <v>0.53580722588247465</v>
      </c>
      <c r="GU13" s="111">
        <f>(1/(1+WACC!$E$34)^120)*(1/(1+WACC!$E$35)^81)</f>
        <v>0.53386375753638626</v>
      </c>
      <c r="GV13" s="111">
        <f>(1/(1+WACC!$E$34)^120)*(1/(1+WACC!$E$35)^82)</f>
        <v>0.53192733849652185</v>
      </c>
      <c r="GW13" s="111">
        <f>(1/(1+WACC!$E$34)^120)*(1/(1+WACC!$E$35)^83)</f>
        <v>0.52999794319379079</v>
      </c>
      <c r="GX13" s="111">
        <f>(1/(1+WACC!$E$34)^120)*(1/(1+WACC!$E$35)^84)</f>
        <v>0.52807554615184604</v>
      </c>
      <c r="GY13" s="111">
        <f>(1/(1+WACC!$E$34)^120)*(1/(1+WACC!$E$35)^85)</f>
        <v>0.52616012198674811</v>
      </c>
      <c r="GZ13" s="111">
        <f>(1/(1+WACC!$E$34)^120)*(1/(1+WACC!$E$35)^86)</f>
        <v>0.52425164540662905</v>
      </c>
      <c r="HA13" s="111">
        <f>(1/(1+WACC!$E$34)^120)*(1/(1+WACC!$E$35)^87)</f>
        <v>0.52235009121135967</v>
      </c>
      <c r="HB13" s="111">
        <f>(1/(1+WACC!$E$34)^120)*(1/(1+WACC!$E$35)^88)</f>
        <v>0.52045543429221564</v>
      </c>
      <c r="HC13" s="111">
        <f>(1/(1+WACC!$E$34)^120)*(1/(1+WACC!$E$35)^89)</f>
        <v>0.51856764963154645</v>
      </c>
      <c r="HD13" s="111">
        <f>(1/(1+WACC!$E$34)^120)*(1/(1+WACC!$E$35)^90)</f>
        <v>0.51668671230244567</v>
      </c>
      <c r="HE13" s="111">
        <f>(1/(1+WACC!$E$34)^120)*(1/(1+WACC!$E$35)^91)</f>
        <v>0.51481259746842045</v>
      </c>
      <c r="HF13" s="111">
        <f>(1/(1+WACC!$E$34)^120)*(1/(1+WACC!$E$35)^92)</f>
        <v>0.51294528038306475</v>
      </c>
      <c r="HG13" s="111">
        <f>(1/(1+WACC!$E$34)^120)*(1/(1+WACC!$E$35)^93)</f>
        <v>0.51108473638973206</v>
      </c>
      <c r="HH13" s="111">
        <f>(1/(1+WACC!$E$34)^120)*(1/(1+WACC!$E$35)^94)</f>
        <v>0.5092309409212098</v>
      </c>
      <c r="HI13" s="111">
        <f>(1/(1+WACC!$E$34)^120)*(1/(1+WACC!$E$35)^95)</f>
        <v>0.50738386949939562</v>
      </c>
      <c r="HJ13" s="111">
        <f>(1/(1+WACC!$E$34)^120)*(1/(1+WACC!$E$35)^96)</f>
        <v>0.50554349773497254</v>
      </c>
      <c r="HK13" s="111">
        <f>(1/(1+WACC!$E$34)^120)*(1/(1+WACC!$E$35)^97)</f>
        <v>0.50370980132708909</v>
      </c>
      <c r="HL13" s="111">
        <f>(1/(1+WACC!$E$34)^120)*(1/(1+WACC!$E$35)^98)</f>
        <v>0.50188275606303667</v>
      </c>
      <c r="HM13" s="111">
        <f>(1/(1+WACC!$E$34)^120)*(1/(1+WACC!$E$35)^99)</f>
        <v>0.50006233781793075</v>
      </c>
      <c r="HN13" s="111">
        <f>(1/(1+WACC!$E$34)^120)*(1/(1+WACC!$E$35)^100)</f>
        <v>0.49824852255439167</v>
      </c>
      <c r="HO13" s="111">
        <f>(1/(1+WACC!$E$34)^120)*(1/(1+WACC!$E$35)^101)</f>
        <v>0.49644128632222845</v>
      </c>
      <c r="HP13" s="111">
        <f>(1/(1+WACC!$E$34)^120)*(1/(1+WACC!$E$35)^102)</f>
        <v>0.49464060525812065</v>
      </c>
      <c r="HQ13" s="111">
        <f>(1/(1+WACC!$E$34)^120)*(1/(1+WACC!$E$35)^103)</f>
        <v>0.49284645558530538</v>
      </c>
      <c r="HR13" s="111">
        <f>(1/(1+WACC!$E$34)^120)*(1/(1+WACC!$E$35)^104)</f>
        <v>0.49105881361326165</v>
      </c>
      <c r="HS13" s="111">
        <f>(1/(1+WACC!$E$34)^120)*(1/(1+WACC!$E$35)^105)</f>
        <v>0.48927765573739823</v>
      </c>
      <c r="HT13" s="111">
        <f>(1/(1+WACC!$E$34)^120)*(1/(1+WACC!$E$35)^106)</f>
        <v>0.48750295843874225</v>
      </c>
      <c r="HU13" s="111">
        <f>(1/(1+WACC!$E$34)^120)*(1/(1+WACC!$E$35)^107)</f>
        <v>0.48573469828362842</v>
      </c>
      <c r="HV13" s="111">
        <f>(1/(1+WACC!$E$34)^120)*(1/(1+WACC!$E$35)^108)</f>
        <v>0.48397285192338907</v>
      </c>
      <c r="HW13" s="111">
        <f>(1/(1+WACC!$E$34)^120)*(1/(1+WACC!$E$35)^109)</f>
        <v>0.48221739609404668</v>
      </c>
      <c r="HX13" s="111">
        <f>(1/(1+WACC!$E$34)^120)*(1/(1+WACC!$E$35)^110)</f>
        <v>0.48046830761600601</v>
      </c>
      <c r="HY13" s="111">
        <f>(1/(1+WACC!$E$34)^120)*(1/(1+WACC!$E$35)^111)</f>
        <v>0.47872556339374872</v>
      </c>
      <c r="HZ13" s="111">
        <f>(1/(1+WACC!$E$34)^120)*(1/(1+WACC!$E$35)^112)</f>
        <v>0.47698914041552809</v>
      </c>
      <c r="IA13" s="111">
        <f>(1/(1+WACC!$E$34)^120)*(1/(1+WACC!$E$35)^113)</f>
        <v>0.4752590157530644</v>
      </c>
      <c r="IB13" s="111">
        <f>(1/(1+WACC!$E$34)^120)*(1/(1+WACC!$E$35)^114)</f>
        <v>0.47353516656124373</v>
      </c>
      <c r="IC13" s="111">
        <f>(1/(1+WACC!$E$34)^120)*(1/(1+WACC!$E$35)^115)</f>
        <v>0.471817570077815</v>
      </c>
      <c r="ID13" s="111">
        <f>(1/(1+WACC!$E$34)^120)*(1/(1+WACC!$E$35)^116)</f>
        <v>0.47010620362308997</v>
      </c>
      <c r="IE13" s="111">
        <f>(1/(1+WACC!$E$34)^120)*(1/(1+WACC!$E$35)^117)</f>
        <v>0.46840104459964366</v>
      </c>
      <c r="IF13" s="111">
        <f>(1/(1+WACC!$E$34)^120)*(1/(1+WACC!$E$35)^118)</f>
        <v>0.46670207049201606</v>
      </c>
      <c r="IG13" s="111">
        <f>(1/(1+WACC!$E$34)^120)*(1/(1+WACC!$E$35)^119)</f>
        <v>0.46500925886641453</v>
      </c>
      <c r="IH13" s="111">
        <f>(1/(1+WACC!$E$34)^120)*(1/(1+WACC!$E$35)^120)</f>
        <v>0.46332258737041826</v>
      </c>
      <c r="II13" s="111">
        <f>(1/(1+WACC!$E$34)^120)*(1/(1+WACC!$E$35)^121)</f>
        <v>0.46164203373268192</v>
      </c>
      <c r="IJ13" s="111">
        <f>(1/(1+WACC!$E$34)^120)*(1/(1+WACC!$E$35)^122)</f>
        <v>0.45996757576264308</v>
      </c>
      <c r="IK13" s="111">
        <f>(1/(1+WACC!$E$34)^120)*(1/(1+WACC!$E$35)^123)</f>
        <v>0.45829919135022806</v>
      </c>
      <c r="IL13" s="111">
        <f>(1/(1+WACC!$E$34)^120)*(1/(1+WACC!$E$35)^124)</f>
        <v>0.45663685846556035</v>
      </c>
      <c r="IM13" s="111">
        <f>(1/(1+WACC!$E$34)^120)*(1/(1+WACC!$E$35)^125)</f>
        <v>0.45498055515866975</v>
      </c>
      <c r="IN13" s="111">
        <f>(1/(1+WACC!$E$34)^120)*(1/(1+WACC!$E$35)^126)</f>
        <v>0.45333025955920242</v>
      </c>
      <c r="IO13" s="111">
        <f>(1/(1+WACC!$E$34)^120)*(1/(1+WACC!$E$35)^127)</f>
        <v>0.45168594987613275</v>
      </c>
      <c r="IP13" s="111">
        <f>(1/(1+WACC!$E$34)^120)*(1/(1+WACC!$E$35)^128)</f>
        <v>0.45004760439747421</v>
      </c>
      <c r="IQ13" s="111">
        <f>(1/(1+WACC!$E$34)^120)*(1/(1+WACC!$E$35)^129)</f>
        <v>0.44841520148999414</v>
      </c>
      <c r="IR13" s="111">
        <f>(1/(1+WACC!$E$34)^120)*(1/(1+WACC!$E$35)^130)</f>
        <v>0.44678871959892724</v>
      </c>
      <c r="IS13" s="111">
        <f>(1/(1+WACC!$E$34)^120)*(1/(1+WACC!$E$35)^131)</f>
        <v>0.44516813724769122</v>
      </c>
      <c r="IT13" s="111">
        <f>(1/(1+WACC!$E$34)^120)*(1/(1+WACC!$E$35)^132)</f>
        <v>0.44355343303760331</v>
      </c>
      <c r="IU13" s="111">
        <f>(1/(1+WACC!$E$34)^120)*(1/(1+WACC!$E$35)^133)</f>
        <v>0.44194458564759725</v>
      </c>
      <c r="IV13" s="111">
        <f>(1/(1+WACC!$E$34)^120)*(1/(1+WACC!$E$35)^134)</f>
        <v>0.44034157383394235</v>
      </c>
      <c r="IW13" s="111">
        <f>(1/(1+WACC!$E$34)^120)*(1/(1+WACC!$E$35)^135)</f>
        <v>0.43874437642996283</v>
      </c>
      <c r="IX13" s="111">
        <f>(1/(1+WACC!$E$34)^120)*(1/(1+WACC!$E$35)^136)</f>
        <v>0.4371529723457579</v>
      </c>
      <c r="IY13" s="111">
        <f>(1/(1+WACC!$E$34)^120)*(1/(1+WACC!$E$35)^137)</f>
        <v>0.43556734056792368</v>
      </c>
      <c r="IZ13" s="111">
        <f>(1/(1+WACC!$E$34)^120)*(1/(1+WACC!$E$35)^138)</f>
        <v>0.43398746015927586</v>
      </c>
      <c r="JA13" s="111">
        <f>(1/(1+WACC!$E$34)^120)*(1/(1+WACC!$E$35)^139)</f>
        <v>0.43241331025857299</v>
      </c>
      <c r="JB13" s="111">
        <f>(1/(1+WACC!$E$34)^120)*(1/(1+WACC!$E$35)^140)</f>
        <v>0.4308448700802408</v>
      </c>
      <c r="JC13" s="111">
        <f>(1/(1+WACC!$E$34)^120)*(1/(1+WACC!$E$35)^141)</f>
        <v>0.42928211891409818</v>
      </c>
      <c r="JD13" s="111">
        <f>(1/(1+WACC!$E$34)^120)*(1/(1+WACC!$E$35)^142)</f>
        <v>0.42772503612508345</v>
      </c>
      <c r="JE13" s="111">
        <f>(1/(1+WACC!$E$34)^120)*(1/(1+WACC!$E$35)^143)</f>
        <v>0.42617360115298231</v>
      </c>
      <c r="JF13" s="111">
        <f>(1/(1+WACC!$E$34)^120)*(1/(1+WACC!$E$35)^144)</f>
        <v>0.42462779351215563</v>
      </c>
      <c r="JG13" s="111">
        <f>(1/(1+WACC!$E$34)^120)*(1/(1+WACC!$E$35)^145)</f>
        <v>0.42308759279126945</v>
      </c>
      <c r="JH13" s="111">
        <f>(1/(1+WACC!$E$34)^120)*(1/(1+WACC!$E$35)^146)</f>
        <v>0.42155297865302538</v>
      </c>
      <c r="JI13" s="111">
        <f>(1/(1+WACC!$E$34)^120)*(1/(1+WACC!$E$35)^147)</f>
        <v>0.42002393083389222</v>
      </c>
      <c r="JJ13" s="111">
        <f>(1/(1+WACC!$E$34)^120)*(1/(1+WACC!$E$35)^148)</f>
        <v>0.41850042914383784</v>
      </c>
      <c r="JK13" s="111">
        <f>(1/(1+WACC!$E$34)^120)*(1/(1+WACC!$E$35)^149)</f>
        <v>0.41698245346606339</v>
      </c>
      <c r="JL13" s="111">
        <f>(1/(1+WACC!$E$34)^120)*(1/(1+WACC!$E$35)^150)</f>
        <v>0.41546998375673683</v>
      </c>
      <c r="JM13" s="111">
        <f>(1/(1+WACC!$E$34)^120)*(1/(1+WACC!$E$35)^151)</f>
        <v>0.41396300004472886</v>
      </c>
      <c r="JN13" s="111">
        <f>(1/(1+WACC!$E$34)^120)*(1/(1+WACC!$E$35)^152)</f>
        <v>0.41246148243134911</v>
      </c>
      <c r="JO13" s="111">
        <f>(1/(1+WACC!$E$34)^120)*(1/(1+WACC!$E$35)^153)</f>
        <v>0.41096541109008305</v>
      </c>
      <c r="JP13" s="111">
        <f>(1/(1+WACC!$E$34)^120)*(1/(1+WACC!$E$35)^154)</f>
        <v>0.40947476626633089</v>
      </c>
      <c r="JQ13" s="111">
        <f>(1/(1+WACC!$E$34)^120)*(1/(1+WACC!$E$35)^155)</f>
        <v>0.4079895282771458</v>
      </c>
      <c r="JR13" s="111">
        <f>(1/(1+WACC!$E$34)^120)*(1/(1+WACC!$E$35)^156)</f>
        <v>0.40650967751097472</v>
      </c>
      <c r="JS13" s="111">
        <f>(1/(1+WACC!$E$34)^120)*(1/(1+WACC!$E$35)^157)</f>
        <v>0.40503519442739938</v>
      </c>
      <c r="JT13" s="111">
        <f>(1/(1+WACC!$E$34)^120)*(1/(1+WACC!$E$35)^158)</f>
        <v>0.4035660595568778</v>
      </c>
      <c r="JU13" s="111">
        <f>(1/(1+WACC!$E$34)^120)*(1/(1+WACC!$E$35)^159)</f>
        <v>0.40210225350048762</v>
      </c>
      <c r="JV13" s="111">
        <f>(1/(1+WACC!$E$34)^120)*(1/(1+WACC!$E$35)^160)</f>
        <v>0.40064375692966986</v>
      </c>
      <c r="JW13" s="111">
        <f>(1/(1+WACC!$E$34)^120)*(1/(1+WACC!$E$35)^161)</f>
        <v>0.39919055058597347</v>
      </c>
      <c r="JX13" s="111">
        <f>(1/(1+WACC!$E$34)^120)*(1/(1+WACC!$E$35)^162)</f>
        <v>0.39774261528080168</v>
      </c>
      <c r="JY13" s="111">
        <f>(1/(1+WACC!$E$34)^120)*(1/(1+WACC!$E$35)^163)</f>
        <v>0.39629993189515772</v>
      </c>
      <c r="JZ13" s="111">
        <f>(1/(1+WACC!$E$34)^120)*(1/(1+WACC!$E$35)^164)</f>
        <v>0.394862481379393</v>
      </c>
      <c r="KA13" s="111">
        <f>(1/(1+WACC!$E$34)^120)*(1/(1+WACC!$E$35)^165)</f>
        <v>0.39343024475295563</v>
      </c>
      <c r="KB13" s="111">
        <f>(1/(1+WACC!$E$34)^120)*(1/(1+WACC!$E$35)^166)</f>
        <v>0.39200320310413894</v>
      </c>
      <c r="KC13" s="111">
        <f>(1/(1+WACC!$E$34)^120)*(1/(1+WACC!$E$35)^167)</f>
        <v>0.3905813375898331</v>
      </c>
      <c r="KD13" s="111">
        <f>(1/(1+WACC!$E$34)^120)*(1/(1+WACC!$E$35)^168)</f>
        <v>0.38916462943527547</v>
      </c>
      <c r="KE13" s="111">
        <f>(1/(1+WACC!$E$34)^120)*(1/(1+WACC!$E$35)^169)</f>
        <v>0.38775305993380227</v>
      </c>
      <c r="KF13" s="111">
        <f>(1/(1+WACC!$E$34)^120)*(1/(1+WACC!$E$35)^170)</f>
        <v>0.38634661044660268</v>
      </c>
      <c r="KG13" s="111">
        <f>(1/(1+WACC!$E$34)^120)*(1/(1+WACC!$E$35)^171)</f>
        <v>0.38494526240247201</v>
      </c>
      <c r="KH13" s="111">
        <f>(1/(1+WACC!$E$34)^120)*(1/(1+WACC!$E$35)^172)</f>
        <v>0.38354899729756653</v>
      </c>
      <c r="KI13" s="111">
        <f>(1/(1+WACC!$E$34)^120)*(1/(1+WACC!$E$35)^173)</f>
        <v>0.38215779669515959</v>
      </c>
      <c r="KJ13" s="111">
        <f>(1/(1+WACC!$E$34)^120)*(1/(1+WACC!$E$35)^174)</f>
        <v>0.38077164222539728</v>
      </c>
      <c r="KK13" s="111">
        <f>(1/(1+WACC!$E$34)^120)*(1/(1+WACC!$E$35)^175)</f>
        <v>0.37939051558505693</v>
      </c>
      <c r="KL13" s="111">
        <f>(1/(1+WACC!$E$34)^120)*(1/(1+WACC!$E$35)^176)</f>
        <v>0.37801439853730484</v>
      </c>
      <c r="KM13" s="111">
        <f>(1/(1+WACC!$E$34)^120)*(1/(1+WACC!$E$35)^177)</f>
        <v>0.37664327291145511</v>
      </c>
      <c r="KN13" s="111">
        <f>(1/(1+WACC!$E$34)^120)*(1/(1+WACC!$E$35)^178)</f>
        <v>0.37527712060273072</v>
      </c>
      <c r="KO13" s="111">
        <f>(1/(1+WACC!$E$34)^120)*(1/(1+WACC!$E$35)^179)</f>
        <v>0.3739159235720238</v>
      </c>
      <c r="KP13" s="111">
        <f>(1/(1+WACC!$E$34)^120)*(1/(1+WACC!$E$35)^180)</f>
        <v>0.37255966384565709</v>
      </c>
    </row>
    <row r="14" spans="1:302" ht="16" customHeight="1" x14ac:dyDescent="0.2">
      <c r="A14" s="108" t="s">
        <v>449</v>
      </c>
      <c r="B14" s="109" t="s">
        <v>215</v>
      </c>
      <c r="C14" s="110">
        <f t="shared" ref="C14:BN14" si="15">C12*C13</f>
        <v>129.43643778525046</v>
      </c>
      <c r="D14" s="110">
        <f t="shared" si="15"/>
        <v>129.07744943375656</v>
      </c>
      <c r="E14" s="110">
        <f t="shared" si="15"/>
        <v>128.71945672644685</v>
      </c>
      <c r="F14" s="110">
        <f t="shared" si="15"/>
        <v>128.36245690193002</v>
      </c>
      <c r="G14" s="110">
        <f t="shared" si="15"/>
        <v>128.00644720647324</v>
      </c>
      <c r="H14" s="110">
        <f t="shared" si="15"/>
        <v>127.65142489398127</v>
      </c>
      <c r="I14" s="110">
        <f t="shared" si="15"/>
        <v>127.29738722597489</v>
      </c>
      <c r="J14" s="110">
        <f t="shared" si="15"/>
        <v>126.94433147157017</v>
      </c>
      <c r="K14" s="110">
        <f t="shared" si="15"/>
        <v>126.59225490745698</v>
      </c>
      <c r="L14" s="110">
        <f t="shared" si="15"/>
        <v>126.24115481787847</v>
      </c>
      <c r="M14" s="110">
        <f t="shared" si="15"/>
        <v>125.89102849460966</v>
      </c>
      <c r="N14" s="110">
        <f t="shared" si="15"/>
        <v>125.54187323693692</v>
      </c>
      <c r="O14" s="110">
        <f t="shared" si="15"/>
        <v>123.9188244485441</v>
      </c>
      <c r="P14" s="110">
        <f t="shared" si="15"/>
        <v>123.57513904380779</v>
      </c>
      <c r="Q14" s="110">
        <f t="shared" si="15"/>
        <v>123.23240684095954</v>
      </c>
      <c r="R14" s="110">
        <f t="shared" si="15"/>
        <v>122.8906251963205</v>
      </c>
      <c r="S14" s="110">
        <f t="shared" si="15"/>
        <v>122.54979147354392</v>
      </c>
      <c r="T14" s="110">
        <f t="shared" si="15"/>
        <v>122.20990304359501</v>
      </c>
      <c r="U14" s="110">
        <f t="shared" si="15"/>
        <v>121.87095728473038</v>
      </c>
      <c r="V14" s="110">
        <f t="shared" si="15"/>
        <v>121.53295158247818</v>
      </c>
      <c r="W14" s="110">
        <f t="shared" si="15"/>
        <v>121.19588332961747</v>
      </c>
      <c r="X14" s="110">
        <f t="shared" si="15"/>
        <v>120.8597499261586</v>
      </c>
      <c r="Y14" s="110">
        <f t="shared" si="15"/>
        <v>120.52454877932277</v>
      </c>
      <c r="Z14" s="110">
        <f t="shared" si="15"/>
        <v>120.19027730352227</v>
      </c>
      <c r="AA14" s="110">
        <f t="shared" si="15"/>
        <v>118.617472162683</v>
      </c>
      <c r="AB14" s="110">
        <f t="shared" si="15"/>
        <v>118.28848991070922</v>
      </c>
      <c r="AC14" s="110">
        <f t="shared" si="15"/>
        <v>117.96042008183919</v>
      </c>
      <c r="AD14" s="110">
        <f t="shared" si="15"/>
        <v>117.63326014549295</v>
      </c>
      <c r="AE14" s="110">
        <f t="shared" si="15"/>
        <v>117.30700757810889</v>
      </c>
      <c r="AF14" s="110">
        <f t="shared" si="15"/>
        <v>116.98165986312451</v>
      </c>
      <c r="AG14" s="110">
        <f t="shared" si="15"/>
        <v>116.65721449095686</v>
      </c>
      <c r="AH14" s="110">
        <f t="shared" si="15"/>
        <v>116.33366895898341</v>
      </c>
      <c r="AI14" s="110">
        <f t="shared" si="15"/>
        <v>116.01102077152237</v>
      </c>
      <c r="AJ14" s="110">
        <f t="shared" si="15"/>
        <v>115.68926743981378</v>
      </c>
      <c r="AK14" s="110">
        <f t="shared" si="15"/>
        <v>115.36840648200014</v>
      </c>
      <c r="AL14" s="110">
        <f t="shared" si="15"/>
        <v>115.04843542310739</v>
      </c>
      <c r="AM14" s="110">
        <f t="shared" si="15"/>
        <v>113.52412921008768</v>
      </c>
      <c r="AN14" s="110">
        <f t="shared" si="15"/>
        <v>113.2092732027899</v>
      </c>
      <c r="AO14" s="110">
        <f t="shared" si="15"/>
        <v>112.89529043985011</v>
      </c>
      <c r="AP14" s="110">
        <f t="shared" si="15"/>
        <v>112.5821784993495</v>
      </c>
      <c r="AQ14" s="110">
        <f t="shared" si="15"/>
        <v>112.26993496608624</v>
      </c>
      <c r="AR14" s="110">
        <f t="shared" si="15"/>
        <v>111.9585574315571</v>
      </c>
      <c r="AS14" s="110">
        <f t="shared" si="15"/>
        <v>111.64804349393872</v>
      </c>
      <c r="AT14" s="110">
        <f t="shared" si="15"/>
        <v>111.33839075806921</v>
      </c>
      <c r="AU14" s="110">
        <f t="shared" si="15"/>
        <v>111.02959683542943</v>
      </c>
      <c r="AV14" s="110">
        <f t="shared" si="15"/>
        <v>110.7216593441249</v>
      </c>
      <c r="AW14" s="110">
        <f t="shared" si="15"/>
        <v>110.41457590886716</v>
      </c>
      <c r="AX14" s="110">
        <f t="shared" si="15"/>
        <v>110.1083441609556</v>
      </c>
      <c r="AY14" s="110">
        <f t="shared" si="15"/>
        <v>108.63085583280935</v>
      </c>
      <c r="AZ14" s="110">
        <f t="shared" si="15"/>
        <v>108.3295711827984</v>
      </c>
      <c r="BA14" s="110">
        <f t="shared" si="15"/>
        <v>108.0291221373644</v>
      </c>
      <c r="BB14" s="110">
        <f t="shared" si="15"/>
        <v>107.72950637898137</v>
      </c>
      <c r="BC14" s="110">
        <f t="shared" si="15"/>
        <v>107.43072159655084</v>
      </c>
      <c r="BD14" s="110">
        <f t="shared" si="15"/>
        <v>107.13276548538427</v>
      </c>
      <c r="BE14" s="110">
        <f t="shared" si="15"/>
        <v>106.83563574718492</v>
      </c>
      <c r="BF14" s="110">
        <f t="shared" si="15"/>
        <v>106.53933009003055</v>
      </c>
      <c r="BG14" s="110">
        <f t="shared" si="15"/>
        <v>106.24384622835518</v>
      </c>
      <c r="BH14" s="110">
        <f t="shared" si="15"/>
        <v>105.94918188293205</v>
      </c>
      <c r="BI14" s="110">
        <f t="shared" si="15"/>
        <v>105.65533478085568</v>
      </c>
      <c r="BJ14" s="110">
        <f t="shared" si="15"/>
        <v>105.36230265552446</v>
      </c>
      <c r="BK14" s="110">
        <f t="shared" si="15"/>
        <v>103.93001247710883</v>
      </c>
      <c r="BL14" s="110">
        <f t="shared" si="15"/>
        <v>103.64176548508482</v>
      </c>
      <c r="BM14" s="110">
        <f t="shared" si="15"/>
        <v>103.35431793805682</v>
      </c>
      <c r="BN14" s="110">
        <f t="shared" si="15"/>
        <v>103.06766761878647</v>
      </c>
      <c r="BO14" s="110">
        <f t="shared" ref="BO14:DZ14" si="16">BO12*BO13</f>
        <v>102.78181231618476</v>
      </c>
      <c r="BP14" s="110">
        <f t="shared" si="16"/>
        <v>102.4967498252951</v>
      </c>
      <c r="BQ14" s="110">
        <f t="shared" si="16"/>
        <v>102.21247794727637</v>
      </c>
      <c r="BR14" s="110">
        <f t="shared" si="16"/>
        <v>101.92899448938581</v>
      </c>
      <c r="BS14" s="110">
        <f t="shared" si="16"/>
        <v>101.64629726496212</v>
      </c>
      <c r="BT14" s="110">
        <f t="shared" si="16"/>
        <v>101.36438409340877</v>
      </c>
      <c r="BU14" s="110">
        <f t="shared" si="16"/>
        <v>101.08325280017691</v>
      </c>
      <c r="BV14" s="110">
        <f t="shared" si="16"/>
        <v>100.80290121674891</v>
      </c>
      <c r="BW14" s="110">
        <f t="shared" si="16"/>
        <v>99.41424848049688</v>
      </c>
      <c r="BX14" s="110">
        <f t="shared" si="16"/>
        <v>99.138525834017429</v>
      </c>
      <c r="BY14" s="110">
        <f t="shared" si="16"/>
        <v>98.863567896610803</v>
      </c>
      <c r="BZ14" s="110">
        <f t="shared" si="16"/>
        <v>98.589372547377764</v>
      </c>
      <c r="CA14" s="110">
        <f t="shared" si="16"/>
        <v>98.315937671301185</v>
      </c>
      <c r="CB14" s="110">
        <f t="shared" si="16"/>
        <v>98.043261159230013</v>
      </c>
      <c r="CC14" s="110">
        <f t="shared" si="16"/>
        <v>97.771340907862793</v>
      </c>
      <c r="CD14" s="110">
        <f t="shared" si="16"/>
        <v>97.500174819731626</v>
      </c>
      <c r="CE14" s="110">
        <f t="shared" si="16"/>
        <v>97.229760803185698</v>
      </c>
      <c r="CF14" s="110">
        <f t="shared" si="16"/>
        <v>96.960096772375522</v>
      </c>
      <c r="CG14" s="110">
        <f t="shared" si="16"/>
        <v>96.691180647236479</v>
      </c>
      <c r="CH14" s="110">
        <f t="shared" si="16"/>
        <v>96.423010353473146</v>
      </c>
      <c r="CI14" s="110">
        <f t="shared" si="16"/>
        <v>95.076491184588633</v>
      </c>
      <c r="CJ14" s="110">
        <f t="shared" si="16"/>
        <v>94.812799187032212</v>
      </c>
      <c r="CK14" s="110">
        <f t="shared" si="16"/>
        <v>94.549838531879217</v>
      </c>
      <c r="CL14" s="110">
        <f t="shared" si="16"/>
        <v>94.287607190771936</v>
      </c>
      <c r="CM14" s="110">
        <f t="shared" si="16"/>
        <v>94.026103140978165</v>
      </c>
      <c r="CN14" s="110">
        <f t="shared" si="16"/>
        <v>93.765324365375747</v>
      </c>
      <c r="CO14" s="110">
        <f t="shared" si="16"/>
        <v>93.505268852436885</v>
      </c>
      <c r="CP14" s="110">
        <f t="shared" si="16"/>
        <v>93.245934596212848</v>
      </c>
      <c r="CQ14" s="110">
        <f t="shared" si="16"/>
        <v>92.98731959631813</v>
      </c>
      <c r="CR14" s="110">
        <f t="shared" si="16"/>
        <v>92.729421857915398</v>
      </c>
      <c r="CS14" s="110">
        <f t="shared" si="16"/>
        <v>92.472239391699915</v>
      </c>
      <c r="CT14" s="110">
        <f t="shared" si="16"/>
        <v>92.215770213884213</v>
      </c>
      <c r="CU14" s="110">
        <f t="shared" si="16"/>
        <v>90.909935457751956</v>
      </c>
      <c r="CV14" s="110">
        <f t="shared" si="16"/>
        <v>90.657799286339809</v>
      </c>
      <c r="CW14" s="110">
        <f t="shared" si="16"/>
        <v>90.406362407569503</v>
      </c>
      <c r="CX14" s="110">
        <f t="shared" si="16"/>
        <v>90.155622881972377</v>
      </c>
      <c r="CY14" s="110">
        <f t="shared" si="16"/>
        <v>89.905578775458849</v>
      </c>
      <c r="CZ14" s="110">
        <f t="shared" si="16"/>
        <v>89.656228159303495</v>
      </c>
      <c r="DA14" s="110">
        <f t="shared" si="16"/>
        <v>89.407569110130083</v>
      </c>
      <c r="DB14" s="110">
        <f t="shared" si="16"/>
        <v>89.159599709896938</v>
      </c>
      <c r="DC14" s="110">
        <f t="shared" si="16"/>
        <v>88.912318045881918</v>
      </c>
      <c r="DD14" s="110">
        <f t="shared" si="16"/>
        <v>88.665722210667795</v>
      </c>
      <c r="DE14" s="110">
        <f t="shared" si="16"/>
        <v>88.419810302127502</v>
      </c>
      <c r="DF14" s="110">
        <f t="shared" si="16"/>
        <v>88.174580423409523</v>
      </c>
      <c r="DG14" s="110">
        <f t="shared" si="16"/>
        <v>86.908033612131021</v>
      </c>
      <c r="DH14" s="110">
        <f t="shared" si="16"/>
        <v>86.666996603914228</v>
      </c>
      <c r="DI14" s="110">
        <f t="shared" si="16"/>
        <v>86.426628105119576</v>
      </c>
      <c r="DJ14" s="110">
        <f t="shared" si="16"/>
        <v>86.186926261654818</v>
      </c>
      <c r="DK14" s="110">
        <f t="shared" si="16"/>
        <v>85.947889224570005</v>
      </c>
      <c r="DL14" s="110">
        <f t="shared" si="16"/>
        <v>85.709515150043174</v>
      </c>
      <c r="DM14" s="110">
        <f t="shared" si="16"/>
        <v>85.47180219936611</v>
      </c>
      <c r="DN14" s="110">
        <f t="shared" si="16"/>
        <v>85.234748538930333</v>
      </c>
      <c r="DO14" s="110">
        <f t="shared" si="16"/>
        <v>84.998352340212634</v>
      </c>
      <c r="DP14" s="110">
        <f t="shared" si="16"/>
        <v>84.762611779761357</v>
      </c>
      <c r="DQ14" s="110">
        <f t="shared" si="16"/>
        <v>84.527525039181995</v>
      </c>
      <c r="DR14" s="110">
        <f t="shared" si="16"/>
        <v>84.293090305123428</v>
      </c>
      <c r="DS14" s="110">
        <f t="shared" si="16"/>
        <v>170.7784331105473</v>
      </c>
      <c r="DT14" s="110">
        <f t="shared" si="16"/>
        <v>171.62641524120608</v>
      </c>
      <c r="DU14" s="110">
        <f t="shared" si="16"/>
        <v>171.01985950827006</v>
      </c>
      <c r="DV14" s="110">
        <f t="shared" si="16"/>
        <v>169.24191259714689</v>
      </c>
      <c r="DW14" s="110">
        <f t="shared" si="16"/>
        <v>169.43630426219002</v>
      </c>
      <c r="DX14" s="110">
        <f t="shared" si="16"/>
        <v>169.49585619320302</v>
      </c>
      <c r="DY14" s="110">
        <f t="shared" si="16"/>
        <v>168.4745381341188</v>
      </c>
      <c r="DZ14" s="110">
        <f t="shared" si="16"/>
        <v>167.20504001302936</v>
      </c>
      <c r="EA14" s="110">
        <f t="shared" ref="EA14:GL14" si="17">EA12*EA13</f>
        <v>167.18612972273004</v>
      </c>
      <c r="EB14" s="110">
        <f t="shared" si="17"/>
        <v>165.83292383417404</v>
      </c>
      <c r="EC14" s="110">
        <f t="shared" si="17"/>
        <v>166.29270031893844</v>
      </c>
      <c r="ED14" s="110">
        <f t="shared" si="17"/>
        <v>163.38335149933965</v>
      </c>
      <c r="EE14" s="110">
        <f t="shared" si="17"/>
        <v>162.33640770160349</v>
      </c>
      <c r="EF14" s="110">
        <f t="shared" si="17"/>
        <v>160.75490274561267</v>
      </c>
      <c r="EG14" s="110">
        <f t="shared" si="17"/>
        <v>160.09667897269196</v>
      </c>
      <c r="EH14" s="110">
        <f t="shared" si="17"/>
        <v>160.49256097797502</v>
      </c>
      <c r="EI14" s="110">
        <f t="shared" si="17"/>
        <v>159.40714513301918</v>
      </c>
      <c r="EJ14" s="110">
        <f t="shared" si="17"/>
        <v>159.95617055147846</v>
      </c>
      <c r="EK14" s="110">
        <f t="shared" si="17"/>
        <v>158.22970456723499</v>
      </c>
      <c r="EL14" s="110">
        <f t="shared" si="17"/>
        <v>159.1762597695766</v>
      </c>
      <c r="EM14" s="110">
        <f t="shared" si="17"/>
        <v>158.28689105675329</v>
      </c>
      <c r="EN14" s="110">
        <f t="shared" si="17"/>
        <v>155.53400591518292</v>
      </c>
      <c r="EO14" s="110">
        <f t="shared" si="17"/>
        <v>156.53163286793131</v>
      </c>
      <c r="EP14" s="110">
        <f t="shared" si="17"/>
        <v>156.00325447825068</v>
      </c>
      <c r="EQ14" s="110">
        <f t="shared" si="17"/>
        <v>154.1585729596878</v>
      </c>
      <c r="ER14" s="110">
        <f t="shared" si="17"/>
        <v>155.47367176232689</v>
      </c>
      <c r="ES14" s="110">
        <f t="shared" si="17"/>
        <v>153.91988224251099</v>
      </c>
      <c r="ET14" s="110">
        <f t="shared" si="17"/>
        <v>152.38911443642564</v>
      </c>
      <c r="EU14" s="110">
        <f t="shared" si="17"/>
        <v>151.86365129701289</v>
      </c>
      <c r="EV14" s="110">
        <f t="shared" si="17"/>
        <v>151.29532658890381</v>
      </c>
      <c r="EW14" s="110">
        <f t="shared" si="17"/>
        <v>150.14802234953842</v>
      </c>
      <c r="EX14" s="110">
        <f t="shared" si="17"/>
        <v>150.61163256548389</v>
      </c>
      <c r="EY14" s="110">
        <f t="shared" si="17"/>
        <v>149.93195084844271</v>
      </c>
      <c r="EZ14" s="110">
        <f t="shared" si="17"/>
        <v>149.41553210133199</v>
      </c>
      <c r="FA14" s="110">
        <f t="shared" si="17"/>
        <v>148.74777576171292</v>
      </c>
      <c r="FB14" s="110">
        <f t="shared" si="17"/>
        <v>148.46490613128876</v>
      </c>
      <c r="FC14" s="110">
        <f t="shared" si="17"/>
        <v>146.74610615226268</v>
      </c>
      <c r="FD14" s="110">
        <f t="shared" si="17"/>
        <v>145.29561663970122</v>
      </c>
      <c r="FE14" s="110">
        <f t="shared" si="17"/>
        <v>143.83302284725306</v>
      </c>
      <c r="FF14" s="110">
        <f t="shared" si="17"/>
        <v>143.73869363176055</v>
      </c>
      <c r="FG14" s="110">
        <f t="shared" si="17"/>
        <v>144.2770649407563</v>
      </c>
      <c r="FH14" s="110">
        <f t="shared" si="17"/>
        <v>143.6064310183892</v>
      </c>
      <c r="FI14" s="110">
        <f t="shared" si="17"/>
        <v>142.78538385687688</v>
      </c>
      <c r="FJ14" s="110">
        <f t="shared" si="17"/>
        <v>141.91958758687446</v>
      </c>
      <c r="FK14" s="110">
        <f t="shared" si="17"/>
        <v>141.09333266636173</v>
      </c>
      <c r="FL14" s="110">
        <f t="shared" si="17"/>
        <v>140.08922311504367</v>
      </c>
      <c r="FM14" s="110">
        <f t="shared" si="17"/>
        <v>139.72930501513744</v>
      </c>
      <c r="FN14" s="110">
        <f t="shared" si="17"/>
        <v>139.04397835954154</v>
      </c>
      <c r="FO14" s="110">
        <f t="shared" si="17"/>
        <v>137.58007853904599</v>
      </c>
      <c r="FP14" s="110">
        <f t="shared" si="17"/>
        <v>135.73717974911781</v>
      </c>
      <c r="FQ14" s="110">
        <f t="shared" si="17"/>
        <v>136.40331646275743</v>
      </c>
      <c r="FR14" s="110">
        <f t="shared" si="17"/>
        <v>135.24033184305696</v>
      </c>
      <c r="FS14" s="110">
        <f t="shared" si="17"/>
        <v>134.88794010041582</v>
      </c>
      <c r="FT14" s="110">
        <f t="shared" si="17"/>
        <v>134.40823637668211</v>
      </c>
      <c r="FU14" s="110">
        <f t="shared" si="17"/>
        <v>134.56302676991717</v>
      </c>
      <c r="FV14" s="110">
        <f t="shared" si="17"/>
        <v>134.06905908387029</v>
      </c>
      <c r="FW14" s="110">
        <f t="shared" si="17"/>
        <v>132.31406154439293</v>
      </c>
      <c r="FX14" s="110">
        <f t="shared" si="17"/>
        <v>132.74815561207078</v>
      </c>
      <c r="FY14" s="110">
        <f t="shared" si="17"/>
        <v>131.55889113139668</v>
      </c>
      <c r="FZ14" s="110">
        <f t="shared" si="17"/>
        <v>130.24631746543034</v>
      </c>
      <c r="GA14" s="110">
        <f t="shared" si="17"/>
        <v>129.50757082269007</v>
      </c>
      <c r="GB14" s="110">
        <f t="shared" si="17"/>
        <v>128.71706017192011</v>
      </c>
      <c r="GC14" s="110">
        <f t="shared" si="17"/>
        <v>128.25386247278931</v>
      </c>
      <c r="GD14" s="110">
        <f t="shared" si="17"/>
        <v>127.37098433286374</v>
      </c>
      <c r="GE14" s="110">
        <f t="shared" si="17"/>
        <v>126.45572157011169</v>
      </c>
      <c r="GF14" s="110">
        <f t="shared" si="17"/>
        <v>126.8614985013316</v>
      </c>
      <c r="GG14" s="110">
        <f t="shared" si="17"/>
        <v>125.29018077362576</v>
      </c>
      <c r="GH14" s="110">
        <f t="shared" si="17"/>
        <v>125.83656638628348</v>
      </c>
      <c r="GI14" s="110">
        <f t="shared" si="17"/>
        <v>125.45452882657266</v>
      </c>
      <c r="GJ14" s="110">
        <f t="shared" si="17"/>
        <v>124.40128392298962</v>
      </c>
      <c r="GK14" s="110">
        <f t="shared" si="17"/>
        <v>125.94934009568196</v>
      </c>
      <c r="GL14" s="110">
        <f t="shared" si="17"/>
        <v>124.66700069955172</v>
      </c>
      <c r="GM14" s="110">
        <f t="shared" ref="GM14:IX14" si="18">GM12*GM13</f>
        <v>122.88395174453728</v>
      </c>
      <c r="GN14" s="110">
        <f t="shared" si="18"/>
        <v>121.80373769893906</v>
      </c>
      <c r="GO14" s="110">
        <f t="shared" si="18"/>
        <v>121.82893067183052</v>
      </c>
      <c r="GP14" s="110">
        <f t="shared" si="18"/>
        <v>121.43263965113891</v>
      </c>
      <c r="GQ14" s="110">
        <f t="shared" si="18"/>
        <v>120.30311344042276</v>
      </c>
      <c r="GR14" s="110">
        <f t="shared" si="18"/>
        <v>119.9716980861497</v>
      </c>
      <c r="GS14" s="110">
        <f t="shared" si="18"/>
        <v>119.45219614135752</v>
      </c>
      <c r="GT14" s="110">
        <f t="shared" si="18"/>
        <v>118.45838620576984</v>
      </c>
      <c r="GU14" s="110">
        <f t="shared" si="18"/>
        <v>117.3993504181518</v>
      </c>
      <c r="GV14" s="110">
        <f t="shared" si="18"/>
        <v>117.50161916199195</v>
      </c>
      <c r="GW14" s="110">
        <f t="shared" si="18"/>
        <v>116.76352649280201</v>
      </c>
      <c r="GX14" s="110">
        <f t="shared" si="18"/>
        <v>115.85307026727342</v>
      </c>
      <c r="GY14" s="110">
        <f t="shared" si="18"/>
        <v>115.39934724440374</v>
      </c>
      <c r="GZ14" s="110">
        <f t="shared" si="18"/>
        <v>114.70481948959666</v>
      </c>
      <c r="HA14" s="110">
        <f t="shared" si="18"/>
        <v>113.02391490210529</v>
      </c>
      <c r="HB14" s="110">
        <f t="shared" si="18"/>
        <v>113.86473201270648</v>
      </c>
      <c r="HC14" s="110">
        <f t="shared" si="18"/>
        <v>113.32585675429078</v>
      </c>
      <c r="HD14" s="110">
        <f t="shared" si="18"/>
        <v>112.27502566478618</v>
      </c>
      <c r="HE14" s="110">
        <f t="shared" si="18"/>
        <v>111.3806362759846</v>
      </c>
      <c r="HF14" s="110">
        <f t="shared" si="18"/>
        <v>111.28469741246127</v>
      </c>
      <c r="HG14" s="110">
        <f t="shared" si="18"/>
        <v>111.20874609117193</v>
      </c>
      <c r="HH14" s="110">
        <f t="shared" si="18"/>
        <v>110.81758571217719</v>
      </c>
      <c r="HI14" s="110">
        <f t="shared" si="18"/>
        <v>111.26747957399697</v>
      </c>
      <c r="HJ14" s="110">
        <f t="shared" si="18"/>
        <v>111.39173997186619</v>
      </c>
      <c r="HK14" s="110">
        <f t="shared" si="18"/>
        <v>109.14085217019823</v>
      </c>
      <c r="HL14" s="110">
        <f t="shared" si="18"/>
        <v>108.92192118281341</v>
      </c>
      <c r="HM14" s="110">
        <f t="shared" si="18"/>
        <v>109.08995352355731</v>
      </c>
      <c r="HN14" s="110">
        <f t="shared" si="18"/>
        <v>108.85645007567464</v>
      </c>
      <c r="HO14" s="110">
        <f t="shared" si="18"/>
        <v>108.73362202326865</v>
      </c>
      <c r="HP14" s="110">
        <f t="shared" si="18"/>
        <v>107.38071545552152</v>
      </c>
      <c r="HQ14" s="110">
        <f t="shared" si="18"/>
        <v>106.81496080253207</v>
      </c>
      <c r="HR14" s="110">
        <f t="shared" si="18"/>
        <v>106.95299654675142</v>
      </c>
      <c r="HS14" s="110">
        <f t="shared" si="18"/>
        <v>105.53738616944347</v>
      </c>
      <c r="HT14" s="110">
        <f t="shared" si="18"/>
        <v>105.83478320029172</v>
      </c>
      <c r="HU14" s="110">
        <f t="shared" si="18"/>
        <v>104.18569741422425</v>
      </c>
      <c r="HV14" s="110">
        <f t="shared" si="18"/>
        <v>103.7224832729637</v>
      </c>
      <c r="HW14" s="110">
        <f t="shared" si="18"/>
        <v>102.46222201594571</v>
      </c>
      <c r="HX14" s="110">
        <f t="shared" si="18"/>
        <v>102.23021661406111</v>
      </c>
      <c r="HY14" s="110">
        <f t="shared" si="18"/>
        <v>101.97005197188203</v>
      </c>
      <c r="HZ14" s="110">
        <f t="shared" si="18"/>
        <v>101.05064327416255</v>
      </c>
      <c r="IA14" s="110">
        <f t="shared" si="18"/>
        <v>101.35700597851114</v>
      </c>
      <c r="IB14" s="110">
        <f t="shared" si="18"/>
        <v>100.705114134889</v>
      </c>
      <c r="IC14" s="110">
        <f t="shared" si="18"/>
        <v>100.52925016061862</v>
      </c>
      <c r="ID14" s="110">
        <f t="shared" si="18"/>
        <v>100.15731966760521</v>
      </c>
      <c r="IE14" s="110">
        <f t="shared" si="18"/>
        <v>99.819983084595918</v>
      </c>
      <c r="IF14" s="110">
        <f t="shared" si="18"/>
        <v>99.533422814151223</v>
      </c>
      <c r="IG14" s="110">
        <f t="shared" si="18"/>
        <v>98.802132555016769</v>
      </c>
      <c r="IH14" s="110">
        <f t="shared" si="18"/>
        <v>98.702518252736596</v>
      </c>
      <c r="II14" s="110">
        <f t="shared" si="18"/>
        <v>97.130868834409256</v>
      </c>
      <c r="IJ14" s="110">
        <f t="shared" si="18"/>
        <v>95.911341866096905</v>
      </c>
      <c r="IK14" s="110">
        <f t="shared" si="18"/>
        <v>96.240562158497028</v>
      </c>
      <c r="IL14" s="110">
        <f t="shared" si="18"/>
        <v>94.850157521771749</v>
      </c>
      <c r="IM14" s="110">
        <f t="shared" si="18"/>
        <v>94.438181976096772</v>
      </c>
      <c r="IN14" s="110">
        <f t="shared" si="18"/>
        <v>94.503781305938602</v>
      </c>
      <c r="IO14" s="110">
        <f t="shared" si="18"/>
        <v>94.032511931117568</v>
      </c>
      <c r="IP14" s="110">
        <f t="shared" si="18"/>
        <v>93.938408280501577</v>
      </c>
      <c r="IQ14" s="110">
        <f t="shared" si="18"/>
        <v>93.183929215307586</v>
      </c>
      <c r="IR14" s="110">
        <f t="shared" si="18"/>
        <v>92.78836910416473</v>
      </c>
      <c r="IS14" s="110">
        <f t="shared" si="18"/>
        <v>92.649401877718986</v>
      </c>
      <c r="IT14" s="110">
        <f t="shared" si="18"/>
        <v>92.187172056508842</v>
      </c>
      <c r="IU14" s="110">
        <f t="shared" si="18"/>
        <v>91.300811456212003</v>
      </c>
      <c r="IV14" s="110">
        <f t="shared" si="18"/>
        <v>91.073715807267888</v>
      </c>
      <c r="IW14" s="110">
        <f t="shared" si="18"/>
        <v>90.206628853378504</v>
      </c>
      <c r="IX14" s="110">
        <f t="shared" si="18"/>
        <v>89.542631608344493</v>
      </c>
      <c r="IY14" s="110">
        <f t="shared" ref="IY14:KP14" si="19">IY12*IY13</f>
        <v>88.774682217719842</v>
      </c>
      <c r="IZ14" s="110">
        <f t="shared" si="19"/>
        <v>88.924162188373458</v>
      </c>
      <c r="JA14" s="110">
        <f t="shared" si="19"/>
        <v>87.880696813440579</v>
      </c>
      <c r="JB14" s="110">
        <f t="shared" si="19"/>
        <v>88.085779101000355</v>
      </c>
      <c r="JC14" s="110">
        <f t="shared" si="19"/>
        <v>87.84700963496914</v>
      </c>
      <c r="JD14" s="110">
        <f t="shared" si="19"/>
        <v>87.717274037601399</v>
      </c>
      <c r="JE14" s="110">
        <f t="shared" si="19"/>
        <v>86.593746441753964</v>
      </c>
      <c r="JF14" s="110">
        <f t="shared" si="19"/>
        <v>86.724597866997897</v>
      </c>
      <c r="JG14" s="110">
        <f t="shared" si="19"/>
        <v>85.159694676510128</v>
      </c>
      <c r="JH14" s="110">
        <f t="shared" si="19"/>
        <v>84.64952120381939</v>
      </c>
      <c r="JI14" s="110">
        <f t="shared" si="19"/>
        <v>83.713835294045509</v>
      </c>
      <c r="JJ14" s="110">
        <f t="shared" si="19"/>
        <v>83.309689676851278</v>
      </c>
      <c r="JK14" s="110">
        <f t="shared" si="19"/>
        <v>82.562750342998058</v>
      </c>
      <c r="JL14" s="110">
        <f t="shared" si="19"/>
        <v>82.540182619767336</v>
      </c>
      <c r="JM14" s="110">
        <f t="shared" si="19"/>
        <v>81.855286661241763</v>
      </c>
      <c r="JN14" s="110">
        <f t="shared" si="19"/>
        <v>82.553903674658372</v>
      </c>
      <c r="JO14" s="110">
        <f t="shared" si="19"/>
        <v>81.812022137213276</v>
      </c>
      <c r="JP14" s="110">
        <f t="shared" si="19"/>
        <v>82.327353883616254</v>
      </c>
      <c r="JQ14" s="110">
        <f t="shared" si="19"/>
        <v>81.432735548450665</v>
      </c>
      <c r="JR14" s="110">
        <f t="shared" si="19"/>
        <v>80.573317411606169</v>
      </c>
      <c r="JS14" s="110">
        <f t="shared" si="19"/>
        <v>80.399810270149459</v>
      </c>
      <c r="JT14" s="110">
        <f t="shared" si="19"/>
        <v>79.931356421331216</v>
      </c>
      <c r="JU14" s="110">
        <f t="shared" si="19"/>
        <v>79.918066278740611</v>
      </c>
      <c r="JV14" s="110">
        <f t="shared" si="19"/>
        <v>79.078541977393442</v>
      </c>
      <c r="JW14" s="110">
        <f t="shared" si="19"/>
        <v>78.486852416043604</v>
      </c>
      <c r="JX14" s="110">
        <f t="shared" si="19"/>
        <v>78.467779736128136</v>
      </c>
      <c r="JY14" s="110">
        <f t="shared" si="19"/>
        <v>78.126961939527035</v>
      </c>
      <c r="JZ14" s="110">
        <f t="shared" si="19"/>
        <v>77.530878778854515</v>
      </c>
      <c r="KA14" s="110">
        <f t="shared" si="19"/>
        <v>77.360760513955981</v>
      </c>
      <c r="KB14" s="110">
        <f t="shared" si="19"/>
        <v>77.311163361606276</v>
      </c>
      <c r="KC14" s="110">
        <f t="shared" si="19"/>
        <v>77.394838535392338</v>
      </c>
      <c r="KD14" s="110">
        <f t="shared" si="19"/>
        <v>76.646514353376546</v>
      </c>
      <c r="KE14" s="110">
        <f t="shared" si="19"/>
        <v>76.612604034024145</v>
      </c>
      <c r="KF14" s="110">
        <f t="shared" si="19"/>
        <v>76.339965234316637</v>
      </c>
      <c r="KG14" s="110">
        <f t="shared" si="19"/>
        <v>76.355931862352008</v>
      </c>
      <c r="KH14" s="110">
        <f t="shared" si="19"/>
        <v>75.198710736599239</v>
      </c>
      <c r="KI14" s="110">
        <f t="shared" si="19"/>
        <v>75.197580688651925</v>
      </c>
      <c r="KJ14" s="110">
        <f t="shared" si="19"/>
        <v>74.646069557137764</v>
      </c>
      <c r="KK14" s="110">
        <f t="shared" si="19"/>
        <v>74.442086209861429</v>
      </c>
      <c r="KL14" s="110">
        <f t="shared" si="19"/>
        <v>-20.976429160865408</v>
      </c>
      <c r="KM14" s="110">
        <f t="shared" si="19"/>
        <v>-20.900343912069133</v>
      </c>
      <c r="KN14" s="110">
        <f t="shared" si="19"/>
        <v>-20.824534638036727</v>
      </c>
      <c r="KO14" s="110">
        <f t="shared" si="19"/>
        <v>-20.749000337758517</v>
      </c>
      <c r="KP14" s="110">
        <f t="shared" si="19"/>
        <v>-20.673740013855646</v>
      </c>
    </row>
    <row r="15" spans="1:302" ht="16" customHeight="1" x14ac:dyDescent="0.2">
      <c r="A15" s="108" t="s">
        <v>450</v>
      </c>
      <c r="B15" s="109" t="s">
        <v>215</v>
      </c>
      <c r="C15" s="110">
        <f>C14-Assumptions!$E$31</f>
        <v>-22870.563562214749</v>
      </c>
      <c r="D15" s="110">
        <f t="shared" ref="D15:BO15" si="20">C15+D14</f>
        <v>-22741.486112780993</v>
      </c>
      <c r="E15" s="110">
        <f t="shared" si="20"/>
        <v>-22612.766656054548</v>
      </c>
      <c r="F15" s="110">
        <f t="shared" si="20"/>
        <v>-22484.404199152617</v>
      </c>
      <c r="G15" s="110">
        <f t="shared" si="20"/>
        <v>-22356.397751946144</v>
      </c>
      <c r="H15" s="110">
        <f t="shared" si="20"/>
        <v>-22228.746327052162</v>
      </c>
      <c r="I15" s="110">
        <f t="shared" si="20"/>
        <v>-22101.448939826187</v>
      </c>
      <c r="J15" s="110">
        <f t="shared" si="20"/>
        <v>-21974.504608354615</v>
      </c>
      <c r="K15" s="110">
        <f t="shared" si="20"/>
        <v>-21847.912353447158</v>
      </c>
      <c r="L15" s="110">
        <f t="shared" si="20"/>
        <v>-21721.671198629279</v>
      </c>
      <c r="M15" s="110">
        <f t="shared" si="20"/>
        <v>-21595.780170134669</v>
      </c>
      <c r="N15" s="110">
        <f t="shared" si="20"/>
        <v>-21470.238296897733</v>
      </c>
      <c r="O15" s="110">
        <f t="shared" si="20"/>
        <v>-21346.319472449188</v>
      </c>
      <c r="P15" s="110">
        <f t="shared" si="20"/>
        <v>-21222.744333405379</v>
      </c>
      <c r="Q15" s="110">
        <f t="shared" si="20"/>
        <v>-21099.511926564421</v>
      </c>
      <c r="R15" s="110">
        <f t="shared" si="20"/>
        <v>-20976.621301368101</v>
      </c>
      <c r="S15" s="110">
        <f t="shared" si="20"/>
        <v>-20854.071509894558</v>
      </c>
      <c r="T15" s="110">
        <f t="shared" si="20"/>
        <v>-20731.861606850962</v>
      </c>
      <c r="U15" s="110">
        <f t="shared" si="20"/>
        <v>-20609.990649566233</v>
      </c>
      <c r="V15" s="110">
        <f t="shared" si="20"/>
        <v>-20488.457697983755</v>
      </c>
      <c r="W15" s="110">
        <f t="shared" si="20"/>
        <v>-20367.261814654139</v>
      </c>
      <c r="X15" s="110">
        <f t="shared" si="20"/>
        <v>-20246.402064727979</v>
      </c>
      <c r="Y15" s="110">
        <f t="shared" si="20"/>
        <v>-20125.877515948658</v>
      </c>
      <c r="Z15" s="110">
        <f t="shared" si="20"/>
        <v>-20005.687238645136</v>
      </c>
      <c r="AA15" s="110">
        <f t="shared" si="20"/>
        <v>-19887.069766482455</v>
      </c>
      <c r="AB15" s="110">
        <f t="shared" si="20"/>
        <v>-19768.781276571746</v>
      </c>
      <c r="AC15" s="110">
        <f t="shared" si="20"/>
        <v>-19650.820856489907</v>
      </c>
      <c r="AD15" s="110">
        <f t="shared" si="20"/>
        <v>-19533.187596344414</v>
      </c>
      <c r="AE15" s="110">
        <f t="shared" si="20"/>
        <v>-19415.880588766304</v>
      </c>
      <c r="AF15" s="110">
        <f t="shared" si="20"/>
        <v>-19298.898928903178</v>
      </c>
      <c r="AG15" s="110">
        <f t="shared" si="20"/>
        <v>-19182.241714412223</v>
      </c>
      <c r="AH15" s="110">
        <f t="shared" si="20"/>
        <v>-19065.908045453238</v>
      </c>
      <c r="AI15" s="110">
        <f t="shared" si="20"/>
        <v>-18949.897024681715</v>
      </c>
      <c r="AJ15" s="110">
        <f t="shared" si="20"/>
        <v>-18834.2077572419</v>
      </c>
      <c r="AK15" s="110">
        <f t="shared" si="20"/>
        <v>-18718.839350759899</v>
      </c>
      <c r="AL15" s="110">
        <f t="shared" si="20"/>
        <v>-18603.790915336791</v>
      </c>
      <c r="AM15" s="110">
        <f t="shared" si="20"/>
        <v>-18490.266786126704</v>
      </c>
      <c r="AN15" s="110">
        <f t="shared" si="20"/>
        <v>-18377.057512923915</v>
      </c>
      <c r="AO15" s="110">
        <f t="shared" si="20"/>
        <v>-18264.162222484065</v>
      </c>
      <c r="AP15" s="110">
        <f t="shared" si="20"/>
        <v>-18151.580043984715</v>
      </c>
      <c r="AQ15" s="110">
        <f t="shared" si="20"/>
        <v>-18039.310109018628</v>
      </c>
      <c r="AR15" s="110">
        <f t="shared" si="20"/>
        <v>-17927.351551587071</v>
      </c>
      <c r="AS15" s="110">
        <f t="shared" si="20"/>
        <v>-17815.703508093131</v>
      </c>
      <c r="AT15" s="110">
        <f t="shared" si="20"/>
        <v>-17704.365117335063</v>
      </c>
      <c r="AU15" s="110">
        <f t="shared" si="20"/>
        <v>-17593.335520499633</v>
      </c>
      <c r="AV15" s="110">
        <f t="shared" si="20"/>
        <v>-17482.613861155507</v>
      </c>
      <c r="AW15" s="110">
        <f t="shared" si="20"/>
        <v>-17372.199285246639</v>
      </c>
      <c r="AX15" s="110">
        <f t="shared" si="20"/>
        <v>-17262.090941085684</v>
      </c>
      <c r="AY15" s="110">
        <f t="shared" si="20"/>
        <v>-17153.460085252875</v>
      </c>
      <c r="AZ15" s="110">
        <f t="shared" si="20"/>
        <v>-17045.130514070075</v>
      </c>
      <c r="BA15" s="110">
        <f t="shared" si="20"/>
        <v>-16937.101391932712</v>
      </c>
      <c r="BB15" s="110">
        <f t="shared" si="20"/>
        <v>-16829.37188555373</v>
      </c>
      <c r="BC15" s="110">
        <f t="shared" si="20"/>
        <v>-16721.941163957181</v>
      </c>
      <c r="BD15" s="110">
        <f t="shared" si="20"/>
        <v>-16614.808398471796</v>
      </c>
      <c r="BE15" s="110">
        <f t="shared" si="20"/>
        <v>-16507.97276272461</v>
      </c>
      <c r="BF15" s="110">
        <f t="shared" si="20"/>
        <v>-16401.433432634578</v>
      </c>
      <c r="BG15" s="110">
        <f t="shared" si="20"/>
        <v>-16295.189586406223</v>
      </c>
      <c r="BH15" s="110">
        <f t="shared" si="20"/>
        <v>-16189.240404523291</v>
      </c>
      <c r="BI15" s="110">
        <f t="shared" si="20"/>
        <v>-16083.585069742436</v>
      </c>
      <c r="BJ15" s="110">
        <f t="shared" si="20"/>
        <v>-15978.222767086911</v>
      </c>
      <c r="BK15" s="110">
        <f t="shared" si="20"/>
        <v>-15874.292754609802</v>
      </c>
      <c r="BL15" s="110">
        <f t="shared" si="20"/>
        <v>-15770.650989124717</v>
      </c>
      <c r="BM15" s="110">
        <f t="shared" si="20"/>
        <v>-15667.296671186659</v>
      </c>
      <c r="BN15" s="110">
        <f t="shared" si="20"/>
        <v>-15564.229003567872</v>
      </c>
      <c r="BO15" s="110">
        <f t="shared" si="20"/>
        <v>-15461.447191251687</v>
      </c>
      <c r="BP15" s="110">
        <f t="shared" ref="BP15:EA15" si="21">BO15+BP14</f>
        <v>-15358.950441426392</v>
      </c>
      <c r="BQ15" s="110">
        <f t="shared" si="21"/>
        <v>-15256.737963479116</v>
      </c>
      <c r="BR15" s="110">
        <f t="shared" si="21"/>
        <v>-15154.80896898973</v>
      </c>
      <c r="BS15" s="110">
        <f t="shared" si="21"/>
        <v>-15053.162671724767</v>
      </c>
      <c r="BT15" s="110">
        <f t="shared" si="21"/>
        <v>-14951.798287631358</v>
      </c>
      <c r="BU15" s="110">
        <f t="shared" si="21"/>
        <v>-14850.715034831181</v>
      </c>
      <c r="BV15" s="110">
        <f t="shared" si="21"/>
        <v>-14749.912133614433</v>
      </c>
      <c r="BW15" s="110">
        <f t="shared" si="21"/>
        <v>-14650.497885133937</v>
      </c>
      <c r="BX15" s="110">
        <f t="shared" si="21"/>
        <v>-14551.359359299919</v>
      </c>
      <c r="BY15" s="110">
        <f t="shared" si="21"/>
        <v>-14452.495791403308</v>
      </c>
      <c r="BZ15" s="110">
        <f t="shared" si="21"/>
        <v>-14353.90641885593</v>
      </c>
      <c r="CA15" s="110">
        <f t="shared" si="21"/>
        <v>-14255.590481184629</v>
      </c>
      <c r="CB15" s="110">
        <f t="shared" si="21"/>
        <v>-14157.547220025399</v>
      </c>
      <c r="CC15" s="110">
        <f t="shared" si="21"/>
        <v>-14059.775879117537</v>
      </c>
      <c r="CD15" s="110">
        <f t="shared" si="21"/>
        <v>-13962.275704297805</v>
      </c>
      <c r="CE15" s="110">
        <f t="shared" si="21"/>
        <v>-13865.045943494619</v>
      </c>
      <c r="CF15" s="110">
        <f t="shared" si="21"/>
        <v>-13768.085846722242</v>
      </c>
      <c r="CG15" s="110">
        <f t="shared" si="21"/>
        <v>-13671.394666075006</v>
      </c>
      <c r="CH15" s="110">
        <f t="shared" si="21"/>
        <v>-13574.971655721532</v>
      </c>
      <c r="CI15" s="110">
        <f t="shared" si="21"/>
        <v>-13479.895164536943</v>
      </c>
      <c r="CJ15" s="110">
        <f t="shared" si="21"/>
        <v>-13385.082365349912</v>
      </c>
      <c r="CK15" s="110">
        <f t="shared" si="21"/>
        <v>-13290.532526818033</v>
      </c>
      <c r="CL15" s="110">
        <f t="shared" si="21"/>
        <v>-13196.244919627261</v>
      </c>
      <c r="CM15" s="110">
        <f t="shared" si="21"/>
        <v>-13102.218816486284</v>
      </c>
      <c r="CN15" s="110">
        <f t="shared" si="21"/>
        <v>-13008.453492120909</v>
      </c>
      <c r="CO15" s="110">
        <f t="shared" si="21"/>
        <v>-12914.948223268471</v>
      </c>
      <c r="CP15" s="110">
        <f t="shared" si="21"/>
        <v>-12821.702288672259</v>
      </c>
      <c r="CQ15" s="110">
        <f t="shared" si="21"/>
        <v>-12728.714969075942</v>
      </c>
      <c r="CR15" s="110">
        <f t="shared" si="21"/>
        <v>-12635.985547218026</v>
      </c>
      <c r="CS15" s="110">
        <f t="shared" si="21"/>
        <v>-12543.513307826326</v>
      </c>
      <c r="CT15" s="110">
        <f t="shared" si="21"/>
        <v>-12451.297537612441</v>
      </c>
      <c r="CU15" s="110">
        <f t="shared" si="21"/>
        <v>-12360.387602154689</v>
      </c>
      <c r="CV15" s="110">
        <f t="shared" si="21"/>
        <v>-12269.729802868349</v>
      </c>
      <c r="CW15" s="110">
        <f t="shared" si="21"/>
        <v>-12179.323440460779</v>
      </c>
      <c r="CX15" s="110">
        <f t="shared" si="21"/>
        <v>-12089.167817578807</v>
      </c>
      <c r="CY15" s="110">
        <f t="shared" si="21"/>
        <v>-11999.262238803349</v>
      </c>
      <c r="CZ15" s="110">
        <f t="shared" si="21"/>
        <v>-11909.606010644045</v>
      </c>
      <c r="DA15" s="110">
        <f t="shared" si="21"/>
        <v>-11820.198441533916</v>
      </c>
      <c r="DB15" s="110">
        <f t="shared" si="21"/>
        <v>-11731.038841824018</v>
      </c>
      <c r="DC15" s="110">
        <f t="shared" si="21"/>
        <v>-11642.126523778135</v>
      </c>
      <c r="DD15" s="110">
        <f t="shared" si="21"/>
        <v>-11553.460801567468</v>
      </c>
      <c r="DE15" s="110">
        <f t="shared" si="21"/>
        <v>-11465.040991265339</v>
      </c>
      <c r="DF15" s="110">
        <f t="shared" si="21"/>
        <v>-11376.866410841931</v>
      </c>
      <c r="DG15" s="110">
        <f t="shared" si="21"/>
        <v>-11289.958377229799</v>
      </c>
      <c r="DH15" s="110">
        <f t="shared" si="21"/>
        <v>-11203.291380625886</v>
      </c>
      <c r="DI15" s="110">
        <f t="shared" si="21"/>
        <v>-11116.864752520765</v>
      </c>
      <c r="DJ15" s="110">
        <f t="shared" si="21"/>
        <v>-11030.677826259111</v>
      </c>
      <c r="DK15" s="110">
        <f t="shared" si="21"/>
        <v>-10944.729937034541</v>
      </c>
      <c r="DL15" s="110">
        <f t="shared" si="21"/>
        <v>-10859.020421884497</v>
      </c>
      <c r="DM15" s="110">
        <f t="shared" si="21"/>
        <v>-10773.548619685131</v>
      </c>
      <c r="DN15" s="110">
        <f t="shared" si="21"/>
        <v>-10688.3138711462</v>
      </c>
      <c r="DO15" s="110">
        <f t="shared" si="21"/>
        <v>-10603.315518805986</v>
      </c>
      <c r="DP15" s="110">
        <f t="shared" si="21"/>
        <v>-10518.552907026226</v>
      </c>
      <c r="DQ15" s="110">
        <f t="shared" si="21"/>
        <v>-10434.025381987043</v>
      </c>
      <c r="DR15" s="110">
        <f t="shared" si="21"/>
        <v>-10349.732291681919</v>
      </c>
      <c r="DS15" s="110">
        <f t="shared" si="21"/>
        <v>-10178.953858571373</v>
      </c>
      <c r="DT15" s="110">
        <f t="shared" si="21"/>
        <v>-10007.327443330167</v>
      </c>
      <c r="DU15" s="110">
        <f t="shared" si="21"/>
        <v>-9836.3075838218974</v>
      </c>
      <c r="DV15" s="110">
        <f t="shared" si="21"/>
        <v>-9667.065671224751</v>
      </c>
      <c r="DW15" s="110">
        <f t="shared" si="21"/>
        <v>-9497.6293669625611</v>
      </c>
      <c r="DX15" s="110">
        <f t="shared" si="21"/>
        <v>-9328.1335107693576</v>
      </c>
      <c r="DY15" s="110">
        <f t="shared" si="21"/>
        <v>-9159.6589726352395</v>
      </c>
      <c r="DZ15" s="110">
        <f t="shared" si="21"/>
        <v>-8992.4539326222093</v>
      </c>
      <c r="EA15" s="110">
        <f t="shared" si="21"/>
        <v>-8825.2678028994796</v>
      </c>
      <c r="EB15" s="110">
        <f t="shared" ref="EB15:GM15" si="22">EA15+EB14</f>
        <v>-8659.4348790653057</v>
      </c>
      <c r="EC15" s="110">
        <f t="shared" si="22"/>
        <v>-8493.1421787463678</v>
      </c>
      <c r="ED15" s="110">
        <f t="shared" si="22"/>
        <v>-8329.7588272470275</v>
      </c>
      <c r="EE15" s="110">
        <f t="shared" si="22"/>
        <v>-8167.4224195454244</v>
      </c>
      <c r="EF15" s="110">
        <f t="shared" si="22"/>
        <v>-8006.6675167998119</v>
      </c>
      <c r="EG15" s="110">
        <f t="shared" si="22"/>
        <v>-7846.5708378271202</v>
      </c>
      <c r="EH15" s="110">
        <f t="shared" si="22"/>
        <v>-7686.0782768491454</v>
      </c>
      <c r="EI15" s="110">
        <f t="shared" si="22"/>
        <v>-7526.6711317161262</v>
      </c>
      <c r="EJ15" s="110">
        <f t="shared" si="22"/>
        <v>-7366.7149611646473</v>
      </c>
      <c r="EK15" s="110">
        <f t="shared" si="22"/>
        <v>-7208.4852565974124</v>
      </c>
      <c r="EL15" s="110">
        <f t="shared" si="22"/>
        <v>-7049.3089968278355</v>
      </c>
      <c r="EM15" s="110">
        <f t="shared" si="22"/>
        <v>-6891.0221057710824</v>
      </c>
      <c r="EN15" s="110">
        <f t="shared" si="22"/>
        <v>-6735.4880998558992</v>
      </c>
      <c r="EO15" s="110">
        <f t="shared" si="22"/>
        <v>-6578.9564669879683</v>
      </c>
      <c r="EP15" s="110">
        <f t="shared" si="22"/>
        <v>-6422.9532125097176</v>
      </c>
      <c r="EQ15" s="110">
        <f t="shared" si="22"/>
        <v>-6268.7946395500294</v>
      </c>
      <c r="ER15" s="110">
        <f t="shared" si="22"/>
        <v>-6113.3209677877021</v>
      </c>
      <c r="ES15" s="110">
        <f t="shared" si="22"/>
        <v>-5959.4010855451907</v>
      </c>
      <c r="ET15" s="110">
        <f t="shared" si="22"/>
        <v>-5807.0119711087646</v>
      </c>
      <c r="EU15" s="110">
        <f t="shared" si="22"/>
        <v>-5655.1483198117512</v>
      </c>
      <c r="EV15" s="110">
        <f t="shared" si="22"/>
        <v>-5503.8529932228475</v>
      </c>
      <c r="EW15" s="110">
        <f t="shared" si="22"/>
        <v>-5353.7049708733093</v>
      </c>
      <c r="EX15" s="110">
        <f t="shared" si="22"/>
        <v>-5203.0933383078254</v>
      </c>
      <c r="EY15" s="110">
        <f t="shared" si="22"/>
        <v>-5053.1613874593831</v>
      </c>
      <c r="EZ15" s="110">
        <f t="shared" si="22"/>
        <v>-4903.7458553580509</v>
      </c>
      <c r="FA15" s="110">
        <f t="shared" si="22"/>
        <v>-4754.9980795963384</v>
      </c>
      <c r="FB15" s="110">
        <f t="shared" si="22"/>
        <v>-4606.5331734650499</v>
      </c>
      <c r="FC15" s="110">
        <f t="shared" si="22"/>
        <v>-4459.7870673127873</v>
      </c>
      <c r="FD15" s="110">
        <f t="shared" si="22"/>
        <v>-4314.4914506730856</v>
      </c>
      <c r="FE15" s="110">
        <f t="shared" si="22"/>
        <v>-4170.6584278258324</v>
      </c>
      <c r="FF15" s="110">
        <f t="shared" si="22"/>
        <v>-4026.9197341940717</v>
      </c>
      <c r="FG15" s="110">
        <f t="shared" si="22"/>
        <v>-3882.6426692533155</v>
      </c>
      <c r="FH15" s="110">
        <f t="shared" si="22"/>
        <v>-3739.0362382349263</v>
      </c>
      <c r="FI15" s="110">
        <f t="shared" si="22"/>
        <v>-3596.2508543780496</v>
      </c>
      <c r="FJ15" s="110">
        <f t="shared" si="22"/>
        <v>-3454.331266791175</v>
      </c>
      <c r="FK15" s="110">
        <f t="shared" si="22"/>
        <v>-3313.2379341248134</v>
      </c>
      <c r="FL15" s="110">
        <f t="shared" si="22"/>
        <v>-3173.1487110097696</v>
      </c>
      <c r="FM15" s="110">
        <f t="shared" si="22"/>
        <v>-3033.4194059946321</v>
      </c>
      <c r="FN15" s="110">
        <f t="shared" si="22"/>
        <v>-2894.3754276350905</v>
      </c>
      <c r="FO15" s="110">
        <f t="shared" si="22"/>
        <v>-2756.7953490960444</v>
      </c>
      <c r="FP15" s="110">
        <f t="shared" si="22"/>
        <v>-2621.0581693469267</v>
      </c>
      <c r="FQ15" s="110">
        <f t="shared" si="22"/>
        <v>-2484.654852884169</v>
      </c>
      <c r="FR15" s="110">
        <f t="shared" si="22"/>
        <v>-2349.414521041112</v>
      </c>
      <c r="FS15" s="110">
        <f t="shared" si="22"/>
        <v>-2214.526580940696</v>
      </c>
      <c r="FT15" s="110">
        <f t="shared" si="22"/>
        <v>-2080.118344564014</v>
      </c>
      <c r="FU15" s="110">
        <f t="shared" si="22"/>
        <v>-1945.5553177940969</v>
      </c>
      <c r="FV15" s="110">
        <f t="shared" si="22"/>
        <v>-1811.4862587102266</v>
      </c>
      <c r="FW15" s="110">
        <f t="shared" si="22"/>
        <v>-1679.1721971658337</v>
      </c>
      <c r="FX15" s="110">
        <f t="shared" si="22"/>
        <v>-1546.4240415537629</v>
      </c>
      <c r="FY15" s="110">
        <f t="shared" si="22"/>
        <v>-1414.8651504223662</v>
      </c>
      <c r="FZ15" s="110">
        <f t="shared" si="22"/>
        <v>-1284.6188329569359</v>
      </c>
      <c r="GA15" s="110">
        <f t="shared" si="22"/>
        <v>-1155.1112621342459</v>
      </c>
      <c r="GB15" s="110">
        <f t="shared" si="22"/>
        <v>-1026.3942019623257</v>
      </c>
      <c r="GC15" s="110">
        <f t="shared" si="22"/>
        <v>-898.14033948953647</v>
      </c>
      <c r="GD15" s="110">
        <f t="shared" si="22"/>
        <v>-770.76935515667276</v>
      </c>
      <c r="GE15" s="110">
        <f t="shared" si="22"/>
        <v>-644.31363358656108</v>
      </c>
      <c r="GF15" s="110">
        <f t="shared" si="22"/>
        <v>-517.45213508522943</v>
      </c>
      <c r="GG15" s="110">
        <f t="shared" si="22"/>
        <v>-392.16195431160367</v>
      </c>
      <c r="GH15" s="110">
        <f t="shared" si="22"/>
        <v>-266.32538792532017</v>
      </c>
      <c r="GI15" s="110">
        <f t="shared" si="22"/>
        <v>-140.87085909874753</v>
      </c>
      <c r="GJ15" s="110">
        <f t="shared" si="22"/>
        <v>-16.46957517575791</v>
      </c>
      <c r="GK15" s="110">
        <f t="shared" si="22"/>
        <v>109.47976491992405</v>
      </c>
      <c r="GL15" s="110">
        <f t="shared" si="22"/>
        <v>234.14676561947579</v>
      </c>
      <c r="GM15" s="110">
        <f t="shared" si="22"/>
        <v>357.03071736401307</v>
      </c>
      <c r="GN15" s="110">
        <f t="shared" ref="GN15:IY15" si="23">GM15+GN14</f>
        <v>478.83445506295214</v>
      </c>
      <c r="GO15" s="110">
        <f t="shared" si="23"/>
        <v>600.66338573478265</v>
      </c>
      <c r="GP15" s="110">
        <f t="shared" si="23"/>
        <v>722.09602538592162</v>
      </c>
      <c r="GQ15" s="110">
        <f t="shared" si="23"/>
        <v>842.39913882634437</v>
      </c>
      <c r="GR15" s="110">
        <f t="shared" si="23"/>
        <v>962.37083691249404</v>
      </c>
      <c r="GS15" s="110">
        <f t="shared" si="23"/>
        <v>1081.8230330538515</v>
      </c>
      <c r="GT15" s="110">
        <f t="shared" si="23"/>
        <v>1200.2814192596213</v>
      </c>
      <c r="GU15" s="110">
        <f t="shared" si="23"/>
        <v>1317.680769677773</v>
      </c>
      <c r="GV15" s="110">
        <f t="shared" si="23"/>
        <v>1435.1823888397651</v>
      </c>
      <c r="GW15" s="110">
        <f t="shared" si="23"/>
        <v>1551.945915332567</v>
      </c>
      <c r="GX15" s="110">
        <f t="shared" si="23"/>
        <v>1667.7989855998403</v>
      </c>
      <c r="GY15" s="110">
        <f t="shared" si="23"/>
        <v>1783.1983328442441</v>
      </c>
      <c r="GZ15" s="110">
        <f t="shared" si="23"/>
        <v>1897.9031523338408</v>
      </c>
      <c r="HA15" s="110">
        <f t="shared" si="23"/>
        <v>2010.9270672359462</v>
      </c>
      <c r="HB15" s="110">
        <f t="shared" si="23"/>
        <v>2124.7917992486528</v>
      </c>
      <c r="HC15" s="110">
        <f t="shared" si="23"/>
        <v>2238.1176560029435</v>
      </c>
      <c r="HD15" s="110">
        <f t="shared" si="23"/>
        <v>2350.3926816677294</v>
      </c>
      <c r="HE15" s="110">
        <f t="shared" si="23"/>
        <v>2461.7733179437141</v>
      </c>
      <c r="HF15" s="110">
        <f t="shared" si="23"/>
        <v>2573.0580153561755</v>
      </c>
      <c r="HG15" s="110">
        <f t="shared" si="23"/>
        <v>2684.2667614473476</v>
      </c>
      <c r="HH15" s="110">
        <f t="shared" si="23"/>
        <v>2795.0843471595249</v>
      </c>
      <c r="HI15" s="110">
        <f t="shared" si="23"/>
        <v>2906.3518267335216</v>
      </c>
      <c r="HJ15" s="110">
        <f t="shared" si="23"/>
        <v>3017.7435667053878</v>
      </c>
      <c r="HK15" s="110">
        <f t="shared" si="23"/>
        <v>3126.8844188755861</v>
      </c>
      <c r="HL15" s="110">
        <f t="shared" si="23"/>
        <v>3235.8063400583997</v>
      </c>
      <c r="HM15" s="110">
        <f t="shared" si="23"/>
        <v>3344.8962935819568</v>
      </c>
      <c r="HN15" s="110">
        <f t="shared" si="23"/>
        <v>3453.7527436576315</v>
      </c>
      <c r="HO15" s="110">
        <f t="shared" si="23"/>
        <v>3562.4863656809002</v>
      </c>
      <c r="HP15" s="110">
        <f t="shared" si="23"/>
        <v>3669.8670811364218</v>
      </c>
      <c r="HQ15" s="110">
        <f t="shared" si="23"/>
        <v>3776.6820419389537</v>
      </c>
      <c r="HR15" s="110">
        <f t="shared" si="23"/>
        <v>3883.6350384857051</v>
      </c>
      <c r="HS15" s="110">
        <f t="shared" si="23"/>
        <v>3989.1724246551485</v>
      </c>
      <c r="HT15" s="110">
        <f t="shared" si="23"/>
        <v>4095.0072078554404</v>
      </c>
      <c r="HU15" s="110">
        <f t="shared" si="23"/>
        <v>4199.1929052696651</v>
      </c>
      <c r="HV15" s="110">
        <f t="shared" si="23"/>
        <v>4302.9153885426285</v>
      </c>
      <c r="HW15" s="110">
        <f t="shared" si="23"/>
        <v>4405.3776105585739</v>
      </c>
      <c r="HX15" s="110">
        <f t="shared" si="23"/>
        <v>4507.6078271726346</v>
      </c>
      <c r="HY15" s="110">
        <f t="shared" si="23"/>
        <v>4609.5778791445164</v>
      </c>
      <c r="HZ15" s="110">
        <f t="shared" si="23"/>
        <v>4710.6285224186786</v>
      </c>
      <c r="IA15" s="110">
        <f t="shared" si="23"/>
        <v>4811.9855283971901</v>
      </c>
      <c r="IB15" s="110">
        <f t="shared" si="23"/>
        <v>4912.6906425320794</v>
      </c>
      <c r="IC15" s="110">
        <f t="shared" si="23"/>
        <v>5013.2198926926976</v>
      </c>
      <c r="ID15" s="110">
        <f t="shared" si="23"/>
        <v>5113.377212360303</v>
      </c>
      <c r="IE15" s="110">
        <f t="shared" si="23"/>
        <v>5213.1971954448991</v>
      </c>
      <c r="IF15" s="110">
        <f t="shared" si="23"/>
        <v>5312.7306182590501</v>
      </c>
      <c r="IG15" s="110">
        <f t="shared" si="23"/>
        <v>5411.5327508140672</v>
      </c>
      <c r="IH15" s="110">
        <f t="shared" si="23"/>
        <v>5510.235269066804</v>
      </c>
      <c r="II15" s="110">
        <f t="shared" si="23"/>
        <v>5607.3661379012128</v>
      </c>
      <c r="IJ15" s="110">
        <f t="shared" si="23"/>
        <v>5703.2774797673101</v>
      </c>
      <c r="IK15" s="110">
        <f t="shared" si="23"/>
        <v>5799.5180419258068</v>
      </c>
      <c r="IL15" s="110">
        <f t="shared" si="23"/>
        <v>5894.3681994475783</v>
      </c>
      <c r="IM15" s="110">
        <f t="shared" si="23"/>
        <v>5988.8063814236748</v>
      </c>
      <c r="IN15" s="110">
        <f t="shared" si="23"/>
        <v>6083.3101627296137</v>
      </c>
      <c r="IO15" s="110">
        <f t="shared" si="23"/>
        <v>6177.3426746607311</v>
      </c>
      <c r="IP15" s="110">
        <f t="shared" si="23"/>
        <v>6271.2810829412329</v>
      </c>
      <c r="IQ15" s="110">
        <f t="shared" si="23"/>
        <v>6364.4650121565401</v>
      </c>
      <c r="IR15" s="110">
        <f t="shared" si="23"/>
        <v>6457.2533812607044</v>
      </c>
      <c r="IS15" s="110">
        <f t="shared" si="23"/>
        <v>6549.9027831384237</v>
      </c>
      <c r="IT15" s="110">
        <f t="shared" si="23"/>
        <v>6642.0899551949324</v>
      </c>
      <c r="IU15" s="110">
        <f t="shared" si="23"/>
        <v>6733.3907666511441</v>
      </c>
      <c r="IV15" s="110">
        <f t="shared" si="23"/>
        <v>6824.464482458412</v>
      </c>
      <c r="IW15" s="110">
        <f t="shared" si="23"/>
        <v>6914.6711113117908</v>
      </c>
      <c r="IX15" s="110">
        <f t="shared" si="23"/>
        <v>7004.2137429201357</v>
      </c>
      <c r="IY15" s="110">
        <f t="shared" si="23"/>
        <v>7092.9884251378553</v>
      </c>
      <c r="IZ15" s="110">
        <f t="shared" ref="IZ15:KP15" si="24">IY15+IZ14</f>
        <v>7181.9125873262292</v>
      </c>
      <c r="JA15" s="110">
        <f t="shared" si="24"/>
        <v>7269.7932841396696</v>
      </c>
      <c r="JB15" s="110">
        <f t="shared" si="24"/>
        <v>7357.8790632406699</v>
      </c>
      <c r="JC15" s="110">
        <f t="shared" si="24"/>
        <v>7445.7260728756391</v>
      </c>
      <c r="JD15" s="110">
        <f t="shared" si="24"/>
        <v>7533.4433469132409</v>
      </c>
      <c r="JE15" s="110">
        <f t="shared" si="24"/>
        <v>7620.0370933549948</v>
      </c>
      <c r="JF15" s="110">
        <f t="shared" si="24"/>
        <v>7706.7616912219928</v>
      </c>
      <c r="JG15" s="110">
        <f t="shared" si="24"/>
        <v>7791.9213858985031</v>
      </c>
      <c r="JH15" s="110">
        <f t="shared" si="24"/>
        <v>7876.5709071023221</v>
      </c>
      <c r="JI15" s="110">
        <f t="shared" si="24"/>
        <v>7960.2847423963676</v>
      </c>
      <c r="JJ15" s="110">
        <f t="shared" si="24"/>
        <v>8043.5944320732187</v>
      </c>
      <c r="JK15" s="110">
        <f t="shared" si="24"/>
        <v>8126.1571824162165</v>
      </c>
      <c r="JL15" s="110">
        <f t="shared" si="24"/>
        <v>8208.6973650359832</v>
      </c>
      <c r="JM15" s="110">
        <f t="shared" si="24"/>
        <v>8290.5526516972259</v>
      </c>
      <c r="JN15" s="110">
        <f t="shared" si="24"/>
        <v>8373.1065553718836</v>
      </c>
      <c r="JO15" s="110">
        <f t="shared" si="24"/>
        <v>8454.9185775090973</v>
      </c>
      <c r="JP15" s="110">
        <f t="shared" si="24"/>
        <v>8537.2459313927138</v>
      </c>
      <c r="JQ15" s="110">
        <f t="shared" si="24"/>
        <v>8618.6786669411649</v>
      </c>
      <c r="JR15" s="110">
        <f t="shared" si="24"/>
        <v>8699.2519843527716</v>
      </c>
      <c r="JS15" s="110">
        <f t="shared" si="24"/>
        <v>8779.6517946229214</v>
      </c>
      <c r="JT15" s="110">
        <f t="shared" si="24"/>
        <v>8859.5831510442531</v>
      </c>
      <c r="JU15" s="110">
        <f t="shared" si="24"/>
        <v>8939.5012173229934</v>
      </c>
      <c r="JV15" s="110">
        <f t="shared" si="24"/>
        <v>9018.5797593003863</v>
      </c>
      <c r="JW15" s="110">
        <f t="shared" si="24"/>
        <v>9097.0666117164292</v>
      </c>
      <c r="JX15" s="110">
        <f t="shared" si="24"/>
        <v>9175.5343914525565</v>
      </c>
      <c r="JY15" s="110">
        <f t="shared" si="24"/>
        <v>9253.6613533920827</v>
      </c>
      <c r="JZ15" s="110">
        <f t="shared" si="24"/>
        <v>9331.1922321709371</v>
      </c>
      <c r="KA15" s="110">
        <f t="shared" si="24"/>
        <v>9408.552992684894</v>
      </c>
      <c r="KB15" s="110">
        <f t="shared" si="24"/>
        <v>9485.8641560465003</v>
      </c>
      <c r="KC15" s="110">
        <f t="shared" si="24"/>
        <v>9563.2589945818927</v>
      </c>
      <c r="KD15" s="110">
        <f t="shared" si="24"/>
        <v>9639.9055089352696</v>
      </c>
      <c r="KE15" s="110">
        <f t="shared" si="24"/>
        <v>9716.5181129692937</v>
      </c>
      <c r="KF15" s="110">
        <f t="shared" si="24"/>
        <v>9792.8580782036097</v>
      </c>
      <c r="KG15" s="110">
        <f t="shared" si="24"/>
        <v>9869.2140100659617</v>
      </c>
      <c r="KH15" s="110">
        <f t="shared" si="24"/>
        <v>9944.4127208025602</v>
      </c>
      <c r="KI15" s="110">
        <f t="shared" si="24"/>
        <v>10019.610301491211</v>
      </c>
      <c r="KJ15" s="110">
        <f t="shared" si="24"/>
        <v>10094.25637104835</v>
      </c>
      <c r="KK15" s="110">
        <f t="shared" si="24"/>
        <v>10168.698457258211</v>
      </c>
      <c r="KL15" s="110">
        <f t="shared" si="24"/>
        <v>10147.722028097345</v>
      </c>
      <c r="KM15" s="110">
        <f t="shared" si="24"/>
        <v>10126.821684185275</v>
      </c>
      <c r="KN15" s="110">
        <f t="shared" si="24"/>
        <v>10105.997149547238</v>
      </c>
      <c r="KO15" s="110">
        <f t="shared" si="24"/>
        <v>10085.248149209479</v>
      </c>
      <c r="KP15" s="110">
        <f t="shared" si="24"/>
        <v>10064.574409195624</v>
      </c>
    </row>
    <row r="17" spans="1:302" ht="14" customHeight="1" x14ac:dyDescent="0.2">
      <c r="A17" s="154" t="s">
        <v>451</v>
      </c>
      <c r="B17" s="155"/>
      <c r="C17" s="103"/>
      <c r="D17" s="103"/>
      <c r="E17" s="103"/>
      <c r="F17" s="103"/>
      <c r="G17" s="103"/>
      <c r="H17" s="103"/>
      <c r="I17" s="103"/>
      <c r="J17" s="103"/>
      <c r="K17" s="103"/>
      <c r="L17" s="103"/>
      <c r="M17" s="103"/>
      <c r="N17" s="103"/>
      <c r="O17" s="103"/>
      <c r="P17" s="103"/>
      <c r="Q17" s="103"/>
      <c r="R17" s="103"/>
      <c r="S17" s="103"/>
      <c r="T17" s="103"/>
      <c r="U17" s="103"/>
      <c r="V17" s="103"/>
      <c r="W17" s="103"/>
      <c r="X17" s="103"/>
      <c r="Y17" s="103"/>
      <c r="Z17" s="103"/>
      <c r="AA17" s="103"/>
      <c r="AB17" s="103"/>
      <c r="AC17" s="103"/>
      <c r="AD17" s="103"/>
      <c r="AE17" s="103"/>
      <c r="AF17" s="103"/>
      <c r="AG17" s="103"/>
      <c r="AH17" s="103"/>
      <c r="AI17" s="103"/>
      <c r="AJ17" s="103"/>
      <c r="AK17" s="103"/>
      <c r="AL17" s="103"/>
      <c r="AM17" s="103"/>
      <c r="AN17" s="103"/>
      <c r="AO17" s="103"/>
      <c r="AP17" s="103"/>
      <c r="AQ17" s="103"/>
      <c r="AR17" s="103"/>
      <c r="AS17" s="103"/>
      <c r="AT17" s="103"/>
      <c r="AU17" s="103"/>
      <c r="AV17" s="103"/>
      <c r="AW17" s="103"/>
      <c r="AX17" s="103"/>
      <c r="AY17" s="103"/>
      <c r="AZ17" s="103"/>
      <c r="BA17" s="103"/>
      <c r="BB17" s="103"/>
      <c r="BC17" s="103"/>
      <c r="BD17" s="103"/>
      <c r="BE17" s="103"/>
      <c r="BF17" s="103"/>
      <c r="BG17" s="103"/>
      <c r="BH17" s="103"/>
      <c r="BI17" s="103"/>
      <c r="BJ17" s="103"/>
      <c r="BK17" s="103"/>
      <c r="BL17" s="103"/>
      <c r="BM17" s="103"/>
      <c r="BN17" s="103"/>
      <c r="BO17" s="103"/>
      <c r="BP17" s="103"/>
      <c r="BQ17" s="103"/>
      <c r="BR17" s="103"/>
      <c r="BS17" s="103"/>
      <c r="BT17" s="103"/>
      <c r="BU17" s="103"/>
      <c r="BV17" s="103"/>
      <c r="BW17" s="103"/>
      <c r="BX17" s="103"/>
      <c r="BY17" s="103"/>
      <c r="BZ17" s="103"/>
      <c r="CA17" s="103"/>
      <c r="CB17" s="103"/>
      <c r="CC17" s="103"/>
      <c r="CD17" s="103"/>
      <c r="CE17" s="103"/>
      <c r="CF17" s="103"/>
      <c r="CG17" s="103"/>
      <c r="CH17" s="103"/>
      <c r="CI17" s="103"/>
      <c r="CJ17" s="103"/>
      <c r="CK17" s="103"/>
      <c r="CL17" s="103"/>
      <c r="CM17" s="103"/>
      <c r="CN17" s="103"/>
      <c r="CO17" s="103"/>
      <c r="CP17" s="103"/>
      <c r="CQ17" s="103"/>
      <c r="CR17" s="103"/>
      <c r="CS17" s="103"/>
      <c r="CT17" s="103"/>
      <c r="CU17" s="103"/>
      <c r="CV17" s="103"/>
      <c r="CW17" s="103"/>
      <c r="CX17" s="103"/>
      <c r="CY17" s="103"/>
      <c r="CZ17" s="103"/>
      <c r="DA17" s="103"/>
      <c r="DB17" s="103"/>
      <c r="DC17" s="103"/>
      <c r="DD17" s="103"/>
      <c r="DE17" s="103"/>
      <c r="DF17" s="103"/>
      <c r="DG17" s="103"/>
      <c r="DH17" s="103"/>
      <c r="DI17" s="103"/>
      <c r="DJ17" s="103"/>
      <c r="DK17" s="103"/>
      <c r="DL17" s="103"/>
      <c r="DM17" s="103"/>
      <c r="DN17" s="103"/>
      <c r="DO17" s="103"/>
      <c r="DP17" s="103"/>
      <c r="DQ17" s="103"/>
      <c r="DR17" s="103"/>
      <c r="DS17" s="103"/>
      <c r="DT17" s="103"/>
      <c r="DU17" s="103"/>
      <c r="DV17" s="103"/>
      <c r="DW17" s="103"/>
      <c r="DX17" s="103"/>
      <c r="DY17" s="103"/>
      <c r="DZ17" s="103"/>
      <c r="EA17" s="103"/>
      <c r="EB17" s="103"/>
      <c r="EC17" s="103"/>
      <c r="ED17" s="103"/>
      <c r="EE17" s="103"/>
      <c r="EF17" s="103"/>
      <c r="EG17" s="103"/>
      <c r="EH17" s="103"/>
      <c r="EI17" s="103"/>
      <c r="EJ17" s="103"/>
      <c r="EK17" s="103"/>
      <c r="EL17" s="103"/>
      <c r="EM17" s="103"/>
      <c r="EN17" s="103"/>
      <c r="EO17" s="103"/>
      <c r="EP17" s="103"/>
      <c r="EQ17" s="103"/>
      <c r="ER17" s="103"/>
      <c r="ES17" s="103"/>
      <c r="ET17" s="103"/>
      <c r="EU17" s="103"/>
      <c r="EV17" s="103"/>
      <c r="EW17" s="103"/>
      <c r="EX17" s="103"/>
      <c r="EY17" s="103"/>
      <c r="EZ17" s="103"/>
      <c r="FA17" s="103"/>
      <c r="FB17" s="103"/>
      <c r="FC17" s="103"/>
      <c r="FD17" s="103"/>
      <c r="FE17" s="103"/>
      <c r="FF17" s="103"/>
      <c r="FG17" s="103"/>
      <c r="FH17" s="103"/>
      <c r="FI17" s="103"/>
      <c r="FJ17" s="103"/>
      <c r="FK17" s="103"/>
      <c r="FL17" s="103"/>
      <c r="FM17" s="103"/>
      <c r="FN17" s="103"/>
      <c r="FO17" s="103"/>
      <c r="FP17" s="103"/>
      <c r="FQ17" s="103"/>
      <c r="FR17" s="103"/>
      <c r="FS17" s="103"/>
      <c r="FT17" s="103"/>
      <c r="FU17" s="103"/>
      <c r="FV17" s="103"/>
      <c r="FW17" s="103"/>
      <c r="FX17" s="103"/>
      <c r="FY17" s="103"/>
      <c r="FZ17" s="103"/>
      <c r="GA17" s="103"/>
      <c r="GB17" s="103"/>
      <c r="GC17" s="103"/>
      <c r="GD17" s="103"/>
      <c r="GE17" s="103"/>
      <c r="GF17" s="103"/>
      <c r="GG17" s="103"/>
      <c r="GH17" s="103"/>
      <c r="GI17" s="103"/>
      <c r="GJ17" s="103"/>
      <c r="GK17" s="103"/>
      <c r="GL17" s="103"/>
      <c r="GM17" s="103"/>
      <c r="GN17" s="103"/>
      <c r="GO17" s="103"/>
      <c r="GP17" s="103"/>
      <c r="GQ17" s="103"/>
      <c r="GR17" s="103"/>
      <c r="GS17" s="103"/>
      <c r="GT17" s="103"/>
      <c r="GU17" s="103"/>
      <c r="GV17" s="103"/>
      <c r="GW17" s="103"/>
      <c r="GX17" s="103"/>
      <c r="GY17" s="103"/>
      <c r="GZ17" s="103"/>
      <c r="HA17" s="103"/>
      <c r="HB17" s="103"/>
      <c r="HC17" s="103"/>
      <c r="HD17" s="103"/>
      <c r="HE17" s="103"/>
      <c r="HF17" s="103"/>
      <c r="HG17" s="103"/>
      <c r="HH17" s="103"/>
      <c r="HI17" s="103"/>
      <c r="HJ17" s="103"/>
      <c r="HK17" s="103"/>
      <c r="HL17" s="103"/>
      <c r="HM17" s="103"/>
      <c r="HN17" s="103"/>
      <c r="HO17" s="103"/>
      <c r="HP17" s="103"/>
      <c r="HQ17" s="103"/>
      <c r="HR17" s="103"/>
      <c r="HS17" s="103"/>
      <c r="HT17" s="103"/>
      <c r="HU17" s="103"/>
      <c r="HV17" s="103"/>
      <c r="HW17" s="103"/>
      <c r="HX17" s="103"/>
      <c r="HY17" s="103"/>
      <c r="HZ17" s="103"/>
      <c r="IA17" s="103"/>
      <c r="IB17" s="103"/>
      <c r="IC17" s="103"/>
      <c r="ID17" s="103"/>
      <c r="IE17" s="103"/>
      <c r="IF17" s="103"/>
      <c r="IG17" s="103"/>
      <c r="IH17" s="103"/>
      <c r="II17" s="103"/>
      <c r="IJ17" s="103"/>
      <c r="IK17" s="103"/>
      <c r="IL17" s="103"/>
      <c r="IM17" s="103"/>
      <c r="IN17" s="103"/>
      <c r="IO17" s="103"/>
      <c r="IP17" s="103"/>
      <c r="IQ17" s="103"/>
      <c r="IR17" s="103"/>
      <c r="IS17" s="103"/>
      <c r="IT17" s="103"/>
      <c r="IU17" s="103"/>
      <c r="IV17" s="103"/>
      <c r="IW17" s="103"/>
      <c r="IX17" s="103"/>
      <c r="IY17" s="103"/>
      <c r="IZ17" s="103"/>
      <c r="JA17" s="103"/>
      <c r="JB17" s="103"/>
      <c r="JC17" s="103"/>
      <c r="JD17" s="103"/>
      <c r="JE17" s="103"/>
      <c r="JF17" s="103"/>
      <c r="JG17" s="103"/>
      <c r="JH17" s="103"/>
      <c r="JI17" s="103"/>
      <c r="JJ17" s="103"/>
      <c r="JK17" s="103"/>
      <c r="JL17" s="103"/>
      <c r="JM17" s="103"/>
      <c r="JN17" s="103"/>
      <c r="JO17" s="103"/>
      <c r="JP17" s="103"/>
      <c r="JQ17" s="103"/>
      <c r="JR17" s="103"/>
      <c r="JS17" s="103"/>
      <c r="JT17" s="103"/>
      <c r="JU17" s="103"/>
      <c r="JV17" s="103"/>
      <c r="JW17" s="103"/>
      <c r="JX17" s="103"/>
      <c r="JY17" s="103"/>
      <c r="JZ17" s="103"/>
      <c r="KA17" s="103"/>
      <c r="KB17" s="103"/>
      <c r="KC17" s="103"/>
      <c r="KD17" s="103"/>
      <c r="KE17" s="103"/>
      <c r="KF17" s="103"/>
      <c r="KG17" s="103"/>
      <c r="KH17" s="103"/>
      <c r="KI17" s="103"/>
      <c r="KJ17" s="103"/>
      <c r="KK17" s="103"/>
      <c r="KL17" s="103"/>
      <c r="KM17" s="103"/>
      <c r="KN17" s="103"/>
      <c r="KO17" s="103"/>
      <c r="KP17" s="103"/>
    </row>
    <row r="18" spans="1:302" ht="16" customHeight="1" x14ac:dyDescent="0.2">
      <c r="A18" s="104" t="s">
        <v>440</v>
      </c>
      <c r="B18" s="105" t="s">
        <v>99</v>
      </c>
      <c r="C18" s="106">
        <f>Assumptions!$E$16*(1-Assumptions!$E$23)^0</f>
        <v>4464.5704999999989</v>
      </c>
      <c r="D18" s="106">
        <f>Assumptions!$E$16*(1-Assumptions!$E$23)^0</f>
        <v>4464.5704999999989</v>
      </c>
      <c r="E18" s="106">
        <f>Assumptions!$E$16*(1-Assumptions!$E$23)^0</f>
        <v>4464.5704999999989</v>
      </c>
      <c r="F18" s="106">
        <f>Assumptions!$E$16*(1-Assumptions!$E$23)^0</f>
        <v>4464.5704999999989</v>
      </c>
      <c r="G18" s="106">
        <f>Assumptions!$E$16*(1-Assumptions!$E$23)^0</f>
        <v>4464.5704999999989</v>
      </c>
      <c r="H18" s="106">
        <f>Assumptions!$E$16*(1-Assumptions!$E$23)^0</f>
        <v>4464.5704999999989</v>
      </c>
      <c r="I18" s="106">
        <f>Assumptions!$E$16*(1-Assumptions!$E$23)^0</f>
        <v>4464.5704999999989</v>
      </c>
      <c r="J18" s="106">
        <f>Assumptions!$E$16*(1-Assumptions!$E$23)^0</f>
        <v>4464.5704999999989</v>
      </c>
      <c r="K18" s="106">
        <f>Assumptions!$E$16*(1-Assumptions!$E$23)^0</f>
        <v>4464.5704999999989</v>
      </c>
      <c r="L18" s="106">
        <f>Assumptions!$E$16*(1-Assumptions!$E$23)^0</f>
        <v>4464.5704999999989</v>
      </c>
      <c r="M18" s="106">
        <f>Assumptions!$E$16*(1-Assumptions!$E$23)^0</f>
        <v>4464.5704999999989</v>
      </c>
      <c r="N18" s="106">
        <f>Assumptions!$E$16*(1-Assumptions!$E$23)^0</f>
        <v>4464.5704999999989</v>
      </c>
      <c r="O18" s="106">
        <f>Assumptions!$E$16*(1-Assumptions!$E$23)^1</f>
        <v>4442.2476474999985</v>
      </c>
      <c r="P18" s="106">
        <f>Assumptions!$E$16*(1-Assumptions!$E$23)^1</f>
        <v>4442.2476474999985</v>
      </c>
      <c r="Q18" s="106">
        <f>Assumptions!$E$16*(1-Assumptions!$E$23)^1</f>
        <v>4442.2476474999985</v>
      </c>
      <c r="R18" s="106">
        <f>Assumptions!$E$16*(1-Assumptions!$E$23)^1</f>
        <v>4442.2476474999985</v>
      </c>
      <c r="S18" s="106">
        <f>Assumptions!$E$16*(1-Assumptions!$E$23)^1</f>
        <v>4442.2476474999985</v>
      </c>
      <c r="T18" s="106">
        <f>Assumptions!$E$16*(1-Assumptions!$E$23)^1</f>
        <v>4442.2476474999985</v>
      </c>
      <c r="U18" s="106">
        <f>Assumptions!$E$16*(1-Assumptions!$E$23)^1</f>
        <v>4442.2476474999985</v>
      </c>
      <c r="V18" s="106">
        <f>Assumptions!$E$16*(1-Assumptions!$E$23)^1</f>
        <v>4442.2476474999985</v>
      </c>
      <c r="W18" s="106">
        <f>Assumptions!$E$16*(1-Assumptions!$E$23)^1</f>
        <v>4442.2476474999985</v>
      </c>
      <c r="X18" s="106">
        <f>Assumptions!$E$16*(1-Assumptions!$E$23)^1</f>
        <v>4442.2476474999985</v>
      </c>
      <c r="Y18" s="106">
        <f>Assumptions!$E$16*(1-Assumptions!$E$23)^1</f>
        <v>4442.2476474999985</v>
      </c>
      <c r="Z18" s="106">
        <f>Assumptions!$E$16*(1-Assumptions!$E$23)^1</f>
        <v>4442.2476474999985</v>
      </c>
      <c r="AA18" s="106">
        <f>Assumptions!$E$16*(1-Assumptions!$E$23)^2</f>
        <v>4420.0364092624995</v>
      </c>
      <c r="AB18" s="106">
        <f>Assumptions!$E$16*(1-Assumptions!$E$23)^2</f>
        <v>4420.0364092624995</v>
      </c>
      <c r="AC18" s="106">
        <f>Assumptions!$E$16*(1-Assumptions!$E$23)^2</f>
        <v>4420.0364092624995</v>
      </c>
      <c r="AD18" s="106">
        <f>Assumptions!$E$16*(1-Assumptions!$E$23)^2</f>
        <v>4420.0364092624995</v>
      </c>
      <c r="AE18" s="106">
        <f>Assumptions!$E$16*(1-Assumptions!$E$23)^2</f>
        <v>4420.0364092624995</v>
      </c>
      <c r="AF18" s="106">
        <f>Assumptions!$E$16*(1-Assumptions!$E$23)^2</f>
        <v>4420.0364092624995</v>
      </c>
      <c r="AG18" s="106">
        <f>Assumptions!$E$16*(1-Assumptions!$E$23)^2</f>
        <v>4420.0364092624995</v>
      </c>
      <c r="AH18" s="106">
        <f>Assumptions!$E$16*(1-Assumptions!$E$23)^2</f>
        <v>4420.0364092624995</v>
      </c>
      <c r="AI18" s="106">
        <f>Assumptions!$E$16*(1-Assumptions!$E$23)^2</f>
        <v>4420.0364092624995</v>
      </c>
      <c r="AJ18" s="106">
        <f>Assumptions!$E$16*(1-Assumptions!$E$23)^2</f>
        <v>4420.0364092624995</v>
      </c>
      <c r="AK18" s="106">
        <f>Assumptions!$E$16*(1-Assumptions!$E$23)^2</f>
        <v>4420.0364092624995</v>
      </c>
      <c r="AL18" s="106">
        <f>Assumptions!$E$16*(1-Assumptions!$E$23)^2</f>
        <v>4420.0364092624995</v>
      </c>
      <c r="AM18" s="106">
        <f>Assumptions!$E$16*(1-Assumptions!$E$23)^3</f>
        <v>4397.9362272161861</v>
      </c>
      <c r="AN18" s="106">
        <f>Assumptions!$E$16*(1-Assumptions!$E$23)^3</f>
        <v>4397.9362272161861</v>
      </c>
      <c r="AO18" s="106">
        <f>Assumptions!$E$16*(1-Assumptions!$E$23)^3</f>
        <v>4397.9362272161861</v>
      </c>
      <c r="AP18" s="106">
        <f>Assumptions!$E$16*(1-Assumptions!$E$23)^3</f>
        <v>4397.9362272161861</v>
      </c>
      <c r="AQ18" s="106">
        <f>Assumptions!$E$16*(1-Assumptions!$E$23)^3</f>
        <v>4397.9362272161861</v>
      </c>
      <c r="AR18" s="106">
        <f>Assumptions!$E$16*(1-Assumptions!$E$23)^3</f>
        <v>4397.9362272161861</v>
      </c>
      <c r="AS18" s="106">
        <f>Assumptions!$E$16*(1-Assumptions!$E$23)^3</f>
        <v>4397.9362272161861</v>
      </c>
      <c r="AT18" s="106">
        <f>Assumptions!$E$16*(1-Assumptions!$E$23)^3</f>
        <v>4397.9362272161861</v>
      </c>
      <c r="AU18" s="106">
        <f>Assumptions!$E$16*(1-Assumptions!$E$23)^3</f>
        <v>4397.9362272161861</v>
      </c>
      <c r="AV18" s="106">
        <f>Assumptions!$E$16*(1-Assumptions!$E$23)^3</f>
        <v>4397.9362272161861</v>
      </c>
      <c r="AW18" s="106">
        <f>Assumptions!$E$16*(1-Assumptions!$E$23)^3</f>
        <v>4397.9362272161861</v>
      </c>
      <c r="AX18" s="106">
        <f>Assumptions!$E$16*(1-Assumptions!$E$23)^3</f>
        <v>4397.9362272161861</v>
      </c>
      <c r="AY18" s="106">
        <f>Assumptions!$E$16*(1-Assumptions!$E$23)^4</f>
        <v>4375.9465460801057</v>
      </c>
      <c r="AZ18" s="106">
        <f>Assumptions!$E$16*(1-Assumptions!$E$23)^4</f>
        <v>4375.9465460801057</v>
      </c>
      <c r="BA18" s="106">
        <f>Assumptions!$E$16*(1-Assumptions!$E$23)^4</f>
        <v>4375.9465460801057</v>
      </c>
      <c r="BB18" s="106">
        <f>Assumptions!$E$16*(1-Assumptions!$E$23)^4</f>
        <v>4375.9465460801057</v>
      </c>
      <c r="BC18" s="106">
        <f>Assumptions!$E$16*(1-Assumptions!$E$23)^4</f>
        <v>4375.9465460801057</v>
      </c>
      <c r="BD18" s="106">
        <f>Assumptions!$E$16*(1-Assumptions!$E$23)^4</f>
        <v>4375.9465460801057</v>
      </c>
      <c r="BE18" s="106">
        <f>Assumptions!$E$16*(1-Assumptions!$E$23)^4</f>
        <v>4375.9465460801057</v>
      </c>
      <c r="BF18" s="106">
        <f>Assumptions!$E$16*(1-Assumptions!$E$23)^4</f>
        <v>4375.9465460801057</v>
      </c>
      <c r="BG18" s="106">
        <f>Assumptions!$E$16*(1-Assumptions!$E$23)^4</f>
        <v>4375.9465460801057</v>
      </c>
      <c r="BH18" s="106">
        <f>Assumptions!$E$16*(1-Assumptions!$E$23)^4</f>
        <v>4375.9465460801057</v>
      </c>
      <c r="BI18" s="106">
        <f>Assumptions!$E$16*(1-Assumptions!$E$23)^4</f>
        <v>4375.9465460801057</v>
      </c>
      <c r="BJ18" s="106">
        <f>Assumptions!$E$16*(1-Assumptions!$E$23)^4</f>
        <v>4375.9465460801057</v>
      </c>
      <c r="BK18" s="106">
        <f>Assumptions!$E$16*(1-Assumptions!$E$23)^5</f>
        <v>4354.0668133497056</v>
      </c>
      <c r="BL18" s="106">
        <f>Assumptions!$E$16*(1-Assumptions!$E$23)^5</f>
        <v>4354.0668133497056</v>
      </c>
      <c r="BM18" s="106">
        <f>Assumptions!$E$16*(1-Assumptions!$E$23)^5</f>
        <v>4354.0668133497056</v>
      </c>
      <c r="BN18" s="106">
        <f>Assumptions!$E$16*(1-Assumptions!$E$23)^5</f>
        <v>4354.0668133497056</v>
      </c>
      <c r="BO18" s="106">
        <f>Assumptions!$E$16*(1-Assumptions!$E$23)^5</f>
        <v>4354.0668133497056</v>
      </c>
      <c r="BP18" s="106">
        <f>Assumptions!$E$16*(1-Assumptions!$E$23)^5</f>
        <v>4354.0668133497056</v>
      </c>
      <c r="BQ18" s="106">
        <f>Assumptions!$E$16*(1-Assumptions!$E$23)^5</f>
        <v>4354.0668133497056</v>
      </c>
      <c r="BR18" s="106">
        <f>Assumptions!$E$16*(1-Assumptions!$E$23)^5</f>
        <v>4354.0668133497056</v>
      </c>
      <c r="BS18" s="106">
        <f>Assumptions!$E$16*(1-Assumptions!$E$23)^5</f>
        <v>4354.0668133497056</v>
      </c>
      <c r="BT18" s="106">
        <f>Assumptions!$E$16*(1-Assumptions!$E$23)^5</f>
        <v>4354.0668133497056</v>
      </c>
      <c r="BU18" s="106">
        <f>Assumptions!$E$16*(1-Assumptions!$E$23)^5</f>
        <v>4354.0668133497056</v>
      </c>
      <c r="BV18" s="106">
        <f>Assumptions!$E$16*(1-Assumptions!$E$23)^5</f>
        <v>4354.0668133497056</v>
      </c>
      <c r="BW18" s="106">
        <f>Assumptions!$E$16*(1-Assumptions!$E$23)^6</f>
        <v>4332.2964792829571</v>
      </c>
      <c r="BX18" s="106">
        <f>Assumptions!$E$16*(1-Assumptions!$E$23)^6</f>
        <v>4332.2964792829571</v>
      </c>
      <c r="BY18" s="106">
        <f>Assumptions!$E$16*(1-Assumptions!$E$23)^6</f>
        <v>4332.2964792829571</v>
      </c>
      <c r="BZ18" s="106">
        <f>Assumptions!$E$16*(1-Assumptions!$E$23)^6</f>
        <v>4332.2964792829571</v>
      </c>
      <c r="CA18" s="106">
        <f>Assumptions!$E$16*(1-Assumptions!$E$23)^6</f>
        <v>4332.2964792829571</v>
      </c>
      <c r="CB18" s="106">
        <f>Assumptions!$E$16*(1-Assumptions!$E$23)^6</f>
        <v>4332.2964792829571</v>
      </c>
      <c r="CC18" s="106">
        <f>Assumptions!$E$16*(1-Assumptions!$E$23)^6</f>
        <v>4332.2964792829571</v>
      </c>
      <c r="CD18" s="106">
        <f>Assumptions!$E$16*(1-Assumptions!$E$23)^6</f>
        <v>4332.2964792829571</v>
      </c>
      <c r="CE18" s="106">
        <f>Assumptions!$E$16*(1-Assumptions!$E$23)^6</f>
        <v>4332.2964792829571</v>
      </c>
      <c r="CF18" s="106">
        <f>Assumptions!$E$16*(1-Assumptions!$E$23)^6</f>
        <v>4332.2964792829571</v>
      </c>
      <c r="CG18" s="106">
        <f>Assumptions!$E$16*(1-Assumptions!$E$23)^6</f>
        <v>4332.2964792829571</v>
      </c>
      <c r="CH18" s="106">
        <f>Assumptions!$E$16*(1-Assumptions!$E$23)^6</f>
        <v>4332.2964792829571</v>
      </c>
      <c r="CI18" s="106">
        <f>Assumptions!$E$16*(1-Assumptions!$E$23)^7</f>
        <v>4310.6349968865416</v>
      </c>
      <c r="CJ18" s="106">
        <f>Assumptions!$E$16*(1-Assumptions!$E$23)^7</f>
        <v>4310.6349968865416</v>
      </c>
      <c r="CK18" s="106">
        <f>Assumptions!$E$16*(1-Assumptions!$E$23)^7</f>
        <v>4310.6349968865416</v>
      </c>
      <c r="CL18" s="106">
        <f>Assumptions!$E$16*(1-Assumptions!$E$23)^7</f>
        <v>4310.6349968865416</v>
      </c>
      <c r="CM18" s="106">
        <f>Assumptions!$E$16*(1-Assumptions!$E$23)^7</f>
        <v>4310.6349968865416</v>
      </c>
      <c r="CN18" s="106">
        <f>Assumptions!$E$16*(1-Assumptions!$E$23)^7</f>
        <v>4310.6349968865416</v>
      </c>
      <c r="CO18" s="106">
        <f>Assumptions!$E$16*(1-Assumptions!$E$23)^7</f>
        <v>4310.6349968865416</v>
      </c>
      <c r="CP18" s="106">
        <f>Assumptions!$E$16*(1-Assumptions!$E$23)^7</f>
        <v>4310.6349968865416</v>
      </c>
      <c r="CQ18" s="106">
        <f>Assumptions!$E$16*(1-Assumptions!$E$23)^7</f>
        <v>4310.6349968865416</v>
      </c>
      <c r="CR18" s="106">
        <f>Assumptions!$E$16*(1-Assumptions!$E$23)^7</f>
        <v>4310.6349968865416</v>
      </c>
      <c r="CS18" s="106">
        <f>Assumptions!$E$16*(1-Assumptions!$E$23)^7</f>
        <v>4310.6349968865416</v>
      </c>
      <c r="CT18" s="106">
        <f>Assumptions!$E$16*(1-Assumptions!$E$23)^7</f>
        <v>4310.6349968865416</v>
      </c>
      <c r="CU18" s="106">
        <f>Assumptions!$E$16*(1-Assumptions!$E$23)^8</f>
        <v>4289.0818219021094</v>
      </c>
      <c r="CV18" s="106">
        <f>Assumptions!$E$16*(1-Assumptions!$E$23)^8</f>
        <v>4289.0818219021094</v>
      </c>
      <c r="CW18" s="106">
        <f>Assumptions!$E$16*(1-Assumptions!$E$23)^8</f>
        <v>4289.0818219021094</v>
      </c>
      <c r="CX18" s="106">
        <f>Assumptions!$E$16*(1-Assumptions!$E$23)^8</f>
        <v>4289.0818219021094</v>
      </c>
      <c r="CY18" s="106">
        <f>Assumptions!$E$16*(1-Assumptions!$E$23)^8</f>
        <v>4289.0818219021094</v>
      </c>
      <c r="CZ18" s="106">
        <f>Assumptions!$E$16*(1-Assumptions!$E$23)^8</f>
        <v>4289.0818219021094</v>
      </c>
      <c r="DA18" s="106">
        <f>Assumptions!$E$16*(1-Assumptions!$E$23)^8</f>
        <v>4289.0818219021094</v>
      </c>
      <c r="DB18" s="106">
        <f>Assumptions!$E$16*(1-Assumptions!$E$23)^8</f>
        <v>4289.0818219021094</v>
      </c>
      <c r="DC18" s="106">
        <f>Assumptions!$E$16*(1-Assumptions!$E$23)^8</f>
        <v>4289.0818219021094</v>
      </c>
      <c r="DD18" s="106">
        <f>Assumptions!$E$16*(1-Assumptions!$E$23)^8</f>
        <v>4289.0818219021094</v>
      </c>
      <c r="DE18" s="106">
        <f>Assumptions!$E$16*(1-Assumptions!$E$23)^8</f>
        <v>4289.0818219021094</v>
      </c>
      <c r="DF18" s="106">
        <f>Assumptions!$E$16*(1-Assumptions!$E$23)^8</f>
        <v>4289.0818219021094</v>
      </c>
      <c r="DG18" s="106">
        <f>Assumptions!$E$16*(1-Assumptions!$E$23)^9</f>
        <v>4267.6364127925981</v>
      </c>
      <c r="DH18" s="106">
        <f>Assumptions!$E$16*(1-Assumptions!$E$23)^9</f>
        <v>4267.6364127925981</v>
      </c>
      <c r="DI18" s="106">
        <f>Assumptions!$E$16*(1-Assumptions!$E$23)^9</f>
        <v>4267.6364127925981</v>
      </c>
      <c r="DJ18" s="106">
        <f>Assumptions!$E$16*(1-Assumptions!$E$23)^9</f>
        <v>4267.6364127925981</v>
      </c>
      <c r="DK18" s="106">
        <f>Assumptions!$E$16*(1-Assumptions!$E$23)^9</f>
        <v>4267.6364127925981</v>
      </c>
      <c r="DL18" s="106">
        <f>Assumptions!$E$16*(1-Assumptions!$E$23)^9</f>
        <v>4267.6364127925981</v>
      </c>
      <c r="DM18" s="106">
        <f>Assumptions!$E$16*(1-Assumptions!$E$23)^9</f>
        <v>4267.6364127925981</v>
      </c>
      <c r="DN18" s="106">
        <f>Assumptions!$E$16*(1-Assumptions!$E$23)^9</f>
        <v>4267.6364127925981</v>
      </c>
      <c r="DO18" s="106">
        <f>Assumptions!$E$16*(1-Assumptions!$E$23)^9</f>
        <v>4267.6364127925981</v>
      </c>
      <c r="DP18" s="106">
        <f>Assumptions!$E$16*(1-Assumptions!$E$23)^9</f>
        <v>4267.6364127925981</v>
      </c>
      <c r="DQ18" s="106">
        <f>Assumptions!$E$16*(1-Assumptions!$E$23)^9</f>
        <v>4267.6364127925981</v>
      </c>
      <c r="DR18" s="106">
        <f>Assumptions!$E$16*(1-Assumptions!$E$23)^9</f>
        <v>4267.6364127925981</v>
      </c>
      <c r="DS18" s="106">
        <f>Assumptions!$E$16*(1-Assumptions!$E$23)^10</f>
        <v>4246.2982307286356</v>
      </c>
      <c r="DT18" s="106">
        <f>Assumptions!$E$16*(1-Assumptions!$E$23)^10</f>
        <v>4246.2982307286356</v>
      </c>
      <c r="DU18" s="106">
        <f>Assumptions!$E$16*(1-Assumptions!$E$23)^10</f>
        <v>4246.2982307286356</v>
      </c>
      <c r="DV18" s="106">
        <f>Assumptions!$E$16*(1-Assumptions!$E$23)^10</f>
        <v>4246.2982307286356</v>
      </c>
      <c r="DW18" s="106">
        <f>Assumptions!$E$16*(1-Assumptions!$E$23)^10</f>
        <v>4246.2982307286356</v>
      </c>
      <c r="DX18" s="106">
        <f>Assumptions!$E$16*(1-Assumptions!$E$23)^10</f>
        <v>4246.2982307286356</v>
      </c>
      <c r="DY18" s="106">
        <f>Assumptions!$E$16*(1-Assumptions!$E$23)^10</f>
        <v>4246.2982307286356</v>
      </c>
      <c r="DZ18" s="106">
        <f>Assumptions!$E$16*(1-Assumptions!$E$23)^10</f>
        <v>4246.2982307286356</v>
      </c>
      <c r="EA18" s="106">
        <f>Assumptions!$E$16*(1-Assumptions!$E$23)^10</f>
        <v>4246.2982307286356</v>
      </c>
      <c r="EB18" s="106">
        <f>Assumptions!$E$16*(1-Assumptions!$E$23)^10</f>
        <v>4246.2982307286356</v>
      </c>
      <c r="EC18" s="106">
        <f>Assumptions!$E$16*(1-Assumptions!$E$23)^10</f>
        <v>4246.2982307286356</v>
      </c>
      <c r="ED18" s="106">
        <f>Assumptions!$E$16*(1-Assumptions!$E$23)^10</f>
        <v>4246.2982307286356</v>
      </c>
      <c r="EE18" s="106">
        <f>Assumptions!$E$16*(1-Assumptions!$E$23)^11</f>
        <v>4225.0667395749924</v>
      </c>
      <c r="EF18" s="106">
        <f>Assumptions!$E$16*(1-Assumptions!$E$23)^11</f>
        <v>4225.0667395749924</v>
      </c>
      <c r="EG18" s="106">
        <f>Assumptions!$E$16*(1-Assumptions!$E$23)^11</f>
        <v>4225.0667395749924</v>
      </c>
      <c r="EH18" s="106">
        <f>Assumptions!$E$16*(1-Assumptions!$E$23)^11</f>
        <v>4225.0667395749924</v>
      </c>
      <c r="EI18" s="106">
        <f>Assumptions!$E$16*(1-Assumptions!$E$23)^11</f>
        <v>4225.0667395749924</v>
      </c>
      <c r="EJ18" s="106">
        <f>Assumptions!$E$16*(1-Assumptions!$E$23)^11</f>
        <v>4225.0667395749924</v>
      </c>
      <c r="EK18" s="106">
        <f>Assumptions!$E$16*(1-Assumptions!$E$23)^11</f>
        <v>4225.0667395749924</v>
      </c>
      <c r="EL18" s="106">
        <f>Assumptions!$E$16*(1-Assumptions!$E$23)^11</f>
        <v>4225.0667395749924</v>
      </c>
      <c r="EM18" s="106">
        <f>Assumptions!$E$16*(1-Assumptions!$E$23)^11</f>
        <v>4225.0667395749924</v>
      </c>
      <c r="EN18" s="106">
        <f>Assumptions!$E$16*(1-Assumptions!$E$23)^11</f>
        <v>4225.0667395749924</v>
      </c>
      <c r="EO18" s="106">
        <f>Assumptions!$E$16*(1-Assumptions!$E$23)^11</f>
        <v>4225.0667395749924</v>
      </c>
      <c r="EP18" s="106">
        <f>Assumptions!$E$16*(1-Assumptions!$E$23)^11</f>
        <v>4225.0667395749924</v>
      </c>
      <c r="EQ18" s="106">
        <f>Assumptions!$E$16*(1-Assumptions!$E$23)^12</f>
        <v>4203.9414058771181</v>
      </c>
      <c r="ER18" s="106">
        <f>Assumptions!$E$16*(1-Assumptions!$E$23)^12</f>
        <v>4203.9414058771181</v>
      </c>
      <c r="ES18" s="106">
        <f>Assumptions!$E$16*(1-Assumptions!$E$23)^12</f>
        <v>4203.9414058771181</v>
      </c>
      <c r="ET18" s="106">
        <f>Assumptions!$E$16*(1-Assumptions!$E$23)^12</f>
        <v>4203.9414058771181</v>
      </c>
      <c r="EU18" s="106">
        <f>Assumptions!$E$16*(1-Assumptions!$E$23)^12</f>
        <v>4203.9414058771181</v>
      </c>
      <c r="EV18" s="106">
        <f>Assumptions!$E$16*(1-Assumptions!$E$23)^12</f>
        <v>4203.9414058771181</v>
      </c>
      <c r="EW18" s="106">
        <f>Assumptions!$E$16*(1-Assumptions!$E$23)^12</f>
        <v>4203.9414058771181</v>
      </c>
      <c r="EX18" s="106">
        <f>Assumptions!$E$16*(1-Assumptions!$E$23)^12</f>
        <v>4203.9414058771181</v>
      </c>
      <c r="EY18" s="106">
        <f>Assumptions!$E$16*(1-Assumptions!$E$23)^12</f>
        <v>4203.9414058771181</v>
      </c>
      <c r="EZ18" s="106">
        <f>Assumptions!$E$16*(1-Assumptions!$E$23)^12</f>
        <v>4203.9414058771181</v>
      </c>
      <c r="FA18" s="106">
        <f>Assumptions!$E$16*(1-Assumptions!$E$23)^12</f>
        <v>4203.9414058771181</v>
      </c>
      <c r="FB18" s="106">
        <f>Assumptions!$E$16*(1-Assumptions!$E$23)^12</f>
        <v>4203.9414058771181</v>
      </c>
      <c r="FC18" s="106">
        <f>Assumptions!$E$16*(1-Assumptions!$E$23)^13</f>
        <v>4182.9216988477328</v>
      </c>
      <c r="FD18" s="106">
        <f>Assumptions!$E$16*(1-Assumptions!$E$23)^13</f>
        <v>4182.9216988477328</v>
      </c>
      <c r="FE18" s="106">
        <f>Assumptions!$E$16*(1-Assumptions!$E$23)^13</f>
        <v>4182.9216988477328</v>
      </c>
      <c r="FF18" s="106">
        <f>Assumptions!$E$16*(1-Assumptions!$E$23)^13</f>
        <v>4182.9216988477328</v>
      </c>
      <c r="FG18" s="106">
        <f>Assumptions!$E$16*(1-Assumptions!$E$23)^13</f>
        <v>4182.9216988477328</v>
      </c>
      <c r="FH18" s="106">
        <f>Assumptions!$E$16*(1-Assumptions!$E$23)^13</f>
        <v>4182.9216988477328</v>
      </c>
      <c r="FI18" s="106">
        <f>Assumptions!$E$16*(1-Assumptions!$E$23)^13</f>
        <v>4182.9216988477328</v>
      </c>
      <c r="FJ18" s="106">
        <f>Assumptions!$E$16*(1-Assumptions!$E$23)^13</f>
        <v>4182.9216988477328</v>
      </c>
      <c r="FK18" s="106">
        <f>Assumptions!$E$16*(1-Assumptions!$E$23)^13</f>
        <v>4182.9216988477328</v>
      </c>
      <c r="FL18" s="106">
        <f>Assumptions!$E$16*(1-Assumptions!$E$23)^13</f>
        <v>4182.9216988477328</v>
      </c>
      <c r="FM18" s="106">
        <f>Assumptions!$E$16*(1-Assumptions!$E$23)^13</f>
        <v>4182.9216988477328</v>
      </c>
      <c r="FN18" s="106">
        <f>Assumptions!$E$16*(1-Assumptions!$E$23)^13</f>
        <v>4182.9216988477328</v>
      </c>
      <c r="FO18" s="106">
        <f>Assumptions!$E$16*(1-Assumptions!$E$23)^14</f>
        <v>4162.0070903534943</v>
      </c>
      <c r="FP18" s="106">
        <f>Assumptions!$E$16*(1-Assumptions!$E$23)^14</f>
        <v>4162.0070903534943</v>
      </c>
      <c r="FQ18" s="106">
        <f>Assumptions!$E$16*(1-Assumptions!$E$23)^14</f>
        <v>4162.0070903534943</v>
      </c>
      <c r="FR18" s="106">
        <f>Assumptions!$E$16*(1-Assumptions!$E$23)^14</f>
        <v>4162.0070903534943</v>
      </c>
      <c r="FS18" s="106">
        <f>Assumptions!$E$16*(1-Assumptions!$E$23)^14</f>
        <v>4162.0070903534943</v>
      </c>
      <c r="FT18" s="106">
        <f>Assumptions!$E$16*(1-Assumptions!$E$23)^14</f>
        <v>4162.0070903534943</v>
      </c>
      <c r="FU18" s="106">
        <f>Assumptions!$E$16*(1-Assumptions!$E$23)^14</f>
        <v>4162.0070903534943</v>
      </c>
      <c r="FV18" s="106">
        <f>Assumptions!$E$16*(1-Assumptions!$E$23)^14</f>
        <v>4162.0070903534943</v>
      </c>
      <c r="FW18" s="106">
        <f>Assumptions!$E$16*(1-Assumptions!$E$23)^14</f>
        <v>4162.0070903534943</v>
      </c>
      <c r="FX18" s="106">
        <f>Assumptions!$E$16*(1-Assumptions!$E$23)^14</f>
        <v>4162.0070903534943</v>
      </c>
      <c r="FY18" s="106">
        <f>Assumptions!$E$16*(1-Assumptions!$E$23)^14</f>
        <v>4162.0070903534943</v>
      </c>
      <c r="FZ18" s="106">
        <f>Assumptions!$E$16*(1-Assumptions!$E$23)^14</f>
        <v>4162.0070903534943</v>
      </c>
      <c r="GA18" s="106">
        <f>Assumptions!$E$16*(1-Assumptions!$E$23)^15</f>
        <v>4141.197054901726</v>
      </c>
      <c r="GB18" s="106">
        <f>Assumptions!$E$16*(1-Assumptions!$E$23)^15</f>
        <v>4141.197054901726</v>
      </c>
      <c r="GC18" s="106">
        <f>Assumptions!$E$16*(1-Assumptions!$E$23)^15</f>
        <v>4141.197054901726</v>
      </c>
      <c r="GD18" s="106">
        <f>Assumptions!$E$16*(1-Assumptions!$E$23)^15</f>
        <v>4141.197054901726</v>
      </c>
      <c r="GE18" s="106">
        <f>Assumptions!$E$16*(1-Assumptions!$E$23)^15</f>
        <v>4141.197054901726</v>
      </c>
      <c r="GF18" s="106">
        <f>Assumptions!$E$16*(1-Assumptions!$E$23)^15</f>
        <v>4141.197054901726</v>
      </c>
      <c r="GG18" s="106">
        <f>Assumptions!$E$16*(1-Assumptions!$E$23)^15</f>
        <v>4141.197054901726</v>
      </c>
      <c r="GH18" s="106">
        <f>Assumptions!$E$16*(1-Assumptions!$E$23)^15</f>
        <v>4141.197054901726</v>
      </c>
      <c r="GI18" s="106">
        <f>Assumptions!$E$16*(1-Assumptions!$E$23)^15</f>
        <v>4141.197054901726</v>
      </c>
      <c r="GJ18" s="106">
        <f>Assumptions!$E$16*(1-Assumptions!$E$23)^15</f>
        <v>4141.197054901726</v>
      </c>
      <c r="GK18" s="106">
        <f>Assumptions!$E$16*(1-Assumptions!$E$23)^15</f>
        <v>4141.197054901726</v>
      </c>
      <c r="GL18" s="106">
        <f>Assumptions!$E$16*(1-Assumptions!$E$23)^15</f>
        <v>4141.197054901726</v>
      </c>
      <c r="GM18" s="106">
        <f>Assumptions!$E$16*(1-Assumptions!$E$23)^16</f>
        <v>4120.4910696272173</v>
      </c>
      <c r="GN18" s="106">
        <f>Assumptions!$E$16*(1-Assumptions!$E$23)^16</f>
        <v>4120.4910696272173</v>
      </c>
      <c r="GO18" s="106">
        <f>Assumptions!$E$16*(1-Assumptions!$E$23)^16</f>
        <v>4120.4910696272173</v>
      </c>
      <c r="GP18" s="106">
        <f>Assumptions!$E$16*(1-Assumptions!$E$23)^16</f>
        <v>4120.4910696272173</v>
      </c>
      <c r="GQ18" s="106">
        <f>Assumptions!$E$16*(1-Assumptions!$E$23)^16</f>
        <v>4120.4910696272173</v>
      </c>
      <c r="GR18" s="106">
        <f>Assumptions!$E$16*(1-Assumptions!$E$23)^16</f>
        <v>4120.4910696272173</v>
      </c>
      <c r="GS18" s="106">
        <f>Assumptions!$E$16*(1-Assumptions!$E$23)^16</f>
        <v>4120.4910696272173</v>
      </c>
      <c r="GT18" s="106">
        <f>Assumptions!$E$16*(1-Assumptions!$E$23)^16</f>
        <v>4120.4910696272173</v>
      </c>
      <c r="GU18" s="106">
        <f>Assumptions!$E$16*(1-Assumptions!$E$23)^16</f>
        <v>4120.4910696272173</v>
      </c>
      <c r="GV18" s="106">
        <f>Assumptions!$E$16*(1-Assumptions!$E$23)^16</f>
        <v>4120.4910696272173</v>
      </c>
      <c r="GW18" s="106">
        <f>Assumptions!$E$16*(1-Assumptions!$E$23)^16</f>
        <v>4120.4910696272173</v>
      </c>
      <c r="GX18" s="106">
        <f>Assumptions!$E$16*(1-Assumptions!$E$23)^16</f>
        <v>4120.4910696272173</v>
      </c>
      <c r="GY18" s="106">
        <f>Assumptions!$E$16*(1-Assumptions!$E$23)^17</f>
        <v>4099.8886142790816</v>
      </c>
      <c r="GZ18" s="106">
        <f>Assumptions!$E$16*(1-Assumptions!$E$23)^17</f>
        <v>4099.8886142790816</v>
      </c>
      <c r="HA18" s="106">
        <f>Assumptions!$E$16*(1-Assumptions!$E$23)^17</f>
        <v>4099.8886142790816</v>
      </c>
      <c r="HB18" s="106">
        <f>Assumptions!$E$16*(1-Assumptions!$E$23)^17</f>
        <v>4099.8886142790816</v>
      </c>
      <c r="HC18" s="106">
        <f>Assumptions!$E$16*(1-Assumptions!$E$23)^17</f>
        <v>4099.8886142790816</v>
      </c>
      <c r="HD18" s="106">
        <f>Assumptions!$E$16*(1-Assumptions!$E$23)^17</f>
        <v>4099.8886142790816</v>
      </c>
      <c r="HE18" s="106">
        <f>Assumptions!$E$16*(1-Assumptions!$E$23)^17</f>
        <v>4099.8886142790816</v>
      </c>
      <c r="HF18" s="106">
        <f>Assumptions!$E$16*(1-Assumptions!$E$23)^17</f>
        <v>4099.8886142790816</v>
      </c>
      <c r="HG18" s="106">
        <f>Assumptions!$E$16*(1-Assumptions!$E$23)^17</f>
        <v>4099.8886142790816</v>
      </c>
      <c r="HH18" s="106">
        <f>Assumptions!$E$16*(1-Assumptions!$E$23)^17</f>
        <v>4099.8886142790816</v>
      </c>
      <c r="HI18" s="106">
        <f>Assumptions!$E$16*(1-Assumptions!$E$23)^17</f>
        <v>4099.8886142790816</v>
      </c>
      <c r="HJ18" s="106">
        <f>Assumptions!$E$16*(1-Assumptions!$E$23)^17</f>
        <v>4099.8886142790816</v>
      </c>
      <c r="HK18" s="106">
        <f>Assumptions!$E$16*(1-Assumptions!$E$23)^18</f>
        <v>4079.3891712076861</v>
      </c>
      <c r="HL18" s="106">
        <f>Assumptions!$E$16*(1-Assumptions!$E$23)^18</f>
        <v>4079.3891712076861</v>
      </c>
      <c r="HM18" s="106">
        <f>Assumptions!$E$16*(1-Assumptions!$E$23)^18</f>
        <v>4079.3891712076861</v>
      </c>
      <c r="HN18" s="106">
        <f>Assumptions!$E$16*(1-Assumptions!$E$23)^18</f>
        <v>4079.3891712076861</v>
      </c>
      <c r="HO18" s="106">
        <f>Assumptions!$E$16*(1-Assumptions!$E$23)^18</f>
        <v>4079.3891712076861</v>
      </c>
      <c r="HP18" s="106">
        <f>Assumptions!$E$16*(1-Assumptions!$E$23)^18</f>
        <v>4079.3891712076861</v>
      </c>
      <c r="HQ18" s="106">
        <f>Assumptions!$E$16*(1-Assumptions!$E$23)^18</f>
        <v>4079.3891712076861</v>
      </c>
      <c r="HR18" s="106">
        <f>Assumptions!$E$16*(1-Assumptions!$E$23)^18</f>
        <v>4079.3891712076861</v>
      </c>
      <c r="HS18" s="106">
        <f>Assumptions!$E$16*(1-Assumptions!$E$23)^18</f>
        <v>4079.3891712076861</v>
      </c>
      <c r="HT18" s="106">
        <f>Assumptions!$E$16*(1-Assumptions!$E$23)^18</f>
        <v>4079.3891712076861</v>
      </c>
      <c r="HU18" s="106">
        <f>Assumptions!$E$16*(1-Assumptions!$E$23)^18</f>
        <v>4079.3891712076861</v>
      </c>
      <c r="HV18" s="106">
        <f>Assumptions!$E$16*(1-Assumptions!$E$23)^18</f>
        <v>4079.3891712076861</v>
      </c>
      <c r="HW18" s="106">
        <f>Assumptions!$E$16*(1-Assumptions!$E$23)^19</f>
        <v>4058.9922253516474</v>
      </c>
      <c r="HX18" s="106">
        <f>Assumptions!$E$16*(1-Assumptions!$E$23)^19</f>
        <v>4058.9922253516474</v>
      </c>
      <c r="HY18" s="106">
        <f>Assumptions!$E$16*(1-Assumptions!$E$23)^19</f>
        <v>4058.9922253516474</v>
      </c>
      <c r="HZ18" s="106">
        <f>Assumptions!$E$16*(1-Assumptions!$E$23)^19</f>
        <v>4058.9922253516474</v>
      </c>
      <c r="IA18" s="106">
        <f>Assumptions!$E$16*(1-Assumptions!$E$23)^19</f>
        <v>4058.9922253516474</v>
      </c>
      <c r="IB18" s="106">
        <f>Assumptions!$E$16*(1-Assumptions!$E$23)^19</f>
        <v>4058.9922253516474</v>
      </c>
      <c r="IC18" s="106">
        <f>Assumptions!$E$16*(1-Assumptions!$E$23)^19</f>
        <v>4058.9922253516474</v>
      </c>
      <c r="ID18" s="106">
        <f>Assumptions!$E$16*(1-Assumptions!$E$23)^19</f>
        <v>4058.9922253516474</v>
      </c>
      <c r="IE18" s="106">
        <f>Assumptions!$E$16*(1-Assumptions!$E$23)^19</f>
        <v>4058.9922253516474</v>
      </c>
      <c r="IF18" s="106">
        <f>Assumptions!$E$16*(1-Assumptions!$E$23)^19</f>
        <v>4058.9922253516474</v>
      </c>
      <c r="IG18" s="106">
        <f>Assumptions!$E$16*(1-Assumptions!$E$23)^19</f>
        <v>4058.9922253516474</v>
      </c>
      <c r="IH18" s="106">
        <f>Assumptions!$E$16*(1-Assumptions!$E$23)^19</f>
        <v>4058.9922253516474</v>
      </c>
      <c r="II18" s="106">
        <f>Assumptions!$E$16*(1-Assumptions!$E$23)^20</f>
        <v>4038.6972642248893</v>
      </c>
      <c r="IJ18" s="106">
        <f>Assumptions!$E$16*(1-Assumptions!$E$23)^20</f>
        <v>4038.6972642248893</v>
      </c>
      <c r="IK18" s="106">
        <f>Assumptions!$E$16*(1-Assumptions!$E$23)^20</f>
        <v>4038.6972642248893</v>
      </c>
      <c r="IL18" s="106">
        <f>Assumptions!$E$16*(1-Assumptions!$E$23)^20</f>
        <v>4038.6972642248893</v>
      </c>
      <c r="IM18" s="106">
        <f>Assumptions!$E$16*(1-Assumptions!$E$23)^20</f>
        <v>4038.6972642248893</v>
      </c>
      <c r="IN18" s="106">
        <f>Assumptions!$E$16*(1-Assumptions!$E$23)^20</f>
        <v>4038.6972642248893</v>
      </c>
      <c r="IO18" s="106">
        <f>Assumptions!$E$16*(1-Assumptions!$E$23)^20</f>
        <v>4038.6972642248893</v>
      </c>
      <c r="IP18" s="106">
        <f>Assumptions!$E$16*(1-Assumptions!$E$23)^20</f>
        <v>4038.6972642248893</v>
      </c>
      <c r="IQ18" s="106">
        <f>Assumptions!$E$16*(1-Assumptions!$E$23)^20</f>
        <v>4038.6972642248893</v>
      </c>
      <c r="IR18" s="106">
        <f>Assumptions!$E$16*(1-Assumptions!$E$23)^20</f>
        <v>4038.6972642248893</v>
      </c>
      <c r="IS18" s="106">
        <f>Assumptions!$E$16*(1-Assumptions!$E$23)^20</f>
        <v>4038.6972642248893</v>
      </c>
      <c r="IT18" s="106">
        <f>Assumptions!$E$16*(1-Assumptions!$E$23)^20</f>
        <v>4038.6972642248893</v>
      </c>
      <c r="IU18" s="106">
        <f>Assumptions!$E$16*(1-Assumptions!$E$23)^21</f>
        <v>4018.5037779037648</v>
      </c>
      <c r="IV18" s="106">
        <f>Assumptions!$E$16*(1-Assumptions!$E$23)^21</f>
        <v>4018.5037779037648</v>
      </c>
      <c r="IW18" s="106">
        <f>Assumptions!$E$16*(1-Assumptions!$E$23)^21</f>
        <v>4018.5037779037648</v>
      </c>
      <c r="IX18" s="106">
        <f>Assumptions!$E$16*(1-Assumptions!$E$23)^21</f>
        <v>4018.5037779037648</v>
      </c>
      <c r="IY18" s="106">
        <f>Assumptions!$E$16*(1-Assumptions!$E$23)^21</f>
        <v>4018.5037779037648</v>
      </c>
      <c r="IZ18" s="106">
        <f>Assumptions!$E$16*(1-Assumptions!$E$23)^21</f>
        <v>4018.5037779037648</v>
      </c>
      <c r="JA18" s="106">
        <f>Assumptions!$E$16*(1-Assumptions!$E$23)^21</f>
        <v>4018.5037779037648</v>
      </c>
      <c r="JB18" s="106">
        <f>Assumptions!$E$16*(1-Assumptions!$E$23)^21</f>
        <v>4018.5037779037648</v>
      </c>
      <c r="JC18" s="106">
        <f>Assumptions!$E$16*(1-Assumptions!$E$23)^21</f>
        <v>4018.5037779037648</v>
      </c>
      <c r="JD18" s="106">
        <f>Assumptions!$E$16*(1-Assumptions!$E$23)^21</f>
        <v>4018.5037779037648</v>
      </c>
      <c r="JE18" s="106">
        <f>Assumptions!$E$16*(1-Assumptions!$E$23)^21</f>
        <v>4018.5037779037648</v>
      </c>
      <c r="JF18" s="106">
        <f>Assumptions!$E$16*(1-Assumptions!$E$23)^21</f>
        <v>4018.5037779037648</v>
      </c>
      <c r="JG18" s="106">
        <f>Assumptions!$E$16*(1-Assumptions!$E$23)^22</f>
        <v>3998.4112590142463</v>
      </c>
      <c r="JH18" s="106">
        <f>Assumptions!$E$16*(1-Assumptions!$E$23)^22</f>
        <v>3998.4112590142463</v>
      </c>
      <c r="JI18" s="106">
        <f>Assumptions!$E$16*(1-Assumptions!$E$23)^22</f>
        <v>3998.4112590142463</v>
      </c>
      <c r="JJ18" s="106">
        <f>Assumptions!$E$16*(1-Assumptions!$E$23)^22</f>
        <v>3998.4112590142463</v>
      </c>
      <c r="JK18" s="106">
        <f>Assumptions!$E$16*(1-Assumptions!$E$23)^22</f>
        <v>3998.4112590142463</v>
      </c>
      <c r="JL18" s="106">
        <f>Assumptions!$E$16*(1-Assumptions!$E$23)^22</f>
        <v>3998.4112590142463</v>
      </c>
      <c r="JM18" s="106">
        <f>Assumptions!$E$16*(1-Assumptions!$E$23)^22</f>
        <v>3998.4112590142463</v>
      </c>
      <c r="JN18" s="106">
        <f>Assumptions!$E$16*(1-Assumptions!$E$23)^22</f>
        <v>3998.4112590142463</v>
      </c>
      <c r="JO18" s="106">
        <f>Assumptions!$E$16*(1-Assumptions!$E$23)^22</f>
        <v>3998.4112590142463</v>
      </c>
      <c r="JP18" s="106">
        <f>Assumptions!$E$16*(1-Assumptions!$E$23)^22</f>
        <v>3998.4112590142463</v>
      </c>
      <c r="JQ18" s="106">
        <f>Assumptions!$E$16*(1-Assumptions!$E$23)^22</f>
        <v>3998.4112590142463</v>
      </c>
      <c r="JR18" s="106">
        <f>Assumptions!$E$16*(1-Assumptions!$E$23)^22</f>
        <v>3998.4112590142463</v>
      </c>
      <c r="JS18" s="106">
        <f>Assumptions!$E$16*(1-Assumptions!$E$23)^23</f>
        <v>3978.4192027191748</v>
      </c>
      <c r="JT18" s="106">
        <f>Assumptions!$E$16*(1-Assumptions!$E$23)^23</f>
        <v>3978.4192027191748</v>
      </c>
      <c r="JU18" s="106">
        <f>Assumptions!$E$16*(1-Assumptions!$E$23)^23</f>
        <v>3978.4192027191748</v>
      </c>
      <c r="JV18" s="106">
        <f>Assumptions!$E$16*(1-Assumptions!$E$23)^23</f>
        <v>3978.4192027191748</v>
      </c>
      <c r="JW18" s="106">
        <f>Assumptions!$E$16*(1-Assumptions!$E$23)^23</f>
        <v>3978.4192027191748</v>
      </c>
      <c r="JX18" s="106">
        <f>Assumptions!$E$16*(1-Assumptions!$E$23)^23</f>
        <v>3978.4192027191748</v>
      </c>
      <c r="JY18" s="106">
        <f>Assumptions!$E$16*(1-Assumptions!$E$23)^23</f>
        <v>3978.4192027191748</v>
      </c>
      <c r="JZ18" s="106">
        <f>Assumptions!$E$16*(1-Assumptions!$E$23)^23</f>
        <v>3978.4192027191748</v>
      </c>
      <c r="KA18" s="106">
        <f>Assumptions!$E$16*(1-Assumptions!$E$23)^23</f>
        <v>3978.4192027191748</v>
      </c>
      <c r="KB18" s="106">
        <f>Assumptions!$E$16*(1-Assumptions!$E$23)^23</f>
        <v>3978.4192027191748</v>
      </c>
      <c r="KC18" s="106">
        <f>Assumptions!$E$16*(1-Assumptions!$E$23)^23</f>
        <v>3978.4192027191748</v>
      </c>
      <c r="KD18" s="106">
        <f>Assumptions!$E$16*(1-Assumptions!$E$23)^23</f>
        <v>3978.4192027191748</v>
      </c>
      <c r="KE18" s="106">
        <f>Assumptions!$E$16*(1-Assumptions!$E$23)^24</f>
        <v>3958.5271067055792</v>
      </c>
      <c r="KF18" s="106">
        <f>Assumptions!$E$16*(1-Assumptions!$E$23)^24</f>
        <v>3958.5271067055792</v>
      </c>
      <c r="KG18" s="106">
        <f>Assumptions!$E$16*(1-Assumptions!$E$23)^24</f>
        <v>3958.5271067055792</v>
      </c>
      <c r="KH18" s="106">
        <f>Assumptions!$E$16*(1-Assumptions!$E$23)^24</f>
        <v>3958.5271067055792</v>
      </c>
      <c r="KI18" s="106">
        <f>Assumptions!$E$16*(1-Assumptions!$E$23)^24</f>
        <v>3958.5271067055792</v>
      </c>
      <c r="KJ18" s="106">
        <f>Assumptions!$E$16*(1-Assumptions!$E$23)^24</f>
        <v>3958.5271067055792</v>
      </c>
      <c r="KK18" s="106">
        <f>Assumptions!$E$16*(1-Assumptions!$E$23)^24</f>
        <v>3958.5271067055792</v>
      </c>
      <c r="KL18" s="106">
        <f>Assumptions!$E$16*(1-Assumptions!$E$23)^24</f>
        <v>3958.5271067055792</v>
      </c>
      <c r="KM18" s="106">
        <f>Assumptions!$E$16*(1-Assumptions!$E$23)^24</f>
        <v>3958.5271067055792</v>
      </c>
      <c r="KN18" s="106">
        <f>Assumptions!$E$16*(1-Assumptions!$E$23)^24</f>
        <v>3958.5271067055792</v>
      </c>
      <c r="KO18" s="106">
        <f>Assumptions!$E$16*(1-Assumptions!$E$23)^24</f>
        <v>3958.5271067055792</v>
      </c>
      <c r="KP18" s="106">
        <f>Assumptions!$E$16*(1-Assumptions!$E$23)^24</f>
        <v>3958.5271067055792</v>
      </c>
    </row>
    <row r="19" spans="1:302" ht="16" customHeight="1" x14ac:dyDescent="0.2">
      <c r="A19" s="104" t="s">
        <v>441</v>
      </c>
      <c r="B19" s="105" t="s">
        <v>10</v>
      </c>
      <c r="C19" s="107">
        <f>Assumptions!$E$40</f>
        <v>45</v>
      </c>
      <c r="D19" s="107">
        <f>Assumptions!$E$40</f>
        <v>45</v>
      </c>
      <c r="E19" s="107">
        <f>Assumptions!$E$40</f>
        <v>45</v>
      </c>
      <c r="F19" s="107">
        <f>Assumptions!$E$40</f>
        <v>45</v>
      </c>
      <c r="G19" s="107">
        <f>Assumptions!$E$40</f>
        <v>45</v>
      </c>
      <c r="H19" s="107">
        <f>Assumptions!$E$40</f>
        <v>45</v>
      </c>
      <c r="I19" s="107">
        <f>Assumptions!$E$40</f>
        <v>45</v>
      </c>
      <c r="J19" s="107">
        <f>Assumptions!$E$40</f>
        <v>45</v>
      </c>
      <c r="K19" s="107">
        <f>Assumptions!$E$40</f>
        <v>45</v>
      </c>
      <c r="L19" s="107">
        <f>Assumptions!$E$40</f>
        <v>45</v>
      </c>
      <c r="M19" s="107">
        <f>Assumptions!$E$40</f>
        <v>45</v>
      </c>
      <c r="N19" s="107">
        <f>Assumptions!$E$40</f>
        <v>45</v>
      </c>
      <c r="O19" s="107">
        <f>Assumptions!$E$40</f>
        <v>45</v>
      </c>
      <c r="P19" s="107">
        <f>Assumptions!$E$40</f>
        <v>45</v>
      </c>
      <c r="Q19" s="107">
        <f>Assumptions!$E$40</f>
        <v>45</v>
      </c>
      <c r="R19" s="107">
        <f>Assumptions!$E$40</f>
        <v>45</v>
      </c>
      <c r="S19" s="107">
        <f>Assumptions!$E$40</f>
        <v>45</v>
      </c>
      <c r="T19" s="107">
        <f>Assumptions!$E$40</f>
        <v>45</v>
      </c>
      <c r="U19" s="107">
        <f>Assumptions!$E$40</f>
        <v>45</v>
      </c>
      <c r="V19" s="107">
        <f>Assumptions!$E$40</f>
        <v>45</v>
      </c>
      <c r="W19" s="107">
        <f>Assumptions!$E$40</f>
        <v>45</v>
      </c>
      <c r="X19" s="107">
        <f>Assumptions!$E$40</f>
        <v>45</v>
      </c>
      <c r="Y19" s="107">
        <f>Assumptions!$E$40</f>
        <v>45</v>
      </c>
      <c r="Z19" s="107">
        <f>Assumptions!$E$40</f>
        <v>45</v>
      </c>
      <c r="AA19" s="107">
        <f>Assumptions!$E$40</f>
        <v>45</v>
      </c>
      <c r="AB19" s="107">
        <f>Assumptions!$E$40</f>
        <v>45</v>
      </c>
      <c r="AC19" s="107">
        <f>Assumptions!$E$40</f>
        <v>45</v>
      </c>
      <c r="AD19" s="107">
        <f>Assumptions!$E$40</f>
        <v>45</v>
      </c>
      <c r="AE19" s="107">
        <f>Assumptions!$E$40</f>
        <v>45</v>
      </c>
      <c r="AF19" s="107">
        <f>Assumptions!$E$40</f>
        <v>45</v>
      </c>
      <c r="AG19" s="107">
        <f>Assumptions!$E$40</f>
        <v>45</v>
      </c>
      <c r="AH19" s="107">
        <f>Assumptions!$E$40</f>
        <v>45</v>
      </c>
      <c r="AI19" s="107">
        <f>Assumptions!$E$40</f>
        <v>45</v>
      </c>
      <c r="AJ19" s="107">
        <f>Assumptions!$E$40</f>
        <v>45</v>
      </c>
      <c r="AK19" s="107">
        <f>Assumptions!$E$40</f>
        <v>45</v>
      </c>
      <c r="AL19" s="107">
        <f>Assumptions!$E$40</f>
        <v>45</v>
      </c>
      <c r="AM19" s="107">
        <f>Assumptions!$E$40</f>
        <v>45</v>
      </c>
      <c r="AN19" s="107">
        <f>Assumptions!$E$40</f>
        <v>45</v>
      </c>
      <c r="AO19" s="107">
        <f>Assumptions!$E$40</f>
        <v>45</v>
      </c>
      <c r="AP19" s="107">
        <f>Assumptions!$E$40</f>
        <v>45</v>
      </c>
      <c r="AQ19" s="107">
        <f>Assumptions!$E$40</f>
        <v>45</v>
      </c>
      <c r="AR19" s="107">
        <f>Assumptions!$E$40</f>
        <v>45</v>
      </c>
      <c r="AS19" s="107">
        <f>Assumptions!$E$40</f>
        <v>45</v>
      </c>
      <c r="AT19" s="107">
        <f>Assumptions!$E$40</f>
        <v>45</v>
      </c>
      <c r="AU19" s="107">
        <f>Assumptions!$E$40</f>
        <v>45</v>
      </c>
      <c r="AV19" s="107">
        <f>Assumptions!$E$40</f>
        <v>45</v>
      </c>
      <c r="AW19" s="107">
        <f>Assumptions!$E$40</f>
        <v>45</v>
      </c>
      <c r="AX19" s="107">
        <f>Assumptions!$E$40</f>
        <v>45</v>
      </c>
      <c r="AY19" s="107">
        <f>Assumptions!$E$40</f>
        <v>45</v>
      </c>
      <c r="AZ19" s="107">
        <f>Assumptions!$E$40</f>
        <v>45</v>
      </c>
      <c r="BA19" s="107">
        <f>Assumptions!$E$40</f>
        <v>45</v>
      </c>
      <c r="BB19" s="107">
        <f>Assumptions!$E$40</f>
        <v>45</v>
      </c>
      <c r="BC19" s="107">
        <f>Assumptions!$E$40</f>
        <v>45</v>
      </c>
      <c r="BD19" s="107">
        <f>Assumptions!$E$40</f>
        <v>45</v>
      </c>
      <c r="BE19" s="107">
        <f>Assumptions!$E$40</f>
        <v>45</v>
      </c>
      <c r="BF19" s="107">
        <f>Assumptions!$E$40</f>
        <v>45</v>
      </c>
      <c r="BG19" s="107">
        <f>Assumptions!$E$40</f>
        <v>45</v>
      </c>
      <c r="BH19" s="107">
        <f>Assumptions!$E$40</f>
        <v>45</v>
      </c>
      <c r="BI19" s="107">
        <f>Assumptions!$E$40</f>
        <v>45</v>
      </c>
      <c r="BJ19" s="107">
        <f>Assumptions!$E$40</f>
        <v>45</v>
      </c>
      <c r="BK19" s="107">
        <f>Assumptions!$E$40</f>
        <v>45</v>
      </c>
      <c r="BL19" s="107">
        <f>Assumptions!$E$40</f>
        <v>45</v>
      </c>
      <c r="BM19" s="107">
        <f>Assumptions!$E$40</f>
        <v>45</v>
      </c>
      <c r="BN19" s="107">
        <f>Assumptions!$E$40</f>
        <v>45</v>
      </c>
      <c r="BO19" s="107">
        <f>Assumptions!$E$40</f>
        <v>45</v>
      </c>
      <c r="BP19" s="107">
        <f>Assumptions!$E$40</f>
        <v>45</v>
      </c>
      <c r="BQ19" s="107">
        <f>Assumptions!$E$40</f>
        <v>45</v>
      </c>
      <c r="BR19" s="107">
        <f>Assumptions!$E$40</f>
        <v>45</v>
      </c>
      <c r="BS19" s="107">
        <f>Assumptions!$E$40</f>
        <v>45</v>
      </c>
      <c r="BT19" s="107">
        <f>Assumptions!$E$40</f>
        <v>45</v>
      </c>
      <c r="BU19" s="107">
        <f>Assumptions!$E$40</f>
        <v>45</v>
      </c>
      <c r="BV19" s="107">
        <f>Assumptions!$E$40</f>
        <v>45</v>
      </c>
      <c r="BW19" s="107">
        <f>Assumptions!$E$40</f>
        <v>45</v>
      </c>
      <c r="BX19" s="107">
        <f>Assumptions!$E$40</f>
        <v>45</v>
      </c>
      <c r="BY19" s="107">
        <f>Assumptions!$E$40</f>
        <v>45</v>
      </c>
      <c r="BZ19" s="107">
        <f>Assumptions!$E$40</f>
        <v>45</v>
      </c>
      <c r="CA19" s="107">
        <f>Assumptions!$E$40</f>
        <v>45</v>
      </c>
      <c r="CB19" s="107">
        <f>Assumptions!$E$40</f>
        <v>45</v>
      </c>
      <c r="CC19" s="107">
        <f>Assumptions!$E$40</f>
        <v>45</v>
      </c>
      <c r="CD19" s="107">
        <f>Assumptions!$E$40</f>
        <v>45</v>
      </c>
      <c r="CE19" s="107">
        <f>Assumptions!$E$40</f>
        <v>45</v>
      </c>
      <c r="CF19" s="107">
        <f>Assumptions!$E$40</f>
        <v>45</v>
      </c>
      <c r="CG19" s="107">
        <f>Assumptions!$E$40</f>
        <v>45</v>
      </c>
      <c r="CH19" s="107">
        <f>Assumptions!$E$40</f>
        <v>45</v>
      </c>
      <c r="CI19" s="107">
        <f>Assumptions!$E$40</f>
        <v>45</v>
      </c>
      <c r="CJ19" s="107">
        <f>Assumptions!$E$40</f>
        <v>45</v>
      </c>
      <c r="CK19" s="107">
        <f>Assumptions!$E$40</f>
        <v>45</v>
      </c>
      <c r="CL19" s="107">
        <f>Assumptions!$E$40</f>
        <v>45</v>
      </c>
      <c r="CM19" s="107">
        <f>Assumptions!$E$40</f>
        <v>45</v>
      </c>
      <c r="CN19" s="107">
        <f>Assumptions!$E$40</f>
        <v>45</v>
      </c>
      <c r="CO19" s="107">
        <f>Assumptions!$E$40</f>
        <v>45</v>
      </c>
      <c r="CP19" s="107">
        <f>Assumptions!$E$40</f>
        <v>45</v>
      </c>
      <c r="CQ19" s="107">
        <f>Assumptions!$E$40</f>
        <v>45</v>
      </c>
      <c r="CR19" s="107">
        <f>Assumptions!$E$40</f>
        <v>45</v>
      </c>
      <c r="CS19" s="107">
        <f>Assumptions!$E$40</f>
        <v>45</v>
      </c>
      <c r="CT19" s="107">
        <f>Assumptions!$E$40</f>
        <v>45</v>
      </c>
      <c r="CU19" s="107">
        <f>Assumptions!$E$40</f>
        <v>45</v>
      </c>
      <c r="CV19" s="107">
        <f>Assumptions!$E$40</f>
        <v>45</v>
      </c>
      <c r="CW19" s="107">
        <f>Assumptions!$E$40</f>
        <v>45</v>
      </c>
      <c r="CX19" s="107">
        <f>Assumptions!$E$40</f>
        <v>45</v>
      </c>
      <c r="CY19" s="107">
        <f>Assumptions!$E$40</f>
        <v>45</v>
      </c>
      <c r="CZ19" s="107">
        <f>Assumptions!$E$40</f>
        <v>45</v>
      </c>
      <c r="DA19" s="107">
        <f>Assumptions!$E$40</f>
        <v>45</v>
      </c>
      <c r="DB19" s="107">
        <f>Assumptions!$E$40</f>
        <v>45</v>
      </c>
      <c r="DC19" s="107">
        <f>Assumptions!$E$40</f>
        <v>45</v>
      </c>
      <c r="DD19" s="107">
        <f>Assumptions!$E$40</f>
        <v>45</v>
      </c>
      <c r="DE19" s="107">
        <f>Assumptions!$E$40</f>
        <v>45</v>
      </c>
      <c r="DF19" s="107">
        <f>Assumptions!$E$40</f>
        <v>45</v>
      </c>
      <c r="DG19" s="107">
        <f>Assumptions!$E$40</f>
        <v>45</v>
      </c>
      <c r="DH19" s="107">
        <f>Assumptions!$E$40</f>
        <v>45</v>
      </c>
      <c r="DI19" s="107">
        <f>Assumptions!$E$40</f>
        <v>45</v>
      </c>
      <c r="DJ19" s="107">
        <f>Assumptions!$E$40</f>
        <v>45</v>
      </c>
      <c r="DK19" s="107">
        <f>Assumptions!$E$40</f>
        <v>45</v>
      </c>
      <c r="DL19" s="107">
        <f>Assumptions!$E$40</f>
        <v>45</v>
      </c>
      <c r="DM19" s="107">
        <f>Assumptions!$E$40</f>
        <v>45</v>
      </c>
      <c r="DN19" s="107">
        <f>Assumptions!$E$40</f>
        <v>45</v>
      </c>
      <c r="DO19" s="107">
        <f>Assumptions!$E$40</f>
        <v>45</v>
      </c>
      <c r="DP19" s="107">
        <f>Assumptions!$E$40</f>
        <v>45</v>
      </c>
      <c r="DQ19" s="107">
        <f>Assumptions!$E$40</f>
        <v>45</v>
      </c>
      <c r="DR19" s="107">
        <f>Assumptions!$E$40</f>
        <v>45</v>
      </c>
      <c r="DS19" s="107">
        <f>Simulation!$I$127</f>
        <v>-17.090699999999998</v>
      </c>
      <c r="DT19" s="107">
        <f>Simulation!$I$128</f>
        <v>-17.619299999999999</v>
      </c>
      <c r="DU19" s="107">
        <f>Simulation!$I$129</f>
        <v>-17.385300000000001</v>
      </c>
      <c r="DV19" s="107">
        <f>Simulation!$I$130</f>
        <v>-16.589500000000001</v>
      </c>
      <c r="DW19" s="107">
        <f>Simulation!$I$131</f>
        <v>-17.134499999999999</v>
      </c>
      <c r="DX19" s="107">
        <f>Simulation!$I$132</f>
        <v>-16.1617</v>
      </c>
      <c r="DY19" s="107">
        <f>Simulation!$I$133</f>
        <v>-18.368500000000001</v>
      </c>
      <c r="DZ19" s="107">
        <f>Simulation!$I$134</f>
        <v>-16.144200000000001</v>
      </c>
      <c r="EA19" s="107">
        <f>Simulation!$I$135</f>
        <v>-16.664000000000001</v>
      </c>
      <c r="EB19" s="107">
        <f>Simulation!$I$136</f>
        <v>-17.2591</v>
      </c>
      <c r="EC19" s="107">
        <f>Simulation!$I$137</f>
        <v>-17.153700000000001</v>
      </c>
      <c r="ED19" s="107">
        <f>Simulation!$I$138</f>
        <v>-17.505700000000001</v>
      </c>
      <c r="EE19" s="107">
        <f>Simulation!$I$139</f>
        <v>-17.065999999999999</v>
      </c>
      <c r="EF19" s="107">
        <f>Simulation!$I$140</f>
        <v>-17.163499999999999</v>
      </c>
      <c r="EG19" s="107">
        <f>Simulation!$I$141</f>
        <v>-18.004300000000001</v>
      </c>
      <c r="EH19" s="107">
        <f>Simulation!$I$142</f>
        <v>-16.977399999999999</v>
      </c>
      <c r="EI19" s="107">
        <f>Simulation!$I$143</f>
        <v>-17.2578</v>
      </c>
      <c r="EJ19" s="107">
        <f>Simulation!$I$144</f>
        <v>-14.4405</v>
      </c>
      <c r="EK19" s="107">
        <f>Simulation!$I$145</f>
        <v>-16.2683</v>
      </c>
      <c r="EL19" s="107">
        <f>Simulation!$I$146</f>
        <v>-15.579700000000001</v>
      </c>
      <c r="EM19" s="107">
        <f>Simulation!$I$147</f>
        <v>-18.049800000000001</v>
      </c>
      <c r="EN19" s="107">
        <f>Simulation!$I$148</f>
        <v>-16.027100000000001</v>
      </c>
      <c r="EO19" s="107">
        <f>Simulation!$I$149</f>
        <v>-16.786799999999999</v>
      </c>
      <c r="EP19" s="107">
        <f>Simulation!$I$150</f>
        <v>-16.519300000000001</v>
      </c>
      <c r="EQ19" s="107">
        <f>Simulation!$I$151</f>
        <v>-16.265899999999998</v>
      </c>
      <c r="ER19" s="107">
        <f>Simulation!$I$152</f>
        <v>-17.402699999999999</v>
      </c>
      <c r="ES19" s="107">
        <f>Simulation!$I$153</f>
        <v>-19.355499999999999</v>
      </c>
      <c r="ET19" s="107">
        <f>Simulation!$I$154</f>
        <v>-16.6891</v>
      </c>
      <c r="EU19" s="107">
        <f>Simulation!$I$155</f>
        <v>-16.014500000000002</v>
      </c>
      <c r="EV19" s="107">
        <f>Simulation!$I$156</f>
        <v>-16.781400000000001</v>
      </c>
      <c r="EW19" s="107">
        <f>Simulation!$I$157</f>
        <v>-14.247999999999999</v>
      </c>
      <c r="EX19" s="107">
        <f>Simulation!$I$158</f>
        <v>-16.882000000000001</v>
      </c>
      <c r="EY19" s="107">
        <f>Simulation!$I$159</f>
        <v>-16.5929</v>
      </c>
      <c r="EZ19" s="107">
        <f>Simulation!$I$160</f>
        <v>-18.084499999999998</v>
      </c>
      <c r="FA19" s="107">
        <f>Simulation!$I$161</f>
        <v>-17.139099999999999</v>
      </c>
      <c r="FB19" s="107">
        <f>Simulation!$I$162</f>
        <v>-17.9604</v>
      </c>
      <c r="FC19" s="107">
        <f>Simulation!$I$163</f>
        <v>-14.891999999999999</v>
      </c>
      <c r="FD19" s="107">
        <f>Simulation!$I$164</f>
        <v>-16.716000000000001</v>
      </c>
      <c r="FE19" s="107">
        <f>Simulation!$I$165</f>
        <v>-16.325600000000001</v>
      </c>
      <c r="FF19" s="107">
        <f>Simulation!$I$166</f>
        <v>-16.284600000000001</v>
      </c>
      <c r="FG19" s="107">
        <f>Simulation!$I$167</f>
        <v>-18.9238</v>
      </c>
      <c r="FH19" s="107">
        <f>Simulation!$I$168</f>
        <v>-18.526</v>
      </c>
      <c r="FI19" s="107">
        <f>Simulation!$I$169</f>
        <v>-17.8521</v>
      </c>
      <c r="FJ19" s="107">
        <f>Simulation!$I$170</f>
        <v>-17.174700000000001</v>
      </c>
      <c r="FK19" s="107">
        <f>Simulation!$I$171</f>
        <v>-16.756399999999999</v>
      </c>
      <c r="FL19" s="107">
        <f>Simulation!$I$172</f>
        <v>-18.9239</v>
      </c>
      <c r="FM19" s="107">
        <f>Simulation!$I$173</f>
        <v>-18.308399999999999</v>
      </c>
      <c r="FN19" s="107">
        <f>Simulation!$I$174</f>
        <v>-17.3916</v>
      </c>
      <c r="FO19" s="107">
        <f>Simulation!$I$175</f>
        <v>-16.803999999999998</v>
      </c>
      <c r="FP19" s="107">
        <f>Simulation!$I$176</f>
        <v>-16.976299999999998</v>
      </c>
      <c r="FQ19" s="107">
        <f>Simulation!$I$177</f>
        <v>-18.064499999999999</v>
      </c>
      <c r="FR19" s="107">
        <f>Simulation!$I$178</f>
        <v>-18.1587</v>
      </c>
      <c r="FS19" s="107">
        <f>Simulation!$I$179</f>
        <v>-17.826499999999999</v>
      </c>
      <c r="FT19" s="107">
        <f>Simulation!$I$180</f>
        <v>-18.7103</v>
      </c>
      <c r="FU19" s="107">
        <f>Simulation!$I$181</f>
        <v>-15.448600000000001</v>
      </c>
      <c r="FV19" s="107">
        <f>Simulation!$I$182</f>
        <v>-18.7454</v>
      </c>
      <c r="FW19" s="107">
        <f>Simulation!$I$183</f>
        <v>-20.336500000000001</v>
      </c>
      <c r="FX19" s="107">
        <f>Simulation!$I$184</f>
        <v>-18.9252</v>
      </c>
      <c r="FY19" s="107">
        <f>Simulation!$I$185</f>
        <v>-19.575399999999998</v>
      </c>
      <c r="FZ19" s="107">
        <f>Simulation!$I$186</f>
        <v>-19.1358</v>
      </c>
      <c r="GA19" s="107">
        <f>Simulation!$I$187</f>
        <v>-18.389600000000002</v>
      </c>
      <c r="GB19" s="107">
        <f>Simulation!$I$188</f>
        <v>-16.8718</v>
      </c>
      <c r="GC19" s="107">
        <f>Simulation!$I$189</f>
        <v>-15.5593</v>
      </c>
      <c r="GD19" s="107">
        <f>Simulation!$I$190</f>
        <v>-15.9483</v>
      </c>
      <c r="GE19" s="107">
        <f>Simulation!$I$191</f>
        <v>-16.099599999999999</v>
      </c>
      <c r="GF19" s="107">
        <f>Simulation!$I$192</f>
        <v>-16.348600000000001</v>
      </c>
      <c r="GG19" s="107">
        <f>Simulation!$I$193</f>
        <v>-17.384599999999999</v>
      </c>
      <c r="GH19" s="107">
        <f>Simulation!$I$194</f>
        <v>-16.6051</v>
      </c>
      <c r="GI19" s="107">
        <f>Simulation!$I$195</f>
        <v>-17.899100000000001</v>
      </c>
      <c r="GJ19" s="107">
        <f>Simulation!$I$196</f>
        <v>-16.925699999999999</v>
      </c>
      <c r="GK19" s="107">
        <f>Simulation!$I$197</f>
        <v>-18.071100000000001</v>
      </c>
      <c r="GL19" s="107">
        <f>Simulation!$I$198</f>
        <v>-17.4038</v>
      </c>
      <c r="GM19" s="107">
        <f>Simulation!$I$199</f>
        <v>-18.041599999999999</v>
      </c>
      <c r="GN19" s="107">
        <f>Simulation!$I$200</f>
        <v>-17.633400000000002</v>
      </c>
      <c r="GO19" s="107">
        <f>Simulation!$I$201</f>
        <v>-17.7789</v>
      </c>
      <c r="GP19" s="107">
        <f>Simulation!$I$202</f>
        <v>-17.724799999999998</v>
      </c>
      <c r="GQ19" s="107">
        <f>Simulation!$I$203</f>
        <v>-17.967500000000001</v>
      </c>
      <c r="GR19" s="107">
        <f>Simulation!$I$204</f>
        <v>-17.124300000000002</v>
      </c>
      <c r="GS19" s="107">
        <f>Simulation!$I$205</f>
        <v>-18.203700000000001</v>
      </c>
      <c r="GT19" s="107">
        <f>Simulation!$I$206</f>
        <v>-17.694800000000001</v>
      </c>
      <c r="GU19" s="107">
        <f>Simulation!$I$207</f>
        <v>-17.1401</v>
      </c>
      <c r="GV19" s="107">
        <f>Simulation!$I$208</f>
        <v>-18.300799999999999</v>
      </c>
      <c r="GW19" s="107">
        <f>Simulation!$I$209</f>
        <v>-18.218399999999999</v>
      </c>
      <c r="GX19" s="107">
        <f>Simulation!$I$210</f>
        <v>-16.9313</v>
      </c>
      <c r="GY19" s="107">
        <f>Simulation!$I$211</f>
        <v>-18.604600000000001</v>
      </c>
      <c r="GZ19" s="107">
        <f>Simulation!$I$212</f>
        <v>-17.496400000000001</v>
      </c>
      <c r="HA19" s="107">
        <f>Simulation!$I$213</f>
        <v>-17.353200000000001</v>
      </c>
      <c r="HB19" s="107">
        <f>Simulation!$I$214</f>
        <v>-17.677399999999999</v>
      </c>
      <c r="HC19" s="107">
        <f>Simulation!$I$215</f>
        <v>-16.098600000000001</v>
      </c>
      <c r="HD19" s="107">
        <f>Simulation!$I$216</f>
        <v>-17.7699</v>
      </c>
      <c r="HE19" s="107">
        <f>Simulation!$I$217</f>
        <v>-18.800899999999999</v>
      </c>
      <c r="HF19" s="107">
        <f>Simulation!$I$218</f>
        <v>-19.770199999999999</v>
      </c>
      <c r="HG19" s="107">
        <f>Simulation!$I$219</f>
        <v>-19.703099999999999</v>
      </c>
      <c r="HH19" s="107">
        <f>Simulation!$I$220</f>
        <v>-19.960599999999999</v>
      </c>
      <c r="HI19" s="107">
        <f>Simulation!$I$221</f>
        <v>-19.046800000000001</v>
      </c>
      <c r="HJ19" s="107">
        <f>Simulation!$I$222</f>
        <v>-17.771100000000001</v>
      </c>
      <c r="HK19" s="107">
        <f>Simulation!$I$223</f>
        <v>-18.825700000000001</v>
      </c>
      <c r="HL19" s="107">
        <f>Simulation!$I$224</f>
        <v>-18.234100000000002</v>
      </c>
      <c r="HM19" s="107">
        <f>Simulation!$I$225</f>
        <v>-19.758400000000002</v>
      </c>
      <c r="HN19" s="107">
        <f>Simulation!$I$226</f>
        <v>-20.015699999999999</v>
      </c>
      <c r="HO19" s="107">
        <f>Simulation!$I$227</f>
        <v>-19.678100000000001</v>
      </c>
      <c r="HP19" s="107">
        <f>Simulation!$I$228</f>
        <v>-18.414400000000001</v>
      </c>
      <c r="HQ19" s="107">
        <f>Simulation!$I$229</f>
        <v>-17.879200000000001</v>
      </c>
      <c r="HR19" s="107">
        <f>Simulation!$I$230</f>
        <v>-17.197199999999999</v>
      </c>
      <c r="HS19" s="107">
        <f>Simulation!$I$231</f>
        <v>-19.5228</v>
      </c>
      <c r="HT19" s="107">
        <f>Simulation!$I$232</f>
        <v>-17.334800000000001</v>
      </c>
      <c r="HU19" s="107">
        <f>Simulation!$I$233</f>
        <v>-18.9572</v>
      </c>
      <c r="HV19" s="107">
        <f>Simulation!$I$234</f>
        <v>-18.865300000000001</v>
      </c>
      <c r="HW19" s="107">
        <f>Simulation!$I$235</f>
        <v>-17.145900000000001</v>
      </c>
      <c r="HX19" s="107">
        <f>Simulation!$I$236</f>
        <v>-17.9178</v>
      </c>
      <c r="HY19" s="107">
        <f>Simulation!$I$237</f>
        <v>-18.2806</v>
      </c>
      <c r="HZ19" s="107">
        <f>Simulation!$I$238</f>
        <v>-19.577000000000002</v>
      </c>
      <c r="IA19" s="107">
        <f>Simulation!$I$239</f>
        <v>-19.3185</v>
      </c>
      <c r="IB19" s="107">
        <f>Simulation!$I$240</f>
        <v>-20.639800000000001</v>
      </c>
      <c r="IC19" s="107">
        <f>Simulation!$I$241</f>
        <v>-19.553100000000001</v>
      </c>
      <c r="ID19" s="107">
        <f>Simulation!$I$242</f>
        <v>-18.9878</v>
      </c>
      <c r="IE19" s="107">
        <f>Simulation!$I$243</f>
        <v>-18.323599999999999</v>
      </c>
      <c r="IF19" s="107">
        <f>Simulation!$I$244</f>
        <v>-19.716000000000001</v>
      </c>
      <c r="IG19" s="107">
        <f>Simulation!$I$245</f>
        <v>-19.682099999999998</v>
      </c>
      <c r="IH19" s="107">
        <f>Simulation!$I$246</f>
        <v>-21.8307</v>
      </c>
      <c r="II19" s="107">
        <f>Simulation!$I$247</f>
        <v>-19.042899999999999</v>
      </c>
      <c r="IJ19" s="107">
        <f>Simulation!$I$248</f>
        <v>-19.404</v>
      </c>
      <c r="IK19" s="107">
        <f>Simulation!$I$249</f>
        <v>-21.252700000000001</v>
      </c>
      <c r="IL19" s="107">
        <f>Simulation!$I$250</f>
        <v>-20.4452</v>
      </c>
      <c r="IM19" s="107">
        <f>Simulation!$I$251</f>
        <v>-19.484000000000002</v>
      </c>
      <c r="IN19" s="107">
        <f>Simulation!$I$252</f>
        <v>-20.141200000000001</v>
      </c>
      <c r="IO19" s="107">
        <f>Simulation!$I$253</f>
        <v>-18.296500000000002</v>
      </c>
      <c r="IP19" s="107">
        <f>Simulation!$I$254</f>
        <v>-19.8691</v>
      </c>
      <c r="IQ19" s="107">
        <f>Simulation!$I$255</f>
        <v>-21.284300000000002</v>
      </c>
      <c r="IR19" s="107">
        <f>Simulation!$I$256</f>
        <v>-19.895199999999999</v>
      </c>
      <c r="IS19" s="107">
        <f>Simulation!$I$257</f>
        <v>-22.093</v>
      </c>
      <c r="IT19" s="107">
        <f>Simulation!$I$258</f>
        <v>-20.2545</v>
      </c>
      <c r="IU19" s="107">
        <f>Simulation!$I$259</f>
        <v>-18.61</v>
      </c>
      <c r="IV19" s="107">
        <f>Simulation!$I$260</f>
        <v>-19.4603</v>
      </c>
      <c r="IW19" s="107">
        <f>Simulation!$I$261</f>
        <v>-21.2194</v>
      </c>
      <c r="IX19" s="107">
        <f>Simulation!$I$262</f>
        <v>-20.899000000000001</v>
      </c>
      <c r="IY19" s="107">
        <f>Simulation!$I$263</f>
        <v>-21.126799999999999</v>
      </c>
      <c r="IZ19" s="107">
        <f>Simulation!$I$264</f>
        <v>-21.332599999999999</v>
      </c>
      <c r="JA19" s="107">
        <f>Simulation!$I$265</f>
        <v>-19.827300000000001</v>
      </c>
      <c r="JB19" s="107">
        <f>Simulation!$I$266</f>
        <v>-20.049399999999999</v>
      </c>
      <c r="JC19" s="107">
        <f>Simulation!$I$267</f>
        <v>-18.419</v>
      </c>
      <c r="JD19" s="107">
        <f>Simulation!$I$268</f>
        <v>-18.87</v>
      </c>
      <c r="JE19" s="107">
        <f>Simulation!$I$269</f>
        <v>-19.613399999999999</v>
      </c>
      <c r="JF19" s="107">
        <f>Simulation!$I$270</f>
        <v>-22.0198</v>
      </c>
      <c r="JG19" s="107">
        <f>Simulation!$I$271</f>
        <v>-23.071300000000001</v>
      </c>
      <c r="JH19" s="107">
        <f>Simulation!$I$272</f>
        <v>-21.671600000000002</v>
      </c>
      <c r="JI19" s="107">
        <f>Simulation!$I$273</f>
        <v>-22.294</v>
      </c>
      <c r="JJ19" s="107">
        <f>Simulation!$I$274</f>
        <v>-22.080500000000001</v>
      </c>
      <c r="JK19" s="107">
        <f>Simulation!$I$275</f>
        <v>-20.567499999999999</v>
      </c>
      <c r="JL19" s="107">
        <f>Simulation!$I$276</f>
        <v>-22.7302</v>
      </c>
      <c r="JM19" s="107">
        <f>Simulation!$I$277</f>
        <v>-22.1435</v>
      </c>
      <c r="JN19" s="107">
        <f>Simulation!$I$278</f>
        <v>-22.362300000000001</v>
      </c>
      <c r="JO19" s="107">
        <f>Simulation!$I$279</f>
        <v>-25.4892</v>
      </c>
      <c r="JP19" s="107">
        <f>Simulation!$I$280</f>
        <v>-23.565000000000001</v>
      </c>
      <c r="JQ19" s="107">
        <f>Simulation!$I$281</f>
        <v>-23.048500000000001</v>
      </c>
      <c r="JR19" s="107">
        <f>Simulation!$I$282</f>
        <v>-22.260100000000001</v>
      </c>
      <c r="JS19" s="107">
        <f>Simulation!$I$283</f>
        <v>-21.223500000000001</v>
      </c>
      <c r="JT19" s="107">
        <f>Simulation!$I$284</f>
        <v>-21.1982</v>
      </c>
      <c r="JU19" s="107">
        <f>Simulation!$I$285</f>
        <v>-21.7029</v>
      </c>
      <c r="JV19" s="107">
        <f>Simulation!$I$286</f>
        <v>-21.6966</v>
      </c>
      <c r="JW19" s="107">
        <f>Simulation!$I$287</f>
        <v>-23.187899999999999</v>
      </c>
      <c r="JX19" s="107">
        <f>Simulation!$I$288</f>
        <v>-23.2956</v>
      </c>
      <c r="JY19" s="107">
        <f>Simulation!$I$289</f>
        <v>-23.188600000000001</v>
      </c>
      <c r="JZ19" s="107">
        <f>Simulation!$I$290</f>
        <v>-21.275200000000002</v>
      </c>
      <c r="KA19" s="107">
        <f>Simulation!$I$291</f>
        <v>-22.515699999999999</v>
      </c>
      <c r="KB19" s="107">
        <f>Simulation!$I$292</f>
        <v>-22.422000000000001</v>
      </c>
      <c r="KC19" s="107">
        <f>Simulation!$I$293</f>
        <v>-20.835699999999999</v>
      </c>
      <c r="KD19" s="107">
        <f>Simulation!$I$294</f>
        <v>-22.172599999999999</v>
      </c>
      <c r="KE19" s="107">
        <f>Simulation!$I$295</f>
        <v>-21.653700000000001</v>
      </c>
      <c r="KF19" s="107">
        <f>Simulation!$I$296</f>
        <v>-22.9984</v>
      </c>
      <c r="KG19" s="107">
        <f>Simulation!$I$297</f>
        <v>-22.098800000000001</v>
      </c>
      <c r="KH19" s="107">
        <f>Simulation!$I$298</f>
        <v>-21.165700000000001</v>
      </c>
      <c r="KI19" s="107">
        <f>Simulation!$I$299</f>
        <v>-21.847300000000001</v>
      </c>
      <c r="KJ19" s="107">
        <f>Simulation!$I$300</f>
        <v>-21.403300000000002</v>
      </c>
      <c r="KK19" s="107">
        <f>Simulation!$I$301</f>
        <v>-22.495999999999999</v>
      </c>
      <c r="KL19" s="107">
        <f>Simulation!$I$302</f>
        <v>0</v>
      </c>
      <c r="KM19" s="107">
        <f>Simulation!$I$303</f>
        <v>0</v>
      </c>
      <c r="KN19" s="107">
        <f>Simulation!$I$304</f>
        <v>0</v>
      </c>
      <c r="KO19" s="107">
        <f>Simulation!$I$305</f>
        <v>0</v>
      </c>
      <c r="KP19" s="107">
        <f>Simulation!$I$306</f>
        <v>0</v>
      </c>
    </row>
    <row r="20" spans="1:302" ht="16" customHeight="1" x14ac:dyDescent="0.2">
      <c r="A20" s="112" t="s">
        <v>442</v>
      </c>
      <c r="B20" s="113" t="s">
        <v>215</v>
      </c>
      <c r="C20" s="114">
        <f t="shared" ref="C20:BN20" si="25">C18*C19/1000</f>
        <v>200.90567249999995</v>
      </c>
      <c r="D20" s="114">
        <f t="shared" si="25"/>
        <v>200.90567249999995</v>
      </c>
      <c r="E20" s="114">
        <f t="shared" si="25"/>
        <v>200.90567249999995</v>
      </c>
      <c r="F20" s="114">
        <f t="shared" si="25"/>
        <v>200.90567249999995</v>
      </c>
      <c r="G20" s="114">
        <f t="shared" si="25"/>
        <v>200.90567249999995</v>
      </c>
      <c r="H20" s="114">
        <f t="shared" si="25"/>
        <v>200.90567249999995</v>
      </c>
      <c r="I20" s="114">
        <f t="shared" si="25"/>
        <v>200.90567249999995</v>
      </c>
      <c r="J20" s="114">
        <f t="shared" si="25"/>
        <v>200.90567249999995</v>
      </c>
      <c r="K20" s="114">
        <f t="shared" si="25"/>
        <v>200.90567249999995</v>
      </c>
      <c r="L20" s="114">
        <f t="shared" si="25"/>
        <v>200.90567249999995</v>
      </c>
      <c r="M20" s="114">
        <f t="shared" si="25"/>
        <v>200.90567249999995</v>
      </c>
      <c r="N20" s="114">
        <f t="shared" si="25"/>
        <v>200.90567249999995</v>
      </c>
      <c r="O20" s="114">
        <f t="shared" si="25"/>
        <v>199.90114413749995</v>
      </c>
      <c r="P20" s="114">
        <f t="shared" si="25"/>
        <v>199.90114413749995</v>
      </c>
      <c r="Q20" s="114">
        <f t="shared" si="25"/>
        <v>199.90114413749995</v>
      </c>
      <c r="R20" s="114">
        <f t="shared" si="25"/>
        <v>199.90114413749995</v>
      </c>
      <c r="S20" s="114">
        <f t="shared" si="25"/>
        <v>199.90114413749995</v>
      </c>
      <c r="T20" s="114">
        <f t="shared" si="25"/>
        <v>199.90114413749995</v>
      </c>
      <c r="U20" s="114">
        <f t="shared" si="25"/>
        <v>199.90114413749995</v>
      </c>
      <c r="V20" s="114">
        <f t="shared" si="25"/>
        <v>199.90114413749995</v>
      </c>
      <c r="W20" s="114">
        <f t="shared" si="25"/>
        <v>199.90114413749995</v>
      </c>
      <c r="X20" s="114">
        <f t="shared" si="25"/>
        <v>199.90114413749995</v>
      </c>
      <c r="Y20" s="114">
        <f t="shared" si="25"/>
        <v>199.90114413749995</v>
      </c>
      <c r="Z20" s="114">
        <f t="shared" si="25"/>
        <v>199.90114413749995</v>
      </c>
      <c r="AA20" s="114">
        <f t="shared" si="25"/>
        <v>198.90163841681249</v>
      </c>
      <c r="AB20" s="114">
        <f t="shared" si="25"/>
        <v>198.90163841681249</v>
      </c>
      <c r="AC20" s="114">
        <f t="shared" si="25"/>
        <v>198.90163841681249</v>
      </c>
      <c r="AD20" s="114">
        <f t="shared" si="25"/>
        <v>198.90163841681249</v>
      </c>
      <c r="AE20" s="114">
        <f t="shared" si="25"/>
        <v>198.90163841681249</v>
      </c>
      <c r="AF20" s="114">
        <f t="shared" si="25"/>
        <v>198.90163841681249</v>
      </c>
      <c r="AG20" s="114">
        <f t="shared" si="25"/>
        <v>198.90163841681249</v>
      </c>
      <c r="AH20" s="114">
        <f t="shared" si="25"/>
        <v>198.90163841681249</v>
      </c>
      <c r="AI20" s="114">
        <f t="shared" si="25"/>
        <v>198.90163841681249</v>
      </c>
      <c r="AJ20" s="114">
        <f t="shared" si="25"/>
        <v>198.90163841681249</v>
      </c>
      <c r="AK20" s="114">
        <f t="shared" si="25"/>
        <v>198.90163841681249</v>
      </c>
      <c r="AL20" s="114">
        <f t="shared" si="25"/>
        <v>198.90163841681249</v>
      </c>
      <c r="AM20" s="114">
        <f t="shared" si="25"/>
        <v>197.90713022472838</v>
      </c>
      <c r="AN20" s="114">
        <f t="shared" si="25"/>
        <v>197.90713022472838</v>
      </c>
      <c r="AO20" s="114">
        <f t="shared" si="25"/>
        <v>197.90713022472838</v>
      </c>
      <c r="AP20" s="114">
        <f t="shared" si="25"/>
        <v>197.90713022472838</v>
      </c>
      <c r="AQ20" s="114">
        <f t="shared" si="25"/>
        <v>197.90713022472838</v>
      </c>
      <c r="AR20" s="114">
        <f t="shared" si="25"/>
        <v>197.90713022472838</v>
      </c>
      <c r="AS20" s="114">
        <f t="shared" si="25"/>
        <v>197.90713022472838</v>
      </c>
      <c r="AT20" s="114">
        <f t="shared" si="25"/>
        <v>197.90713022472838</v>
      </c>
      <c r="AU20" s="114">
        <f t="shared" si="25"/>
        <v>197.90713022472838</v>
      </c>
      <c r="AV20" s="114">
        <f t="shared" si="25"/>
        <v>197.90713022472838</v>
      </c>
      <c r="AW20" s="114">
        <f t="shared" si="25"/>
        <v>197.90713022472838</v>
      </c>
      <c r="AX20" s="114">
        <f t="shared" si="25"/>
        <v>197.90713022472838</v>
      </c>
      <c r="AY20" s="114">
        <f t="shared" si="25"/>
        <v>196.91759457360476</v>
      </c>
      <c r="AZ20" s="114">
        <f t="shared" si="25"/>
        <v>196.91759457360476</v>
      </c>
      <c r="BA20" s="114">
        <f t="shared" si="25"/>
        <v>196.91759457360476</v>
      </c>
      <c r="BB20" s="114">
        <f t="shared" si="25"/>
        <v>196.91759457360476</v>
      </c>
      <c r="BC20" s="114">
        <f t="shared" si="25"/>
        <v>196.91759457360476</v>
      </c>
      <c r="BD20" s="114">
        <f t="shared" si="25"/>
        <v>196.91759457360476</v>
      </c>
      <c r="BE20" s="114">
        <f t="shared" si="25"/>
        <v>196.91759457360476</v>
      </c>
      <c r="BF20" s="114">
        <f t="shared" si="25"/>
        <v>196.91759457360476</v>
      </c>
      <c r="BG20" s="114">
        <f t="shared" si="25"/>
        <v>196.91759457360476</v>
      </c>
      <c r="BH20" s="114">
        <f t="shared" si="25"/>
        <v>196.91759457360476</v>
      </c>
      <c r="BI20" s="114">
        <f t="shared" si="25"/>
        <v>196.91759457360476</v>
      </c>
      <c r="BJ20" s="114">
        <f t="shared" si="25"/>
        <v>196.91759457360476</v>
      </c>
      <c r="BK20" s="114">
        <f t="shared" si="25"/>
        <v>195.93300660073675</v>
      </c>
      <c r="BL20" s="114">
        <f t="shared" si="25"/>
        <v>195.93300660073675</v>
      </c>
      <c r="BM20" s="114">
        <f t="shared" si="25"/>
        <v>195.93300660073675</v>
      </c>
      <c r="BN20" s="114">
        <f t="shared" si="25"/>
        <v>195.93300660073675</v>
      </c>
      <c r="BO20" s="114">
        <f t="shared" ref="BO20:DZ20" si="26">BO18*BO19/1000</f>
        <v>195.93300660073675</v>
      </c>
      <c r="BP20" s="114">
        <f t="shared" si="26"/>
        <v>195.93300660073675</v>
      </c>
      <c r="BQ20" s="114">
        <f t="shared" si="26"/>
        <v>195.93300660073675</v>
      </c>
      <c r="BR20" s="114">
        <f t="shared" si="26"/>
        <v>195.93300660073675</v>
      </c>
      <c r="BS20" s="114">
        <f t="shared" si="26"/>
        <v>195.93300660073675</v>
      </c>
      <c r="BT20" s="114">
        <f t="shared" si="26"/>
        <v>195.93300660073675</v>
      </c>
      <c r="BU20" s="114">
        <f t="shared" si="26"/>
        <v>195.93300660073675</v>
      </c>
      <c r="BV20" s="114">
        <f t="shared" si="26"/>
        <v>195.93300660073675</v>
      </c>
      <c r="BW20" s="114">
        <f t="shared" si="26"/>
        <v>194.95334156773308</v>
      </c>
      <c r="BX20" s="114">
        <f t="shared" si="26"/>
        <v>194.95334156773308</v>
      </c>
      <c r="BY20" s="114">
        <f t="shared" si="26"/>
        <v>194.95334156773308</v>
      </c>
      <c r="BZ20" s="114">
        <f t="shared" si="26"/>
        <v>194.95334156773308</v>
      </c>
      <c r="CA20" s="114">
        <f t="shared" si="26"/>
        <v>194.95334156773308</v>
      </c>
      <c r="CB20" s="114">
        <f t="shared" si="26"/>
        <v>194.95334156773308</v>
      </c>
      <c r="CC20" s="114">
        <f t="shared" si="26"/>
        <v>194.95334156773308</v>
      </c>
      <c r="CD20" s="114">
        <f t="shared" si="26"/>
        <v>194.95334156773308</v>
      </c>
      <c r="CE20" s="114">
        <f t="shared" si="26"/>
        <v>194.95334156773308</v>
      </c>
      <c r="CF20" s="114">
        <f t="shared" si="26"/>
        <v>194.95334156773308</v>
      </c>
      <c r="CG20" s="114">
        <f t="shared" si="26"/>
        <v>194.95334156773308</v>
      </c>
      <c r="CH20" s="114">
        <f t="shared" si="26"/>
        <v>194.95334156773308</v>
      </c>
      <c r="CI20" s="114">
        <f t="shared" si="26"/>
        <v>193.97857485989437</v>
      </c>
      <c r="CJ20" s="114">
        <f t="shared" si="26"/>
        <v>193.97857485989437</v>
      </c>
      <c r="CK20" s="114">
        <f t="shared" si="26"/>
        <v>193.97857485989437</v>
      </c>
      <c r="CL20" s="114">
        <f t="shared" si="26"/>
        <v>193.97857485989437</v>
      </c>
      <c r="CM20" s="114">
        <f t="shared" si="26"/>
        <v>193.97857485989437</v>
      </c>
      <c r="CN20" s="114">
        <f t="shared" si="26"/>
        <v>193.97857485989437</v>
      </c>
      <c r="CO20" s="114">
        <f t="shared" si="26"/>
        <v>193.97857485989437</v>
      </c>
      <c r="CP20" s="114">
        <f t="shared" si="26"/>
        <v>193.97857485989437</v>
      </c>
      <c r="CQ20" s="114">
        <f t="shared" si="26"/>
        <v>193.97857485989437</v>
      </c>
      <c r="CR20" s="114">
        <f t="shared" si="26"/>
        <v>193.97857485989437</v>
      </c>
      <c r="CS20" s="114">
        <f t="shared" si="26"/>
        <v>193.97857485989437</v>
      </c>
      <c r="CT20" s="114">
        <f t="shared" si="26"/>
        <v>193.97857485989437</v>
      </c>
      <c r="CU20" s="114">
        <f t="shared" si="26"/>
        <v>193.0086819855949</v>
      </c>
      <c r="CV20" s="114">
        <f t="shared" si="26"/>
        <v>193.0086819855949</v>
      </c>
      <c r="CW20" s="114">
        <f t="shared" si="26"/>
        <v>193.0086819855949</v>
      </c>
      <c r="CX20" s="114">
        <f t="shared" si="26"/>
        <v>193.0086819855949</v>
      </c>
      <c r="CY20" s="114">
        <f t="shared" si="26"/>
        <v>193.0086819855949</v>
      </c>
      <c r="CZ20" s="114">
        <f t="shared" si="26"/>
        <v>193.0086819855949</v>
      </c>
      <c r="DA20" s="114">
        <f t="shared" si="26"/>
        <v>193.0086819855949</v>
      </c>
      <c r="DB20" s="114">
        <f t="shared" si="26"/>
        <v>193.0086819855949</v>
      </c>
      <c r="DC20" s="114">
        <f t="shared" si="26"/>
        <v>193.0086819855949</v>
      </c>
      <c r="DD20" s="114">
        <f t="shared" si="26"/>
        <v>193.0086819855949</v>
      </c>
      <c r="DE20" s="114">
        <f t="shared" si="26"/>
        <v>193.0086819855949</v>
      </c>
      <c r="DF20" s="114">
        <f t="shared" si="26"/>
        <v>193.0086819855949</v>
      </c>
      <c r="DG20" s="114">
        <f t="shared" si="26"/>
        <v>192.0436385756669</v>
      </c>
      <c r="DH20" s="114">
        <f t="shared" si="26"/>
        <v>192.0436385756669</v>
      </c>
      <c r="DI20" s="114">
        <f t="shared" si="26"/>
        <v>192.0436385756669</v>
      </c>
      <c r="DJ20" s="114">
        <f t="shared" si="26"/>
        <v>192.0436385756669</v>
      </c>
      <c r="DK20" s="114">
        <f t="shared" si="26"/>
        <v>192.0436385756669</v>
      </c>
      <c r="DL20" s="114">
        <f t="shared" si="26"/>
        <v>192.0436385756669</v>
      </c>
      <c r="DM20" s="114">
        <f t="shared" si="26"/>
        <v>192.0436385756669</v>
      </c>
      <c r="DN20" s="114">
        <f t="shared" si="26"/>
        <v>192.0436385756669</v>
      </c>
      <c r="DO20" s="114">
        <f t="shared" si="26"/>
        <v>192.0436385756669</v>
      </c>
      <c r="DP20" s="114">
        <f t="shared" si="26"/>
        <v>192.0436385756669</v>
      </c>
      <c r="DQ20" s="114">
        <f t="shared" si="26"/>
        <v>192.0436385756669</v>
      </c>
      <c r="DR20" s="114">
        <f t="shared" si="26"/>
        <v>192.0436385756669</v>
      </c>
      <c r="DS20" s="114">
        <f t="shared" si="26"/>
        <v>-72.572209171913883</v>
      </c>
      <c r="DT20" s="114">
        <f t="shared" si="26"/>
        <v>-74.816802416677049</v>
      </c>
      <c r="DU20" s="114">
        <f t="shared" si="26"/>
        <v>-73.823168630686553</v>
      </c>
      <c r="DV20" s="114">
        <f t="shared" si="26"/>
        <v>-70.443964498672713</v>
      </c>
      <c r="DW20" s="114">
        <f t="shared" si="26"/>
        <v>-72.758197034419808</v>
      </c>
      <c r="DX20" s="114">
        <f t="shared" si="26"/>
        <v>-68.62739811556699</v>
      </c>
      <c r="DY20" s="114">
        <f t="shared" si="26"/>
        <v>-77.998129051138946</v>
      </c>
      <c r="DZ20" s="114">
        <f t="shared" si="26"/>
        <v>-68.553087896529249</v>
      </c>
      <c r="EA20" s="114">
        <f t="shared" ref="EA20:GL20" si="27">EA18*EA19/1000</f>
        <v>-70.760313716861987</v>
      </c>
      <c r="EB20" s="114">
        <f t="shared" si="27"/>
        <v>-73.287285793968593</v>
      </c>
      <c r="EC20" s="114">
        <f t="shared" si="27"/>
        <v>-72.839725960449798</v>
      </c>
      <c r="ED20" s="114">
        <f t="shared" si="27"/>
        <v>-74.334422937666289</v>
      </c>
      <c r="EE20" s="114">
        <f t="shared" si="27"/>
        <v>-72.104988977586828</v>
      </c>
      <c r="EF20" s="114">
        <f t="shared" si="27"/>
        <v>-72.516932984695373</v>
      </c>
      <c r="EG20" s="114">
        <f t="shared" si="27"/>
        <v>-76.069369099330046</v>
      </c>
      <c r="EH20" s="114">
        <f t="shared" si="27"/>
        <v>-71.730648064460468</v>
      </c>
      <c r="EI20" s="114">
        <f t="shared" si="27"/>
        <v>-72.915356778237296</v>
      </c>
      <c r="EJ20" s="114">
        <f t="shared" si="27"/>
        <v>-61.012076252832678</v>
      </c>
      <c r="EK20" s="114">
        <f t="shared" si="27"/>
        <v>-68.734653239427843</v>
      </c>
      <c r="EL20" s="114">
        <f t="shared" si="27"/>
        <v>-65.825272282556512</v>
      </c>
      <c r="EM20" s="114">
        <f t="shared" si="27"/>
        <v>-76.261609635980705</v>
      </c>
      <c r="EN20" s="114">
        <f t="shared" si="27"/>
        <v>-67.715567141842357</v>
      </c>
      <c r="EO20" s="114">
        <f t="shared" si="27"/>
        <v>-70.925350343897492</v>
      </c>
      <c r="EP20" s="114">
        <f t="shared" si="27"/>
        <v>-69.795144991061179</v>
      </c>
      <c r="EQ20" s="114">
        <f t="shared" si="27"/>
        <v>-68.380890513856599</v>
      </c>
      <c r="ER20" s="114">
        <f t="shared" si="27"/>
        <v>-73.159931104057719</v>
      </c>
      <c r="ES20" s="114">
        <f t="shared" si="27"/>
        <v>-81.369387881454557</v>
      </c>
      <c r="ET20" s="114">
        <f t="shared" si="27"/>
        <v>-70.159998516823805</v>
      </c>
      <c r="EU20" s="114">
        <f t="shared" si="27"/>
        <v>-67.32401964441911</v>
      </c>
      <c r="EV20" s="114">
        <f t="shared" si="27"/>
        <v>-70.548022308586283</v>
      </c>
      <c r="EW20" s="114">
        <f t="shared" si="27"/>
        <v>-59.897757150937174</v>
      </c>
      <c r="EX20" s="114">
        <f t="shared" si="27"/>
        <v>-70.970938814017515</v>
      </c>
      <c r="EY20" s="114">
        <f t="shared" si="27"/>
        <v>-69.755579353578426</v>
      </c>
      <c r="EZ20" s="114">
        <f t="shared" si="27"/>
        <v>-76.026178354584729</v>
      </c>
      <c r="FA20" s="114">
        <f t="shared" si="27"/>
        <v>-72.051772149468505</v>
      </c>
      <c r="FB20" s="114">
        <f t="shared" si="27"/>
        <v>-75.504469226115404</v>
      </c>
      <c r="FC20" s="114">
        <f t="shared" si="27"/>
        <v>-62.292069939240434</v>
      </c>
      <c r="FD20" s="114">
        <f t="shared" si="27"/>
        <v>-69.921719117938707</v>
      </c>
      <c r="FE20" s="114">
        <f t="shared" si="27"/>
        <v>-68.288706486708563</v>
      </c>
      <c r="FF20" s="114">
        <f t="shared" si="27"/>
        <v>-68.117206697055792</v>
      </c>
      <c r="FG20" s="114">
        <f t="shared" si="27"/>
        <v>-79.15677364465472</v>
      </c>
      <c r="FH20" s="114">
        <f t="shared" si="27"/>
        <v>-77.492807392853095</v>
      </c>
      <c r="FI20" s="114">
        <f t="shared" si="27"/>
        <v>-74.673936459999624</v>
      </c>
      <c r="FJ20" s="114">
        <f t="shared" si="27"/>
        <v>-71.840425301200156</v>
      </c>
      <c r="FK20" s="114">
        <f t="shared" si="27"/>
        <v>-70.090709154572153</v>
      </c>
      <c r="FL20" s="114">
        <f t="shared" si="27"/>
        <v>-79.157191936824617</v>
      </c>
      <c r="FM20" s="114">
        <f t="shared" si="27"/>
        <v>-76.582603631183829</v>
      </c>
      <c r="FN20" s="114">
        <f t="shared" si="27"/>
        <v>-72.747701017680228</v>
      </c>
      <c r="FO20" s="114">
        <f t="shared" si="27"/>
        <v>-69.938367146300109</v>
      </c>
      <c r="FP20" s="114">
        <f t="shared" si="27"/>
        <v>-70.655480967968018</v>
      </c>
      <c r="FQ20" s="114">
        <f t="shared" si="27"/>
        <v>-75.184577083690684</v>
      </c>
      <c r="FR20" s="114">
        <f t="shared" si="27"/>
        <v>-75.576638151601983</v>
      </c>
      <c r="FS20" s="114">
        <f t="shared" si="27"/>
        <v>-74.194019396186562</v>
      </c>
      <c r="FT20" s="114">
        <f t="shared" si="27"/>
        <v>-77.872401262640977</v>
      </c>
      <c r="FU20" s="114">
        <f t="shared" si="27"/>
        <v>-64.297182736034998</v>
      </c>
      <c r="FV20" s="114">
        <f t="shared" si="27"/>
        <v>-78.018487711512392</v>
      </c>
      <c r="FW20" s="114">
        <f t="shared" si="27"/>
        <v>-84.640657192973848</v>
      </c>
      <c r="FX20" s="114">
        <f t="shared" si="27"/>
        <v>-78.766816586357947</v>
      </c>
      <c r="FY20" s="114">
        <f t="shared" si="27"/>
        <v>-81.472953596505789</v>
      </c>
      <c r="FZ20" s="114">
        <f t="shared" si="27"/>
        <v>-79.643335279586395</v>
      </c>
      <c r="GA20" s="114">
        <f t="shared" si="27"/>
        <v>-76.154957360820788</v>
      </c>
      <c r="GB20" s="114">
        <f t="shared" si="27"/>
        <v>-69.869448470890944</v>
      </c>
      <c r="GC20" s="114">
        <f t="shared" si="27"/>
        <v>-64.434127336332423</v>
      </c>
      <c r="GD20" s="114">
        <f t="shared" si="27"/>
        <v>-66.045052990689186</v>
      </c>
      <c r="GE20" s="114">
        <f t="shared" si="27"/>
        <v>-66.671616105095822</v>
      </c>
      <c r="GF20" s="114">
        <f t="shared" si="27"/>
        <v>-67.702774171766364</v>
      </c>
      <c r="GG20" s="114">
        <f t="shared" si="27"/>
        <v>-71.993054320644546</v>
      </c>
      <c r="GH20" s="114">
        <f t="shared" si="27"/>
        <v>-68.764991216348648</v>
      </c>
      <c r="GI20" s="114">
        <f t="shared" si="27"/>
        <v>-74.123700205391486</v>
      </c>
      <c r="GJ20" s="114">
        <f t="shared" si="27"/>
        <v>-70.092658992150149</v>
      </c>
      <c r="GK20" s="114">
        <f t="shared" si="27"/>
        <v>-74.835986098834596</v>
      </c>
      <c r="GL20" s="114">
        <f t="shared" si="27"/>
        <v>-72.07256530409866</v>
      </c>
      <c r="GM20" s="114">
        <f t="shared" ref="GM20:IX20" si="28">GM18*GM19/1000</f>
        <v>-74.340251681786398</v>
      </c>
      <c r="GN20" s="114">
        <f t="shared" si="28"/>
        <v>-72.658267227164586</v>
      </c>
      <c r="GO20" s="114">
        <f t="shared" si="28"/>
        <v>-73.257798677795336</v>
      </c>
      <c r="GP20" s="114">
        <f t="shared" si="28"/>
        <v>-73.034880110928498</v>
      </c>
      <c r="GQ20" s="114">
        <f t="shared" si="28"/>
        <v>-74.034923293527029</v>
      </c>
      <c r="GR20" s="114">
        <f t="shared" si="28"/>
        <v>-70.560525223617375</v>
      </c>
      <c r="GS20" s="114">
        <f t="shared" si="28"/>
        <v>-75.008183284172972</v>
      </c>
      <c r="GT20" s="114">
        <f t="shared" si="28"/>
        <v>-72.911265378839687</v>
      </c>
      <c r="GU20" s="114">
        <f t="shared" si="28"/>
        <v>-70.625628982517455</v>
      </c>
      <c r="GV20" s="114">
        <f t="shared" si="28"/>
        <v>-75.40828296703377</v>
      </c>
      <c r="GW20" s="114">
        <f t="shared" si="28"/>
        <v>-75.068754502896496</v>
      </c>
      <c r="GX20" s="114">
        <f t="shared" si="28"/>
        <v>-69.765270447179304</v>
      </c>
      <c r="GY20" s="114">
        <f t="shared" si="28"/>
        <v>-76.276787713216606</v>
      </c>
      <c r="GZ20" s="114">
        <f t="shared" si="28"/>
        <v>-71.733291150872518</v>
      </c>
      <c r="HA20" s="114">
        <f t="shared" si="28"/>
        <v>-71.14618710130776</v>
      </c>
      <c r="HB20" s="114">
        <f t="shared" si="28"/>
        <v>-72.47537099005703</v>
      </c>
      <c r="HC20" s="114">
        <f t="shared" si="28"/>
        <v>-66.002466845833226</v>
      </c>
      <c r="HD20" s="114">
        <f t="shared" si="28"/>
        <v>-72.854610686877848</v>
      </c>
      <c r="HE20" s="114">
        <f t="shared" si="28"/>
        <v>-77.081595848199584</v>
      </c>
      <c r="HF20" s="114">
        <f t="shared" si="28"/>
        <v>-81.055617882020286</v>
      </c>
      <c r="HG20" s="114">
        <f t="shared" si="28"/>
        <v>-80.780515356002169</v>
      </c>
      <c r="HH20" s="114">
        <f t="shared" si="28"/>
        <v>-81.836236674179034</v>
      </c>
      <c r="HI20" s="114">
        <f t="shared" si="28"/>
        <v>-78.089758458450817</v>
      </c>
      <c r="HJ20" s="114">
        <f t="shared" si="28"/>
        <v>-72.859530553214995</v>
      </c>
      <c r="HK20" s="114">
        <f t="shared" si="28"/>
        <v>-76.797356720404537</v>
      </c>
      <c r="HL20" s="114">
        <f t="shared" si="28"/>
        <v>-74.383990086718072</v>
      </c>
      <c r="HM20" s="114">
        <f t="shared" si="28"/>
        <v>-80.602203000389963</v>
      </c>
      <c r="HN20" s="114">
        <f t="shared" si="28"/>
        <v>-81.651829834141679</v>
      </c>
      <c r="HO20" s="114">
        <f t="shared" si="28"/>
        <v>-80.274628049941967</v>
      </c>
      <c r="HP20" s="114">
        <f t="shared" si="28"/>
        <v>-75.119503954286813</v>
      </c>
      <c r="HQ20" s="114">
        <f t="shared" si="28"/>
        <v>-72.936214869856471</v>
      </c>
      <c r="HR20" s="114">
        <f t="shared" si="28"/>
        <v>-70.154071455092804</v>
      </c>
      <c r="HS20" s="114">
        <f t="shared" si="28"/>
        <v>-79.641098911653415</v>
      </c>
      <c r="HT20" s="114">
        <f t="shared" si="28"/>
        <v>-70.715395405051012</v>
      </c>
      <c r="HU20" s="114">
        <f t="shared" si="28"/>
        <v>-77.33379639641835</v>
      </c>
      <c r="HV20" s="114">
        <f t="shared" si="28"/>
        <v>-76.958900531584362</v>
      </c>
      <c r="HW20" s="114">
        <f t="shared" si="28"/>
        <v>-69.595074796656817</v>
      </c>
      <c r="HX20" s="114">
        <f t="shared" si="28"/>
        <v>-72.728210895405752</v>
      </c>
      <c r="HY20" s="114">
        <f t="shared" si="28"/>
        <v>-74.20081327476332</v>
      </c>
      <c r="HZ20" s="114">
        <f t="shared" si="28"/>
        <v>-79.462890795709214</v>
      </c>
      <c r="IA20" s="114">
        <f t="shared" si="28"/>
        <v>-78.413641305455812</v>
      </c>
      <c r="IB20" s="114">
        <f t="shared" si="28"/>
        <v>-83.776787732812934</v>
      </c>
      <c r="IC20" s="114">
        <f t="shared" si="28"/>
        <v>-79.36588088152331</v>
      </c>
      <c r="ID20" s="114">
        <f t="shared" si="28"/>
        <v>-77.071332576532015</v>
      </c>
      <c r="IE20" s="114">
        <f t="shared" si="28"/>
        <v>-74.375349940453432</v>
      </c>
      <c r="IF20" s="114">
        <f t="shared" si="28"/>
        <v>-80.027090715033083</v>
      </c>
      <c r="IG20" s="114">
        <f t="shared" si="28"/>
        <v>-79.889490878593662</v>
      </c>
      <c r="IH20" s="114">
        <f t="shared" si="28"/>
        <v>-88.610641573984211</v>
      </c>
      <c r="II20" s="114">
        <f t="shared" si="28"/>
        <v>-76.908508132908139</v>
      </c>
      <c r="IJ20" s="114">
        <f t="shared" si="28"/>
        <v>-78.366881715019758</v>
      </c>
      <c r="IK20" s="114">
        <f t="shared" si="28"/>
        <v>-85.83322134739231</v>
      </c>
      <c r="IL20" s="114">
        <f t="shared" si="28"/>
        <v>-82.571973306530708</v>
      </c>
      <c r="IM20" s="114">
        <f t="shared" si="28"/>
        <v>-78.689977496157752</v>
      </c>
      <c r="IN20" s="114">
        <f t="shared" si="28"/>
        <v>-81.34420933820634</v>
      </c>
      <c r="IO20" s="114">
        <f t="shared" si="28"/>
        <v>-73.894024494890687</v>
      </c>
      <c r="IP20" s="114">
        <f t="shared" si="28"/>
        <v>-80.245279812610747</v>
      </c>
      <c r="IQ20" s="114">
        <f t="shared" si="28"/>
        <v>-85.96084418094182</v>
      </c>
      <c r="IR20" s="114">
        <f t="shared" si="28"/>
        <v>-80.350689811207019</v>
      </c>
      <c r="IS20" s="114">
        <f t="shared" si="28"/>
        <v>-89.226938658520481</v>
      </c>
      <c r="IT20" s="114">
        <f t="shared" si="28"/>
        <v>-81.80179373824302</v>
      </c>
      <c r="IU20" s="114">
        <f t="shared" si="28"/>
        <v>-74.784355306789067</v>
      </c>
      <c r="IV20" s="114">
        <f t="shared" si="28"/>
        <v>-78.201289069140643</v>
      </c>
      <c r="IW20" s="114">
        <f t="shared" si="28"/>
        <v>-85.270239064851154</v>
      </c>
      <c r="IX20" s="114">
        <f t="shared" si="28"/>
        <v>-83.982710454410793</v>
      </c>
      <c r="IY20" s="114">
        <f t="shared" ref="IY20:KP20" si="29">IY18*IY19/1000</f>
        <v>-84.89812561501725</v>
      </c>
      <c r="IZ20" s="114">
        <f t="shared" si="29"/>
        <v>-85.725133692509843</v>
      </c>
      <c r="JA20" s="114">
        <f t="shared" si="29"/>
        <v>-79.676079955631309</v>
      </c>
      <c r="JB20" s="114">
        <f t="shared" si="29"/>
        <v>-80.568589644703735</v>
      </c>
      <c r="JC20" s="114">
        <f t="shared" si="29"/>
        <v>-74.016821085209443</v>
      </c>
      <c r="JD20" s="114">
        <f t="shared" si="29"/>
        <v>-75.829166289044053</v>
      </c>
      <c r="JE20" s="114">
        <f t="shared" si="29"/>
        <v>-78.816521997537691</v>
      </c>
      <c r="JF20" s="114">
        <f t="shared" si="29"/>
        <v>-88.486649488685316</v>
      </c>
      <c r="JG20" s="114">
        <f t="shared" si="29"/>
        <v>-92.24854568009539</v>
      </c>
      <c r="JH20" s="114">
        <f t="shared" si="29"/>
        <v>-86.651969440853151</v>
      </c>
      <c r="JI20" s="114">
        <f t="shared" si="29"/>
        <v>-89.140580608463608</v>
      </c>
      <c r="JJ20" s="114">
        <f t="shared" si="29"/>
        <v>-88.286919804664066</v>
      </c>
      <c r="JK20" s="114">
        <f t="shared" si="29"/>
        <v>-82.237323569775498</v>
      </c>
      <c r="JL20" s="114">
        <f t="shared" si="29"/>
        <v>-90.884687599645616</v>
      </c>
      <c r="JM20" s="114">
        <f t="shared" si="29"/>
        <v>-88.538819713981965</v>
      </c>
      <c r="JN20" s="114">
        <f t="shared" si="29"/>
        <v>-89.413672097454281</v>
      </c>
      <c r="JO20" s="114">
        <f t="shared" si="29"/>
        <v>-101.91630426326593</v>
      </c>
      <c r="JP20" s="114">
        <f t="shared" si="29"/>
        <v>-94.222561318670714</v>
      </c>
      <c r="JQ20" s="114">
        <f t="shared" si="29"/>
        <v>-92.157381903389862</v>
      </c>
      <c r="JR20" s="114">
        <f t="shared" si="29"/>
        <v>-89.00503446678303</v>
      </c>
      <c r="JS20" s="114">
        <f t="shared" si="29"/>
        <v>-84.435979948910401</v>
      </c>
      <c r="JT20" s="114">
        <f t="shared" si="29"/>
        <v>-84.335325943081614</v>
      </c>
      <c r="JU20" s="114">
        <f t="shared" si="29"/>
        <v>-86.343234114693971</v>
      </c>
      <c r="JV20" s="114">
        <f t="shared" si="29"/>
        <v>-86.318170073716843</v>
      </c>
      <c r="JW20" s="114">
        <f t="shared" si="29"/>
        <v>-92.251186630731937</v>
      </c>
      <c r="JX20" s="114">
        <f t="shared" si="29"/>
        <v>-92.679662378864819</v>
      </c>
      <c r="JY20" s="114">
        <f t="shared" si="29"/>
        <v>-92.253971524173863</v>
      </c>
      <c r="JZ20" s="114">
        <f t="shared" si="29"/>
        <v>-84.641664221691002</v>
      </c>
      <c r="KA20" s="114">
        <f t="shared" si="29"/>
        <v>-89.576893242664127</v>
      </c>
      <c r="KB20" s="114">
        <f t="shared" si="29"/>
        <v>-89.20411536336934</v>
      </c>
      <c r="KC20" s="114">
        <f t="shared" si="29"/>
        <v>-82.893148982095909</v>
      </c>
      <c r="KD20" s="114">
        <f t="shared" si="29"/>
        <v>-88.211897614211182</v>
      </c>
      <c r="KE20" s="114">
        <f t="shared" si="29"/>
        <v>-85.716758410470604</v>
      </c>
      <c r="KF20" s="114">
        <f t="shared" si="29"/>
        <v>-91.039789810857584</v>
      </c>
      <c r="KG20" s="114">
        <f t="shared" si="29"/>
        <v>-87.478698825665248</v>
      </c>
      <c r="KH20" s="114">
        <f t="shared" si="29"/>
        <v>-83.784997182398271</v>
      </c>
      <c r="KI20" s="114">
        <f t="shared" si="29"/>
        <v>-86.483129258328802</v>
      </c>
      <c r="KJ20" s="114">
        <f t="shared" si="29"/>
        <v>-84.725543222951529</v>
      </c>
      <c r="KK20" s="114">
        <f t="shared" si="29"/>
        <v>-89.051025792448712</v>
      </c>
      <c r="KL20" s="114">
        <f t="shared" si="29"/>
        <v>0</v>
      </c>
      <c r="KM20" s="114">
        <f t="shared" si="29"/>
        <v>0</v>
      </c>
      <c r="KN20" s="114">
        <f t="shared" si="29"/>
        <v>0</v>
      </c>
      <c r="KO20" s="114">
        <f t="shared" si="29"/>
        <v>0</v>
      </c>
      <c r="KP20" s="114">
        <f t="shared" si="29"/>
        <v>0</v>
      </c>
    </row>
    <row r="21" spans="1:302" ht="16" customHeight="1" x14ac:dyDescent="0.2">
      <c r="A21" s="104" t="s">
        <v>443</v>
      </c>
      <c r="B21" s="105" t="s">
        <v>215</v>
      </c>
      <c r="C21" s="106">
        <f>-Assumptions!$E$35*(1+Assumptions!$E$36)^0/12</f>
        <v>-34.5</v>
      </c>
      <c r="D21" s="106">
        <f>-Assumptions!$E$35*(1+Assumptions!$E$36)^0/12</f>
        <v>-34.5</v>
      </c>
      <c r="E21" s="106">
        <f>-Assumptions!$E$35*(1+Assumptions!$E$36)^0/12</f>
        <v>-34.5</v>
      </c>
      <c r="F21" s="106">
        <f>-Assumptions!$E$35*(1+Assumptions!$E$36)^0/12</f>
        <v>-34.5</v>
      </c>
      <c r="G21" s="106">
        <f>-Assumptions!$E$35*(1+Assumptions!$E$36)^0/12</f>
        <v>-34.5</v>
      </c>
      <c r="H21" s="106">
        <f>-Assumptions!$E$35*(1+Assumptions!$E$36)^0/12</f>
        <v>-34.5</v>
      </c>
      <c r="I21" s="106">
        <f>-Assumptions!$E$35*(1+Assumptions!$E$36)^0/12</f>
        <v>-34.5</v>
      </c>
      <c r="J21" s="106">
        <f>-Assumptions!$E$35*(1+Assumptions!$E$36)^0/12</f>
        <v>-34.5</v>
      </c>
      <c r="K21" s="106">
        <f>-Assumptions!$E$35*(1+Assumptions!$E$36)^0/12</f>
        <v>-34.5</v>
      </c>
      <c r="L21" s="106">
        <f>-Assumptions!$E$35*(1+Assumptions!$E$36)^0/12</f>
        <v>-34.5</v>
      </c>
      <c r="M21" s="106">
        <f>-Assumptions!$E$35*(1+Assumptions!$E$36)^0/12</f>
        <v>-34.5</v>
      </c>
      <c r="N21" s="106">
        <f>-Assumptions!$E$35*(1+Assumptions!$E$36)^0/12</f>
        <v>-34.5</v>
      </c>
      <c r="O21" s="106">
        <f>-Assumptions!$E$35*(1+Assumptions!$E$36)^1/12</f>
        <v>-35.190000000000005</v>
      </c>
      <c r="P21" s="106">
        <f>-Assumptions!$E$35*(1+Assumptions!$E$36)^1/12</f>
        <v>-35.190000000000005</v>
      </c>
      <c r="Q21" s="106">
        <f>-Assumptions!$E$35*(1+Assumptions!$E$36)^1/12</f>
        <v>-35.190000000000005</v>
      </c>
      <c r="R21" s="106">
        <f>-Assumptions!$E$35*(1+Assumptions!$E$36)^1/12</f>
        <v>-35.190000000000005</v>
      </c>
      <c r="S21" s="106">
        <f>-Assumptions!$E$35*(1+Assumptions!$E$36)^1/12</f>
        <v>-35.190000000000005</v>
      </c>
      <c r="T21" s="106">
        <f>-Assumptions!$E$35*(1+Assumptions!$E$36)^1/12</f>
        <v>-35.190000000000005</v>
      </c>
      <c r="U21" s="106">
        <f>-Assumptions!$E$35*(1+Assumptions!$E$36)^1/12</f>
        <v>-35.190000000000005</v>
      </c>
      <c r="V21" s="106">
        <f>-Assumptions!$E$35*(1+Assumptions!$E$36)^1/12</f>
        <v>-35.190000000000005</v>
      </c>
      <c r="W21" s="106">
        <f>-Assumptions!$E$35*(1+Assumptions!$E$36)^1/12</f>
        <v>-35.190000000000005</v>
      </c>
      <c r="X21" s="106">
        <f>-Assumptions!$E$35*(1+Assumptions!$E$36)^1/12</f>
        <v>-35.190000000000005</v>
      </c>
      <c r="Y21" s="106">
        <f>-Assumptions!$E$35*(1+Assumptions!$E$36)^1/12</f>
        <v>-35.190000000000005</v>
      </c>
      <c r="Z21" s="106">
        <f>-Assumptions!$E$35*(1+Assumptions!$E$36)^1/12</f>
        <v>-35.190000000000005</v>
      </c>
      <c r="AA21" s="106">
        <f>-Assumptions!$E$35*(1+Assumptions!$E$36)^2/12</f>
        <v>-35.893799999999999</v>
      </c>
      <c r="AB21" s="106">
        <f>-Assumptions!$E$35*(1+Assumptions!$E$36)^2/12</f>
        <v>-35.893799999999999</v>
      </c>
      <c r="AC21" s="106">
        <f>-Assumptions!$E$35*(1+Assumptions!$E$36)^2/12</f>
        <v>-35.893799999999999</v>
      </c>
      <c r="AD21" s="106">
        <f>-Assumptions!$E$35*(1+Assumptions!$E$36)^2/12</f>
        <v>-35.893799999999999</v>
      </c>
      <c r="AE21" s="106">
        <f>-Assumptions!$E$35*(1+Assumptions!$E$36)^2/12</f>
        <v>-35.893799999999999</v>
      </c>
      <c r="AF21" s="106">
        <f>-Assumptions!$E$35*(1+Assumptions!$E$36)^2/12</f>
        <v>-35.893799999999999</v>
      </c>
      <c r="AG21" s="106">
        <f>-Assumptions!$E$35*(1+Assumptions!$E$36)^2/12</f>
        <v>-35.893799999999999</v>
      </c>
      <c r="AH21" s="106">
        <f>-Assumptions!$E$35*(1+Assumptions!$E$36)^2/12</f>
        <v>-35.893799999999999</v>
      </c>
      <c r="AI21" s="106">
        <f>-Assumptions!$E$35*(1+Assumptions!$E$36)^2/12</f>
        <v>-35.893799999999999</v>
      </c>
      <c r="AJ21" s="106">
        <f>-Assumptions!$E$35*(1+Assumptions!$E$36)^2/12</f>
        <v>-35.893799999999999</v>
      </c>
      <c r="AK21" s="106">
        <f>-Assumptions!$E$35*(1+Assumptions!$E$36)^2/12</f>
        <v>-35.893799999999999</v>
      </c>
      <c r="AL21" s="106">
        <f>-Assumptions!$E$35*(1+Assumptions!$E$36)^2/12</f>
        <v>-35.893799999999999</v>
      </c>
      <c r="AM21" s="106">
        <f>-Assumptions!$E$35*(1+Assumptions!$E$36)^3/12</f>
        <v>-36.611675999999996</v>
      </c>
      <c r="AN21" s="106">
        <f>-Assumptions!$E$35*(1+Assumptions!$E$36)^3/12</f>
        <v>-36.611675999999996</v>
      </c>
      <c r="AO21" s="106">
        <f>-Assumptions!$E$35*(1+Assumptions!$E$36)^3/12</f>
        <v>-36.611675999999996</v>
      </c>
      <c r="AP21" s="106">
        <f>-Assumptions!$E$35*(1+Assumptions!$E$36)^3/12</f>
        <v>-36.611675999999996</v>
      </c>
      <c r="AQ21" s="106">
        <f>-Assumptions!$E$35*(1+Assumptions!$E$36)^3/12</f>
        <v>-36.611675999999996</v>
      </c>
      <c r="AR21" s="106">
        <f>-Assumptions!$E$35*(1+Assumptions!$E$36)^3/12</f>
        <v>-36.611675999999996</v>
      </c>
      <c r="AS21" s="106">
        <f>-Assumptions!$E$35*(1+Assumptions!$E$36)^3/12</f>
        <v>-36.611675999999996</v>
      </c>
      <c r="AT21" s="106">
        <f>-Assumptions!$E$35*(1+Assumptions!$E$36)^3/12</f>
        <v>-36.611675999999996</v>
      </c>
      <c r="AU21" s="106">
        <f>-Assumptions!$E$35*(1+Assumptions!$E$36)^3/12</f>
        <v>-36.611675999999996</v>
      </c>
      <c r="AV21" s="106">
        <f>-Assumptions!$E$35*(1+Assumptions!$E$36)^3/12</f>
        <v>-36.611675999999996</v>
      </c>
      <c r="AW21" s="106">
        <f>-Assumptions!$E$35*(1+Assumptions!$E$36)^3/12</f>
        <v>-36.611675999999996</v>
      </c>
      <c r="AX21" s="106">
        <f>-Assumptions!$E$35*(1+Assumptions!$E$36)^3/12</f>
        <v>-36.611675999999996</v>
      </c>
      <c r="AY21" s="106">
        <f>-Assumptions!$E$35*(1+Assumptions!$E$36)^4/12</f>
        <v>-37.343909519999997</v>
      </c>
      <c r="AZ21" s="106">
        <f>-Assumptions!$E$35*(1+Assumptions!$E$36)^4/12</f>
        <v>-37.343909519999997</v>
      </c>
      <c r="BA21" s="106">
        <f>-Assumptions!$E$35*(1+Assumptions!$E$36)^4/12</f>
        <v>-37.343909519999997</v>
      </c>
      <c r="BB21" s="106">
        <f>-Assumptions!$E$35*(1+Assumptions!$E$36)^4/12</f>
        <v>-37.343909519999997</v>
      </c>
      <c r="BC21" s="106">
        <f>-Assumptions!$E$35*(1+Assumptions!$E$36)^4/12</f>
        <v>-37.343909519999997</v>
      </c>
      <c r="BD21" s="106">
        <f>-Assumptions!$E$35*(1+Assumptions!$E$36)^4/12</f>
        <v>-37.343909519999997</v>
      </c>
      <c r="BE21" s="106">
        <f>-Assumptions!$E$35*(1+Assumptions!$E$36)^4/12</f>
        <v>-37.343909519999997</v>
      </c>
      <c r="BF21" s="106">
        <f>-Assumptions!$E$35*(1+Assumptions!$E$36)^4/12</f>
        <v>-37.343909519999997</v>
      </c>
      <c r="BG21" s="106">
        <f>-Assumptions!$E$35*(1+Assumptions!$E$36)^4/12</f>
        <v>-37.343909519999997</v>
      </c>
      <c r="BH21" s="106">
        <f>-Assumptions!$E$35*(1+Assumptions!$E$36)^4/12</f>
        <v>-37.343909519999997</v>
      </c>
      <c r="BI21" s="106">
        <f>-Assumptions!$E$35*(1+Assumptions!$E$36)^4/12</f>
        <v>-37.343909519999997</v>
      </c>
      <c r="BJ21" s="106">
        <f>-Assumptions!$E$35*(1+Assumptions!$E$36)^4/12</f>
        <v>-37.343909519999997</v>
      </c>
      <c r="BK21" s="106">
        <f>-Assumptions!$E$35*(1+Assumptions!$E$36)^5/12</f>
        <v>-38.090787710400001</v>
      </c>
      <c r="BL21" s="106">
        <f>-Assumptions!$E$35*(1+Assumptions!$E$36)^5/12</f>
        <v>-38.090787710400001</v>
      </c>
      <c r="BM21" s="106">
        <f>-Assumptions!$E$35*(1+Assumptions!$E$36)^5/12</f>
        <v>-38.090787710400001</v>
      </c>
      <c r="BN21" s="106">
        <f>-Assumptions!$E$35*(1+Assumptions!$E$36)^5/12</f>
        <v>-38.090787710400001</v>
      </c>
      <c r="BO21" s="106">
        <f>-Assumptions!$E$35*(1+Assumptions!$E$36)^5/12</f>
        <v>-38.090787710400001</v>
      </c>
      <c r="BP21" s="106">
        <f>-Assumptions!$E$35*(1+Assumptions!$E$36)^5/12</f>
        <v>-38.090787710400001</v>
      </c>
      <c r="BQ21" s="106">
        <f>-Assumptions!$E$35*(1+Assumptions!$E$36)^5/12</f>
        <v>-38.090787710400001</v>
      </c>
      <c r="BR21" s="106">
        <f>-Assumptions!$E$35*(1+Assumptions!$E$36)^5/12</f>
        <v>-38.090787710400001</v>
      </c>
      <c r="BS21" s="106">
        <f>-Assumptions!$E$35*(1+Assumptions!$E$36)^5/12</f>
        <v>-38.090787710400001</v>
      </c>
      <c r="BT21" s="106">
        <f>-Assumptions!$E$35*(1+Assumptions!$E$36)^5/12</f>
        <v>-38.090787710400001</v>
      </c>
      <c r="BU21" s="106">
        <f>-Assumptions!$E$35*(1+Assumptions!$E$36)^5/12</f>
        <v>-38.090787710400001</v>
      </c>
      <c r="BV21" s="106">
        <f>-Assumptions!$E$35*(1+Assumptions!$E$36)^5/12</f>
        <v>-38.090787710400001</v>
      </c>
      <c r="BW21" s="106">
        <f>-Assumptions!$E$35*(1+Assumptions!$E$36)^6/12</f>
        <v>-38.852603464608002</v>
      </c>
      <c r="BX21" s="106">
        <f>-Assumptions!$E$35*(1+Assumptions!$E$36)^6/12</f>
        <v>-38.852603464608002</v>
      </c>
      <c r="BY21" s="106">
        <f>-Assumptions!$E$35*(1+Assumptions!$E$36)^6/12</f>
        <v>-38.852603464608002</v>
      </c>
      <c r="BZ21" s="106">
        <f>-Assumptions!$E$35*(1+Assumptions!$E$36)^6/12</f>
        <v>-38.852603464608002</v>
      </c>
      <c r="CA21" s="106">
        <f>-Assumptions!$E$35*(1+Assumptions!$E$36)^6/12</f>
        <v>-38.852603464608002</v>
      </c>
      <c r="CB21" s="106">
        <f>-Assumptions!$E$35*(1+Assumptions!$E$36)^6/12</f>
        <v>-38.852603464608002</v>
      </c>
      <c r="CC21" s="106">
        <f>-Assumptions!$E$35*(1+Assumptions!$E$36)^6/12</f>
        <v>-38.852603464608002</v>
      </c>
      <c r="CD21" s="106">
        <f>-Assumptions!$E$35*(1+Assumptions!$E$36)^6/12</f>
        <v>-38.852603464608002</v>
      </c>
      <c r="CE21" s="106">
        <f>-Assumptions!$E$35*(1+Assumptions!$E$36)^6/12</f>
        <v>-38.852603464608002</v>
      </c>
      <c r="CF21" s="106">
        <f>-Assumptions!$E$35*(1+Assumptions!$E$36)^6/12</f>
        <v>-38.852603464608002</v>
      </c>
      <c r="CG21" s="106">
        <f>-Assumptions!$E$35*(1+Assumptions!$E$36)^6/12</f>
        <v>-38.852603464608002</v>
      </c>
      <c r="CH21" s="106">
        <f>-Assumptions!$E$35*(1+Assumptions!$E$36)^6/12</f>
        <v>-38.852603464608002</v>
      </c>
      <c r="CI21" s="106">
        <f>-Assumptions!$E$35*(1+Assumptions!$E$36)^7/12</f>
        <v>-39.629655533900156</v>
      </c>
      <c r="CJ21" s="106">
        <f>-Assumptions!$E$35*(1+Assumptions!$E$36)^7/12</f>
        <v>-39.629655533900156</v>
      </c>
      <c r="CK21" s="106">
        <f>-Assumptions!$E$35*(1+Assumptions!$E$36)^7/12</f>
        <v>-39.629655533900156</v>
      </c>
      <c r="CL21" s="106">
        <f>-Assumptions!$E$35*(1+Assumptions!$E$36)^7/12</f>
        <v>-39.629655533900156</v>
      </c>
      <c r="CM21" s="106">
        <f>-Assumptions!$E$35*(1+Assumptions!$E$36)^7/12</f>
        <v>-39.629655533900156</v>
      </c>
      <c r="CN21" s="106">
        <f>-Assumptions!$E$35*(1+Assumptions!$E$36)^7/12</f>
        <v>-39.629655533900156</v>
      </c>
      <c r="CO21" s="106">
        <f>-Assumptions!$E$35*(1+Assumptions!$E$36)^7/12</f>
        <v>-39.629655533900156</v>
      </c>
      <c r="CP21" s="106">
        <f>-Assumptions!$E$35*(1+Assumptions!$E$36)^7/12</f>
        <v>-39.629655533900156</v>
      </c>
      <c r="CQ21" s="106">
        <f>-Assumptions!$E$35*(1+Assumptions!$E$36)^7/12</f>
        <v>-39.629655533900156</v>
      </c>
      <c r="CR21" s="106">
        <f>-Assumptions!$E$35*(1+Assumptions!$E$36)^7/12</f>
        <v>-39.629655533900156</v>
      </c>
      <c r="CS21" s="106">
        <f>-Assumptions!$E$35*(1+Assumptions!$E$36)^7/12</f>
        <v>-39.629655533900156</v>
      </c>
      <c r="CT21" s="106">
        <f>-Assumptions!$E$35*(1+Assumptions!$E$36)^7/12</f>
        <v>-39.629655533900156</v>
      </c>
      <c r="CU21" s="106">
        <f>-Assumptions!$E$35*(1+Assumptions!$E$36)^8/12</f>
        <v>-40.422248644578161</v>
      </c>
      <c r="CV21" s="106">
        <f>-Assumptions!$E$35*(1+Assumptions!$E$36)^8/12</f>
        <v>-40.422248644578161</v>
      </c>
      <c r="CW21" s="106">
        <f>-Assumptions!$E$35*(1+Assumptions!$E$36)^8/12</f>
        <v>-40.422248644578161</v>
      </c>
      <c r="CX21" s="106">
        <f>-Assumptions!$E$35*(1+Assumptions!$E$36)^8/12</f>
        <v>-40.422248644578161</v>
      </c>
      <c r="CY21" s="106">
        <f>-Assumptions!$E$35*(1+Assumptions!$E$36)^8/12</f>
        <v>-40.422248644578161</v>
      </c>
      <c r="CZ21" s="106">
        <f>-Assumptions!$E$35*(1+Assumptions!$E$36)^8/12</f>
        <v>-40.422248644578161</v>
      </c>
      <c r="DA21" s="106">
        <f>-Assumptions!$E$35*(1+Assumptions!$E$36)^8/12</f>
        <v>-40.422248644578161</v>
      </c>
      <c r="DB21" s="106">
        <f>-Assumptions!$E$35*(1+Assumptions!$E$36)^8/12</f>
        <v>-40.422248644578161</v>
      </c>
      <c r="DC21" s="106">
        <f>-Assumptions!$E$35*(1+Assumptions!$E$36)^8/12</f>
        <v>-40.422248644578161</v>
      </c>
      <c r="DD21" s="106">
        <f>-Assumptions!$E$35*(1+Assumptions!$E$36)^8/12</f>
        <v>-40.422248644578161</v>
      </c>
      <c r="DE21" s="106">
        <f>-Assumptions!$E$35*(1+Assumptions!$E$36)^8/12</f>
        <v>-40.422248644578161</v>
      </c>
      <c r="DF21" s="106">
        <f>-Assumptions!$E$35*(1+Assumptions!$E$36)^8/12</f>
        <v>-40.422248644578161</v>
      </c>
      <c r="DG21" s="106">
        <f>-Assumptions!$E$35*(1+Assumptions!$E$36)^9/12</f>
        <v>-41.230693617469726</v>
      </c>
      <c r="DH21" s="106">
        <f>-Assumptions!$E$35*(1+Assumptions!$E$36)^9/12</f>
        <v>-41.230693617469726</v>
      </c>
      <c r="DI21" s="106">
        <f>-Assumptions!$E$35*(1+Assumptions!$E$36)^9/12</f>
        <v>-41.230693617469726</v>
      </c>
      <c r="DJ21" s="106">
        <f>-Assumptions!$E$35*(1+Assumptions!$E$36)^9/12</f>
        <v>-41.230693617469726</v>
      </c>
      <c r="DK21" s="106">
        <f>-Assumptions!$E$35*(1+Assumptions!$E$36)^9/12</f>
        <v>-41.230693617469726</v>
      </c>
      <c r="DL21" s="106">
        <f>-Assumptions!$E$35*(1+Assumptions!$E$36)^9/12</f>
        <v>-41.230693617469726</v>
      </c>
      <c r="DM21" s="106">
        <f>-Assumptions!$E$35*(1+Assumptions!$E$36)^9/12</f>
        <v>-41.230693617469726</v>
      </c>
      <c r="DN21" s="106">
        <f>-Assumptions!$E$35*(1+Assumptions!$E$36)^9/12</f>
        <v>-41.230693617469726</v>
      </c>
      <c r="DO21" s="106">
        <f>-Assumptions!$E$35*(1+Assumptions!$E$36)^9/12</f>
        <v>-41.230693617469726</v>
      </c>
      <c r="DP21" s="106">
        <f>-Assumptions!$E$35*(1+Assumptions!$E$36)^9/12</f>
        <v>-41.230693617469726</v>
      </c>
      <c r="DQ21" s="106">
        <f>-Assumptions!$E$35*(1+Assumptions!$E$36)^9/12</f>
        <v>-41.230693617469726</v>
      </c>
      <c r="DR21" s="106">
        <f>-Assumptions!$E$35*(1+Assumptions!$E$36)^9/12</f>
        <v>-41.230693617469726</v>
      </c>
      <c r="DS21" s="106">
        <f>-Assumptions!$E$35*(1+Assumptions!$E$36)^10/12</f>
        <v>-42.055307489819121</v>
      </c>
      <c r="DT21" s="106">
        <f>-Assumptions!$E$35*(1+Assumptions!$E$36)^10/12</f>
        <v>-42.055307489819121</v>
      </c>
      <c r="DU21" s="106">
        <f>-Assumptions!$E$35*(1+Assumptions!$E$36)^10/12</f>
        <v>-42.055307489819121</v>
      </c>
      <c r="DV21" s="106">
        <f>-Assumptions!$E$35*(1+Assumptions!$E$36)^10/12</f>
        <v>-42.055307489819121</v>
      </c>
      <c r="DW21" s="106">
        <f>-Assumptions!$E$35*(1+Assumptions!$E$36)^10/12</f>
        <v>-42.055307489819121</v>
      </c>
      <c r="DX21" s="106">
        <f>-Assumptions!$E$35*(1+Assumptions!$E$36)^10/12</f>
        <v>-42.055307489819121</v>
      </c>
      <c r="DY21" s="106">
        <f>-Assumptions!$E$35*(1+Assumptions!$E$36)^10/12</f>
        <v>-42.055307489819121</v>
      </c>
      <c r="DZ21" s="106">
        <f>-Assumptions!$E$35*(1+Assumptions!$E$36)^10/12</f>
        <v>-42.055307489819121</v>
      </c>
      <c r="EA21" s="106">
        <f>-Assumptions!$E$35*(1+Assumptions!$E$36)^10/12</f>
        <v>-42.055307489819121</v>
      </c>
      <c r="EB21" s="106">
        <f>-Assumptions!$E$35*(1+Assumptions!$E$36)^10/12</f>
        <v>-42.055307489819121</v>
      </c>
      <c r="EC21" s="106">
        <f>-Assumptions!$E$35*(1+Assumptions!$E$36)^10/12</f>
        <v>-42.055307489819121</v>
      </c>
      <c r="ED21" s="106">
        <f>-Assumptions!$E$35*(1+Assumptions!$E$36)^10/12</f>
        <v>-42.055307489819121</v>
      </c>
      <c r="EE21" s="106">
        <f>-Assumptions!$E$35*(1+Assumptions!$E$36)^11/12</f>
        <v>-42.896413639615496</v>
      </c>
      <c r="EF21" s="106">
        <f>-Assumptions!$E$35*(1+Assumptions!$E$36)^11/12</f>
        <v>-42.896413639615496</v>
      </c>
      <c r="EG21" s="106">
        <f>-Assumptions!$E$35*(1+Assumptions!$E$36)^11/12</f>
        <v>-42.896413639615496</v>
      </c>
      <c r="EH21" s="106">
        <f>-Assumptions!$E$35*(1+Assumptions!$E$36)^11/12</f>
        <v>-42.896413639615496</v>
      </c>
      <c r="EI21" s="106">
        <f>-Assumptions!$E$35*(1+Assumptions!$E$36)^11/12</f>
        <v>-42.896413639615496</v>
      </c>
      <c r="EJ21" s="106">
        <f>-Assumptions!$E$35*(1+Assumptions!$E$36)^11/12</f>
        <v>-42.896413639615496</v>
      </c>
      <c r="EK21" s="106">
        <f>-Assumptions!$E$35*(1+Assumptions!$E$36)^11/12</f>
        <v>-42.896413639615496</v>
      </c>
      <c r="EL21" s="106">
        <f>-Assumptions!$E$35*(1+Assumptions!$E$36)^11/12</f>
        <v>-42.896413639615496</v>
      </c>
      <c r="EM21" s="106">
        <f>-Assumptions!$E$35*(1+Assumptions!$E$36)^11/12</f>
        <v>-42.896413639615496</v>
      </c>
      <c r="EN21" s="106">
        <f>-Assumptions!$E$35*(1+Assumptions!$E$36)^11/12</f>
        <v>-42.896413639615496</v>
      </c>
      <c r="EO21" s="106">
        <f>-Assumptions!$E$35*(1+Assumptions!$E$36)^11/12</f>
        <v>-42.896413639615496</v>
      </c>
      <c r="EP21" s="106">
        <f>-Assumptions!$E$35*(1+Assumptions!$E$36)^11/12</f>
        <v>-42.896413639615496</v>
      </c>
      <c r="EQ21" s="106">
        <f>-Assumptions!$E$35*(1+Assumptions!$E$36)^12/12</f>
        <v>-43.754341912407817</v>
      </c>
      <c r="ER21" s="106">
        <f>-Assumptions!$E$35*(1+Assumptions!$E$36)^12/12</f>
        <v>-43.754341912407817</v>
      </c>
      <c r="ES21" s="106">
        <f>-Assumptions!$E$35*(1+Assumptions!$E$36)^12/12</f>
        <v>-43.754341912407817</v>
      </c>
      <c r="ET21" s="106">
        <f>-Assumptions!$E$35*(1+Assumptions!$E$36)^12/12</f>
        <v>-43.754341912407817</v>
      </c>
      <c r="EU21" s="106">
        <f>-Assumptions!$E$35*(1+Assumptions!$E$36)^12/12</f>
        <v>-43.754341912407817</v>
      </c>
      <c r="EV21" s="106">
        <f>-Assumptions!$E$35*(1+Assumptions!$E$36)^12/12</f>
        <v>-43.754341912407817</v>
      </c>
      <c r="EW21" s="106">
        <f>-Assumptions!$E$35*(1+Assumptions!$E$36)^12/12</f>
        <v>-43.754341912407817</v>
      </c>
      <c r="EX21" s="106">
        <f>-Assumptions!$E$35*(1+Assumptions!$E$36)^12/12</f>
        <v>-43.754341912407817</v>
      </c>
      <c r="EY21" s="106">
        <f>-Assumptions!$E$35*(1+Assumptions!$E$36)^12/12</f>
        <v>-43.754341912407817</v>
      </c>
      <c r="EZ21" s="106">
        <f>-Assumptions!$E$35*(1+Assumptions!$E$36)^12/12</f>
        <v>-43.754341912407817</v>
      </c>
      <c r="FA21" s="106">
        <f>-Assumptions!$E$35*(1+Assumptions!$E$36)^12/12</f>
        <v>-43.754341912407817</v>
      </c>
      <c r="FB21" s="106">
        <f>-Assumptions!$E$35*(1+Assumptions!$E$36)^12/12</f>
        <v>-43.754341912407817</v>
      </c>
      <c r="FC21" s="106">
        <f>-Assumptions!$E$35*(1+Assumptions!$E$36)^13/12</f>
        <v>-44.629428750655961</v>
      </c>
      <c r="FD21" s="106">
        <f>-Assumptions!$E$35*(1+Assumptions!$E$36)^13/12</f>
        <v>-44.629428750655961</v>
      </c>
      <c r="FE21" s="106">
        <f>-Assumptions!$E$35*(1+Assumptions!$E$36)^13/12</f>
        <v>-44.629428750655961</v>
      </c>
      <c r="FF21" s="106">
        <f>-Assumptions!$E$35*(1+Assumptions!$E$36)^13/12</f>
        <v>-44.629428750655961</v>
      </c>
      <c r="FG21" s="106">
        <f>-Assumptions!$E$35*(1+Assumptions!$E$36)^13/12</f>
        <v>-44.629428750655961</v>
      </c>
      <c r="FH21" s="106">
        <f>-Assumptions!$E$35*(1+Assumptions!$E$36)^13/12</f>
        <v>-44.629428750655961</v>
      </c>
      <c r="FI21" s="106">
        <f>-Assumptions!$E$35*(1+Assumptions!$E$36)^13/12</f>
        <v>-44.629428750655961</v>
      </c>
      <c r="FJ21" s="106">
        <f>-Assumptions!$E$35*(1+Assumptions!$E$36)^13/12</f>
        <v>-44.629428750655961</v>
      </c>
      <c r="FK21" s="106">
        <f>-Assumptions!$E$35*(1+Assumptions!$E$36)^13/12</f>
        <v>-44.629428750655961</v>
      </c>
      <c r="FL21" s="106">
        <f>-Assumptions!$E$35*(1+Assumptions!$E$36)^13/12</f>
        <v>-44.629428750655961</v>
      </c>
      <c r="FM21" s="106">
        <f>-Assumptions!$E$35*(1+Assumptions!$E$36)^13/12</f>
        <v>-44.629428750655961</v>
      </c>
      <c r="FN21" s="106">
        <f>-Assumptions!$E$35*(1+Assumptions!$E$36)^13/12</f>
        <v>-44.629428750655961</v>
      </c>
      <c r="FO21" s="106">
        <f>-Assumptions!$E$35*(1+Assumptions!$E$36)^14/12</f>
        <v>-45.52201732566909</v>
      </c>
      <c r="FP21" s="106">
        <f>-Assumptions!$E$35*(1+Assumptions!$E$36)^14/12</f>
        <v>-45.52201732566909</v>
      </c>
      <c r="FQ21" s="106">
        <f>-Assumptions!$E$35*(1+Assumptions!$E$36)^14/12</f>
        <v>-45.52201732566909</v>
      </c>
      <c r="FR21" s="106">
        <f>-Assumptions!$E$35*(1+Assumptions!$E$36)^14/12</f>
        <v>-45.52201732566909</v>
      </c>
      <c r="FS21" s="106">
        <f>-Assumptions!$E$35*(1+Assumptions!$E$36)^14/12</f>
        <v>-45.52201732566909</v>
      </c>
      <c r="FT21" s="106">
        <f>-Assumptions!$E$35*(1+Assumptions!$E$36)^14/12</f>
        <v>-45.52201732566909</v>
      </c>
      <c r="FU21" s="106">
        <f>-Assumptions!$E$35*(1+Assumptions!$E$36)^14/12</f>
        <v>-45.52201732566909</v>
      </c>
      <c r="FV21" s="106">
        <f>-Assumptions!$E$35*(1+Assumptions!$E$36)^14/12</f>
        <v>-45.52201732566909</v>
      </c>
      <c r="FW21" s="106">
        <f>-Assumptions!$E$35*(1+Assumptions!$E$36)^14/12</f>
        <v>-45.52201732566909</v>
      </c>
      <c r="FX21" s="106">
        <f>-Assumptions!$E$35*(1+Assumptions!$E$36)^14/12</f>
        <v>-45.52201732566909</v>
      </c>
      <c r="FY21" s="106">
        <f>-Assumptions!$E$35*(1+Assumptions!$E$36)^14/12</f>
        <v>-45.52201732566909</v>
      </c>
      <c r="FZ21" s="106">
        <f>-Assumptions!$E$35*(1+Assumptions!$E$36)^14/12</f>
        <v>-45.52201732566909</v>
      </c>
      <c r="GA21" s="106">
        <f>-Assumptions!$E$35*(1+Assumptions!$E$36)^15/12</f>
        <v>-46.432457672182458</v>
      </c>
      <c r="GB21" s="106">
        <f>-Assumptions!$E$35*(1+Assumptions!$E$36)^15/12</f>
        <v>-46.432457672182458</v>
      </c>
      <c r="GC21" s="106">
        <f>-Assumptions!$E$35*(1+Assumptions!$E$36)^15/12</f>
        <v>-46.432457672182458</v>
      </c>
      <c r="GD21" s="106">
        <f>-Assumptions!$E$35*(1+Assumptions!$E$36)^15/12</f>
        <v>-46.432457672182458</v>
      </c>
      <c r="GE21" s="106">
        <f>-Assumptions!$E$35*(1+Assumptions!$E$36)^15/12</f>
        <v>-46.432457672182458</v>
      </c>
      <c r="GF21" s="106">
        <f>-Assumptions!$E$35*(1+Assumptions!$E$36)^15/12</f>
        <v>-46.432457672182458</v>
      </c>
      <c r="GG21" s="106">
        <f>-Assumptions!$E$35*(1+Assumptions!$E$36)^15/12</f>
        <v>-46.432457672182458</v>
      </c>
      <c r="GH21" s="106">
        <f>-Assumptions!$E$35*(1+Assumptions!$E$36)^15/12</f>
        <v>-46.432457672182458</v>
      </c>
      <c r="GI21" s="106">
        <f>-Assumptions!$E$35*(1+Assumptions!$E$36)^15/12</f>
        <v>-46.432457672182458</v>
      </c>
      <c r="GJ21" s="106">
        <f>-Assumptions!$E$35*(1+Assumptions!$E$36)^15/12</f>
        <v>-46.432457672182458</v>
      </c>
      <c r="GK21" s="106">
        <f>-Assumptions!$E$35*(1+Assumptions!$E$36)^15/12</f>
        <v>-46.432457672182458</v>
      </c>
      <c r="GL21" s="106">
        <f>-Assumptions!$E$35*(1+Assumptions!$E$36)^15/12</f>
        <v>-46.432457672182458</v>
      </c>
      <c r="GM21" s="106">
        <f>-Assumptions!$E$35*(1+Assumptions!$E$36)^16/12</f>
        <v>-47.361106825626116</v>
      </c>
      <c r="GN21" s="106">
        <f>-Assumptions!$E$35*(1+Assumptions!$E$36)^16/12</f>
        <v>-47.361106825626116</v>
      </c>
      <c r="GO21" s="106">
        <f>-Assumptions!$E$35*(1+Assumptions!$E$36)^16/12</f>
        <v>-47.361106825626116</v>
      </c>
      <c r="GP21" s="106">
        <f>-Assumptions!$E$35*(1+Assumptions!$E$36)^16/12</f>
        <v>-47.361106825626116</v>
      </c>
      <c r="GQ21" s="106">
        <f>-Assumptions!$E$35*(1+Assumptions!$E$36)^16/12</f>
        <v>-47.361106825626116</v>
      </c>
      <c r="GR21" s="106">
        <f>-Assumptions!$E$35*(1+Assumptions!$E$36)^16/12</f>
        <v>-47.361106825626116</v>
      </c>
      <c r="GS21" s="106">
        <f>-Assumptions!$E$35*(1+Assumptions!$E$36)^16/12</f>
        <v>-47.361106825626116</v>
      </c>
      <c r="GT21" s="106">
        <f>-Assumptions!$E$35*(1+Assumptions!$E$36)^16/12</f>
        <v>-47.361106825626116</v>
      </c>
      <c r="GU21" s="106">
        <f>-Assumptions!$E$35*(1+Assumptions!$E$36)^16/12</f>
        <v>-47.361106825626116</v>
      </c>
      <c r="GV21" s="106">
        <f>-Assumptions!$E$35*(1+Assumptions!$E$36)^16/12</f>
        <v>-47.361106825626116</v>
      </c>
      <c r="GW21" s="106">
        <f>-Assumptions!$E$35*(1+Assumptions!$E$36)^16/12</f>
        <v>-47.361106825626116</v>
      </c>
      <c r="GX21" s="106">
        <f>-Assumptions!$E$35*(1+Assumptions!$E$36)^16/12</f>
        <v>-47.361106825626116</v>
      </c>
      <c r="GY21" s="106">
        <f>-Assumptions!$E$35*(1+Assumptions!$E$36)^17/12</f>
        <v>-48.308328962138638</v>
      </c>
      <c r="GZ21" s="106">
        <f>-Assumptions!$E$35*(1+Assumptions!$E$36)^17/12</f>
        <v>-48.308328962138638</v>
      </c>
      <c r="HA21" s="106">
        <f>-Assumptions!$E$35*(1+Assumptions!$E$36)^17/12</f>
        <v>-48.308328962138638</v>
      </c>
      <c r="HB21" s="106">
        <f>-Assumptions!$E$35*(1+Assumptions!$E$36)^17/12</f>
        <v>-48.308328962138638</v>
      </c>
      <c r="HC21" s="106">
        <f>-Assumptions!$E$35*(1+Assumptions!$E$36)^17/12</f>
        <v>-48.308328962138638</v>
      </c>
      <c r="HD21" s="106">
        <f>-Assumptions!$E$35*(1+Assumptions!$E$36)^17/12</f>
        <v>-48.308328962138638</v>
      </c>
      <c r="HE21" s="106">
        <f>-Assumptions!$E$35*(1+Assumptions!$E$36)^17/12</f>
        <v>-48.308328962138638</v>
      </c>
      <c r="HF21" s="106">
        <f>-Assumptions!$E$35*(1+Assumptions!$E$36)^17/12</f>
        <v>-48.308328962138638</v>
      </c>
      <c r="HG21" s="106">
        <f>-Assumptions!$E$35*(1+Assumptions!$E$36)^17/12</f>
        <v>-48.308328962138638</v>
      </c>
      <c r="HH21" s="106">
        <f>-Assumptions!$E$35*(1+Assumptions!$E$36)^17/12</f>
        <v>-48.308328962138638</v>
      </c>
      <c r="HI21" s="106">
        <f>-Assumptions!$E$35*(1+Assumptions!$E$36)^17/12</f>
        <v>-48.308328962138638</v>
      </c>
      <c r="HJ21" s="106">
        <f>-Assumptions!$E$35*(1+Assumptions!$E$36)^17/12</f>
        <v>-48.308328962138638</v>
      </c>
      <c r="HK21" s="106">
        <f>-Assumptions!$E$35*(1+Assumptions!$E$36)^18/12</f>
        <v>-49.274495541381413</v>
      </c>
      <c r="HL21" s="106">
        <f>-Assumptions!$E$35*(1+Assumptions!$E$36)^18/12</f>
        <v>-49.274495541381413</v>
      </c>
      <c r="HM21" s="106">
        <f>-Assumptions!$E$35*(1+Assumptions!$E$36)^18/12</f>
        <v>-49.274495541381413</v>
      </c>
      <c r="HN21" s="106">
        <f>-Assumptions!$E$35*(1+Assumptions!$E$36)^18/12</f>
        <v>-49.274495541381413</v>
      </c>
      <c r="HO21" s="106">
        <f>-Assumptions!$E$35*(1+Assumptions!$E$36)^18/12</f>
        <v>-49.274495541381413</v>
      </c>
      <c r="HP21" s="106">
        <f>-Assumptions!$E$35*(1+Assumptions!$E$36)^18/12</f>
        <v>-49.274495541381413</v>
      </c>
      <c r="HQ21" s="106">
        <f>-Assumptions!$E$35*(1+Assumptions!$E$36)^18/12</f>
        <v>-49.274495541381413</v>
      </c>
      <c r="HR21" s="106">
        <f>-Assumptions!$E$35*(1+Assumptions!$E$36)^18/12</f>
        <v>-49.274495541381413</v>
      </c>
      <c r="HS21" s="106">
        <f>-Assumptions!$E$35*(1+Assumptions!$E$36)^18/12</f>
        <v>-49.274495541381413</v>
      </c>
      <c r="HT21" s="106">
        <f>-Assumptions!$E$35*(1+Assumptions!$E$36)^18/12</f>
        <v>-49.274495541381413</v>
      </c>
      <c r="HU21" s="106">
        <f>-Assumptions!$E$35*(1+Assumptions!$E$36)^18/12</f>
        <v>-49.274495541381413</v>
      </c>
      <c r="HV21" s="106">
        <f>-Assumptions!$E$35*(1+Assumptions!$E$36)^18/12</f>
        <v>-49.274495541381413</v>
      </c>
      <c r="HW21" s="106">
        <f>-Assumptions!$E$35*(1+Assumptions!$E$36)^19/12</f>
        <v>-50.259985452209037</v>
      </c>
      <c r="HX21" s="106">
        <f>-Assumptions!$E$35*(1+Assumptions!$E$36)^19/12</f>
        <v>-50.259985452209037</v>
      </c>
      <c r="HY21" s="106">
        <f>-Assumptions!$E$35*(1+Assumptions!$E$36)^19/12</f>
        <v>-50.259985452209037</v>
      </c>
      <c r="HZ21" s="106">
        <f>-Assumptions!$E$35*(1+Assumptions!$E$36)^19/12</f>
        <v>-50.259985452209037</v>
      </c>
      <c r="IA21" s="106">
        <f>-Assumptions!$E$35*(1+Assumptions!$E$36)^19/12</f>
        <v>-50.259985452209037</v>
      </c>
      <c r="IB21" s="106">
        <f>-Assumptions!$E$35*(1+Assumptions!$E$36)^19/12</f>
        <v>-50.259985452209037</v>
      </c>
      <c r="IC21" s="106">
        <f>-Assumptions!$E$35*(1+Assumptions!$E$36)^19/12</f>
        <v>-50.259985452209037</v>
      </c>
      <c r="ID21" s="106">
        <f>-Assumptions!$E$35*(1+Assumptions!$E$36)^19/12</f>
        <v>-50.259985452209037</v>
      </c>
      <c r="IE21" s="106">
        <f>-Assumptions!$E$35*(1+Assumptions!$E$36)^19/12</f>
        <v>-50.259985452209037</v>
      </c>
      <c r="IF21" s="106">
        <f>-Assumptions!$E$35*(1+Assumptions!$E$36)^19/12</f>
        <v>-50.259985452209037</v>
      </c>
      <c r="IG21" s="106">
        <f>-Assumptions!$E$35*(1+Assumptions!$E$36)^19/12</f>
        <v>-50.259985452209037</v>
      </c>
      <c r="IH21" s="106">
        <f>-Assumptions!$E$35*(1+Assumptions!$E$36)^19/12</f>
        <v>-50.259985452209037</v>
      </c>
      <c r="II21" s="106">
        <f>-Assumptions!$E$35*(1+Assumptions!$E$36)^20/12</f>
        <v>-51.265185161253221</v>
      </c>
      <c r="IJ21" s="106">
        <f>-Assumptions!$E$35*(1+Assumptions!$E$36)^20/12</f>
        <v>-51.265185161253221</v>
      </c>
      <c r="IK21" s="106">
        <f>-Assumptions!$E$35*(1+Assumptions!$E$36)^20/12</f>
        <v>-51.265185161253221</v>
      </c>
      <c r="IL21" s="106">
        <f>-Assumptions!$E$35*(1+Assumptions!$E$36)^20/12</f>
        <v>-51.265185161253221</v>
      </c>
      <c r="IM21" s="106">
        <f>-Assumptions!$E$35*(1+Assumptions!$E$36)^20/12</f>
        <v>-51.265185161253221</v>
      </c>
      <c r="IN21" s="106">
        <f>-Assumptions!$E$35*(1+Assumptions!$E$36)^20/12</f>
        <v>-51.265185161253221</v>
      </c>
      <c r="IO21" s="106">
        <f>-Assumptions!$E$35*(1+Assumptions!$E$36)^20/12</f>
        <v>-51.265185161253221</v>
      </c>
      <c r="IP21" s="106">
        <f>-Assumptions!$E$35*(1+Assumptions!$E$36)^20/12</f>
        <v>-51.265185161253221</v>
      </c>
      <c r="IQ21" s="106">
        <f>-Assumptions!$E$35*(1+Assumptions!$E$36)^20/12</f>
        <v>-51.265185161253221</v>
      </c>
      <c r="IR21" s="106">
        <f>-Assumptions!$E$35*(1+Assumptions!$E$36)^20/12</f>
        <v>-51.265185161253221</v>
      </c>
      <c r="IS21" s="106">
        <f>-Assumptions!$E$35*(1+Assumptions!$E$36)^20/12</f>
        <v>-51.265185161253221</v>
      </c>
      <c r="IT21" s="106">
        <f>-Assumptions!$E$35*(1+Assumptions!$E$36)^20/12</f>
        <v>-51.265185161253221</v>
      </c>
      <c r="IU21" s="106">
        <f>-Assumptions!$E$35*(1+Assumptions!$E$36)^21/12</f>
        <v>-52.290488864478277</v>
      </c>
      <c r="IV21" s="106">
        <f>-Assumptions!$E$35*(1+Assumptions!$E$36)^21/12</f>
        <v>-52.290488864478277</v>
      </c>
      <c r="IW21" s="106">
        <f>-Assumptions!$E$35*(1+Assumptions!$E$36)^21/12</f>
        <v>-52.290488864478277</v>
      </c>
      <c r="IX21" s="106">
        <f>-Assumptions!$E$35*(1+Assumptions!$E$36)^21/12</f>
        <v>-52.290488864478277</v>
      </c>
      <c r="IY21" s="106">
        <f>-Assumptions!$E$35*(1+Assumptions!$E$36)^21/12</f>
        <v>-52.290488864478277</v>
      </c>
      <c r="IZ21" s="106">
        <f>-Assumptions!$E$35*(1+Assumptions!$E$36)^21/12</f>
        <v>-52.290488864478277</v>
      </c>
      <c r="JA21" s="106">
        <f>-Assumptions!$E$35*(1+Assumptions!$E$36)^21/12</f>
        <v>-52.290488864478277</v>
      </c>
      <c r="JB21" s="106">
        <f>-Assumptions!$E$35*(1+Assumptions!$E$36)^21/12</f>
        <v>-52.290488864478277</v>
      </c>
      <c r="JC21" s="106">
        <f>-Assumptions!$E$35*(1+Assumptions!$E$36)^21/12</f>
        <v>-52.290488864478277</v>
      </c>
      <c r="JD21" s="106">
        <f>-Assumptions!$E$35*(1+Assumptions!$E$36)^21/12</f>
        <v>-52.290488864478277</v>
      </c>
      <c r="JE21" s="106">
        <f>-Assumptions!$E$35*(1+Assumptions!$E$36)^21/12</f>
        <v>-52.290488864478277</v>
      </c>
      <c r="JF21" s="106">
        <f>-Assumptions!$E$35*(1+Assumptions!$E$36)^21/12</f>
        <v>-52.290488864478277</v>
      </c>
      <c r="JG21" s="106">
        <f>-Assumptions!$E$35*(1+Assumptions!$E$36)^22/12</f>
        <v>-53.336298641767854</v>
      </c>
      <c r="JH21" s="106">
        <f>-Assumptions!$E$35*(1+Assumptions!$E$36)^22/12</f>
        <v>-53.336298641767854</v>
      </c>
      <c r="JI21" s="106">
        <f>-Assumptions!$E$35*(1+Assumptions!$E$36)^22/12</f>
        <v>-53.336298641767854</v>
      </c>
      <c r="JJ21" s="106">
        <f>-Assumptions!$E$35*(1+Assumptions!$E$36)^22/12</f>
        <v>-53.336298641767854</v>
      </c>
      <c r="JK21" s="106">
        <f>-Assumptions!$E$35*(1+Assumptions!$E$36)^22/12</f>
        <v>-53.336298641767854</v>
      </c>
      <c r="JL21" s="106">
        <f>-Assumptions!$E$35*(1+Assumptions!$E$36)^22/12</f>
        <v>-53.336298641767854</v>
      </c>
      <c r="JM21" s="106">
        <f>-Assumptions!$E$35*(1+Assumptions!$E$36)^22/12</f>
        <v>-53.336298641767854</v>
      </c>
      <c r="JN21" s="106">
        <f>-Assumptions!$E$35*(1+Assumptions!$E$36)^22/12</f>
        <v>-53.336298641767854</v>
      </c>
      <c r="JO21" s="106">
        <f>-Assumptions!$E$35*(1+Assumptions!$E$36)^22/12</f>
        <v>-53.336298641767854</v>
      </c>
      <c r="JP21" s="106">
        <f>-Assumptions!$E$35*(1+Assumptions!$E$36)^22/12</f>
        <v>-53.336298641767854</v>
      </c>
      <c r="JQ21" s="106">
        <f>-Assumptions!$E$35*(1+Assumptions!$E$36)^22/12</f>
        <v>-53.336298641767854</v>
      </c>
      <c r="JR21" s="106">
        <f>-Assumptions!$E$35*(1+Assumptions!$E$36)^22/12</f>
        <v>-53.336298641767854</v>
      </c>
      <c r="JS21" s="106">
        <f>-Assumptions!$E$35*(1+Assumptions!$E$36)^23/12</f>
        <v>-54.403024614603197</v>
      </c>
      <c r="JT21" s="106">
        <f>-Assumptions!$E$35*(1+Assumptions!$E$36)^23/12</f>
        <v>-54.403024614603197</v>
      </c>
      <c r="JU21" s="106">
        <f>-Assumptions!$E$35*(1+Assumptions!$E$36)^23/12</f>
        <v>-54.403024614603197</v>
      </c>
      <c r="JV21" s="106">
        <f>-Assumptions!$E$35*(1+Assumptions!$E$36)^23/12</f>
        <v>-54.403024614603197</v>
      </c>
      <c r="JW21" s="106">
        <f>-Assumptions!$E$35*(1+Assumptions!$E$36)^23/12</f>
        <v>-54.403024614603197</v>
      </c>
      <c r="JX21" s="106">
        <f>-Assumptions!$E$35*(1+Assumptions!$E$36)^23/12</f>
        <v>-54.403024614603197</v>
      </c>
      <c r="JY21" s="106">
        <f>-Assumptions!$E$35*(1+Assumptions!$E$36)^23/12</f>
        <v>-54.403024614603197</v>
      </c>
      <c r="JZ21" s="106">
        <f>-Assumptions!$E$35*(1+Assumptions!$E$36)^23/12</f>
        <v>-54.403024614603197</v>
      </c>
      <c r="KA21" s="106">
        <f>-Assumptions!$E$35*(1+Assumptions!$E$36)^23/12</f>
        <v>-54.403024614603197</v>
      </c>
      <c r="KB21" s="106">
        <f>-Assumptions!$E$35*(1+Assumptions!$E$36)^23/12</f>
        <v>-54.403024614603197</v>
      </c>
      <c r="KC21" s="106">
        <f>-Assumptions!$E$35*(1+Assumptions!$E$36)^23/12</f>
        <v>-54.403024614603197</v>
      </c>
      <c r="KD21" s="106">
        <f>-Assumptions!$E$35*(1+Assumptions!$E$36)^23/12</f>
        <v>-54.403024614603197</v>
      </c>
      <c r="KE21" s="106">
        <f>-Assumptions!$E$35*(1+Assumptions!$E$36)^24/12</f>
        <v>-55.491085106895262</v>
      </c>
      <c r="KF21" s="106">
        <f>-Assumptions!$E$35*(1+Assumptions!$E$36)^24/12</f>
        <v>-55.491085106895262</v>
      </c>
      <c r="KG21" s="106">
        <f>-Assumptions!$E$35*(1+Assumptions!$E$36)^24/12</f>
        <v>-55.491085106895262</v>
      </c>
      <c r="KH21" s="106">
        <f>-Assumptions!$E$35*(1+Assumptions!$E$36)^24/12</f>
        <v>-55.491085106895262</v>
      </c>
      <c r="KI21" s="106">
        <f>-Assumptions!$E$35*(1+Assumptions!$E$36)^24/12</f>
        <v>-55.491085106895262</v>
      </c>
      <c r="KJ21" s="106">
        <f>-Assumptions!$E$35*(1+Assumptions!$E$36)^24/12</f>
        <v>-55.491085106895262</v>
      </c>
      <c r="KK21" s="106">
        <f>-Assumptions!$E$35*(1+Assumptions!$E$36)^24/12</f>
        <v>-55.491085106895262</v>
      </c>
      <c r="KL21" s="106">
        <f>-Assumptions!$E$35*(1+Assumptions!$E$36)^24/12</f>
        <v>-55.491085106895262</v>
      </c>
      <c r="KM21" s="106">
        <f>-Assumptions!$E$35*(1+Assumptions!$E$36)^24/12</f>
        <v>-55.491085106895262</v>
      </c>
      <c r="KN21" s="106">
        <f>-Assumptions!$E$35*(1+Assumptions!$E$36)^24/12</f>
        <v>-55.491085106895262</v>
      </c>
      <c r="KO21" s="106">
        <f>-Assumptions!$E$35*(1+Assumptions!$E$36)^24/12</f>
        <v>-55.491085106895262</v>
      </c>
      <c r="KP21" s="106">
        <f>-Assumptions!$E$35*(1+Assumptions!$E$36)^24/12</f>
        <v>-55.491085106895262</v>
      </c>
    </row>
    <row r="22" spans="1:302" ht="16" customHeight="1" x14ac:dyDescent="0.2">
      <c r="A22" s="112" t="s">
        <v>444</v>
      </c>
      <c r="B22" s="113" t="s">
        <v>215</v>
      </c>
      <c r="C22" s="114">
        <f t="shared" ref="C22:BN22" si="30">C20+C21</f>
        <v>166.40567249999995</v>
      </c>
      <c r="D22" s="114">
        <f t="shared" si="30"/>
        <v>166.40567249999995</v>
      </c>
      <c r="E22" s="114">
        <f t="shared" si="30"/>
        <v>166.40567249999995</v>
      </c>
      <c r="F22" s="114">
        <f t="shared" si="30"/>
        <v>166.40567249999995</v>
      </c>
      <c r="G22" s="114">
        <f t="shared" si="30"/>
        <v>166.40567249999995</v>
      </c>
      <c r="H22" s="114">
        <f t="shared" si="30"/>
        <v>166.40567249999995</v>
      </c>
      <c r="I22" s="114">
        <f t="shared" si="30"/>
        <v>166.40567249999995</v>
      </c>
      <c r="J22" s="114">
        <f t="shared" si="30"/>
        <v>166.40567249999995</v>
      </c>
      <c r="K22" s="114">
        <f t="shared" si="30"/>
        <v>166.40567249999995</v>
      </c>
      <c r="L22" s="114">
        <f t="shared" si="30"/>
        <v>166.40567249999995</v>
      </c>
      <c r="M22" s="114">
        <f t="shared" si="30"/>
        <v>166.40567249999995</v>
      </c>
      <c r="N22" s="114">
        <f t="shared" si="30"/>
        <v>166.40567249999995</v>
      </c>
      <c r="O22" s="114">
        <f t="shared" si="30"/>
        <v>164.71114413749996</v>
      </c>
      <c r="P22" s="114">
        <f t="shared" si="30"/>
        <v>164.71114413749996</v>
      </c>
      <c r="Q22" s="114">
        <f t="shared" si="30"/>
        <v>164.71114413749996</v>
      </c>
      <c r="R22" s="114">
        <f t="shared" si="30"/>
        <v>164.71114413749996</v>
      </c>
      <c r="S22" s="114">
        <f t="shared" si="30"/>
        <v>164.71114413749996</v>
      </c>
      <c r="T22" s="114">
        <f t="shared" si="30"/>
        <v>164.71114413749996</v>
      </c>
      <c r="U22" s="114">
        <f t="shared" si="30"/>
        <v>164.71114413749996</v>
      </c>
      <c r="V22" s="114">
        <f t="shared" si="30"/>
        <v>164.71114413749996</v>
      </c>
      <c r="W22" s="114">
        <f t="shared" si="30"/>
        <v>164.71114413749996</v>
      </c>
      <c r="X22" s="114">
        <f t="shared" si="30"/>
        <v>164.71114413749996</v>
      </c>
      <c r="Y22" s="114">
        <f t="shared" si="30"/>
        <v>164.71114413749996</v>
      </c>
      <c r="Z22" s="114">
        <f t="shared" si="30"/>
        <v>164.71114413749996</v>
      </c>
      <c r="AA22" s="114">
        <f t="shared" si="30"/>
        <v>163.00783841681249</v>
      </c>
      <c r="AB22" s="114">
        <f t="shared" si="30"/>
        <v>163.00783841681249</v>
      </c>
      <c r="AC22" s="114">
        <f t="shared" si="30"/>
        <v>163.00783841681249</v>
      </c>
      <c r="AD22" s="114">
        <f t="shared" si="30"/>
        <v>163.00783841681249</v>
      </c>
      <c r="AE22" s="114">
        <f t="shared" si="30"/>
        <v>163.00783841681249</v>
      </c>
      <c r="AF22" s="114">
        <f t="shared" si="30"/>
        <v>163.00783841681249</v>
      </c>
      <c r="AG22" s="114">
        <f t="shared" si="30"/>
        <v>163.00783841681249</v>
      </c>
      <c r="AH22" s="114">
        <f t="shared" si="30"/>
        <v>163.00783841681249</v>
      </c>
      <c r="AI22" s="114">
        <f t="shared" si="30"/>
        <v>163.00783841681249</v>
      </c>
      <c r="AJ22" s="114">
        <f t="shared" si="30"/>
        <v>163.00783841681249</v>
      </c>
      <c r="AK22" s="114">
        <f t="shared" si="30"/>
        <v>163.00783841681249</v>
      </c>
      <c r="AL22" s="114">
        <f t="shared" si="30"/>
        <v>163.00783841681249</v>
      </c>
      <c r="AM22" s="114">
        <f t="shared" si="30"/>
        <v>161.29545422472839</v>
      </c>
      <c r="AN22" s="114">
        <f t="shared" si="30"/>
        <v>161.29545422472839</v>
      </c>
      <c r="AO22" s="114">
        <f t="shared" si="30"/>
        <v>161.29545422472839</v>
      </c>
      <c r="AP22" s="114">
        <f t="shared" si="30"/>
        <v>161.29545422472839</v>
      </c>
      <c r="AQ22" s="114">
        <f t="shared" si="30"/>
        <v>161.29545422472839</v>
      </c>
      <c r="AR22" s="114">
        <f t="shared" si="30"/>
        <v>161.29545422472839</v>
      </c>
      <c r="AS22" s="114">
        <f t="shared" si="30"/>
        <v>161.29545422472839</v>
      </c>
      <c r="AT22" s="114">
        <f t="shared" si="30"/>
        <v>161.29545422472839</v>
      </c>
      <c r="AU22" s="114">
        <f t="shared" si="30"/>
        <v>161.29545422472839</v>
      </c>
      <c r="AV22" s="114">
        <f t="shared" si="30"/>
        <v>161.29545422472839</v>
      </c>
      <c r="AW22" s="114">
        <f t="shared" si="30"/>
        <v>161.29545422472839</v>
      </c>
      <c r="AX22" s="114">
        <f t="shared" si="30"/>
        <v>161.29545422472839</v>
      </c>
      <c r="AY22" s="114">
        <f t="shared" si="30"/>
        <v>159.57368505360478</v>
      </c>
      <c r="AZ22" s="114">
        <f t="shared" si="30"/>
        <v>159.57368505360478</v>
      </c>
      <c r="BA22" s="114">
        <f t="shared" si="30"/>
        <v>159.57368505360478</v>
      </c>
      <c r="BB22" s="114">
        <f t="shared" si="30"/>
        <v>159.57368505360478</v>
      </c>
      <c r="BC22" s="114">
        <f t="shared" si="30"/>
        <v>159.57368505360478</v>
      </c>
      <c r="BD22" s="114">
        <f t="shared" si="30"/>
        <v>159.57368505360478</v>
      </c>
      <c r="BE22" s="114">
        <f t="shared" si="30"/>
        <v>159.57368505360478</v>
      </c>
      <c r="BF22" s="114">
        <f t="shared" si="30"/>
        <v>159.57368505360478</v>
      </c>
      <c r="BG22" s="114">
        <f t="shared" si="30"/>
        <v>159.57368505360478</v>
      </c>
      <c r="BH22" s="114">
        <f t="shared" si="30"/>
        <v>159.57368505360478</v>
      </c>
      <c r="BI22" s="114">
        <f t="shared" si="30"/>
        <v>159.57368505360478</v>
      </c>
      <c r="BJ22" s="114">
        <f t="shared" si="30"/>
        <v>159.57368505360478</v>
      </c>
      <c r="BK22" s="114">
        <f t="shared" si="30"/>
        <v>157.84221889033674</v>
      </c>
      <c r="BL22" s="114">
        <f t="shared" si="30"/>
        <v>157.84221889033674</v>
      </c>
      <c r="BM22" s="114">
        <f t="shared" si="30"/>
        <v>157.84221889033674</v>
      </c>
      <c r="BN22" s="114">
        <f t="shared" si="30"/>
        <v>157.84221889033674</v>
      </c>
      <c r="BO22" s="114">
        <f t="shared" ref="BO22:DZ22" si="31">BO20+BO21</f>
        <v>157.84221889033674</v>
      </c>
      <c r="BP22" s="114">
        <f t="shared" si="31"/>
        <v>157.84221889033674</v>
      </c>
      <c r="BQ22" s="114">
        <f t="shared" si="31"/>
        <v>157.84221889033674</v>
      </c>
      <c r="BR22" s="114">
        <f t="shared" si="31"/>
        <v>157.84221889033674</v>
      </c>
      <c r="BS22" s="114">
        <f t="shared" si="31"/>
        <v>157.84221889033674</v>
      </c>
      <c r="BT22" s="114">
        <f t="shared" si="31"/>
        <v>157.84221889033674</v>
      </c>
      <c r="BU22" s="114">
        <f t="shared" si="31"/>
        <v>157.84221889033674</v>
      </c>
      <c r="BV22" s="114">
        <f t="shared" si="31"/>
        <v>157.84221889033674</v>
      </c>
      <c r="BW22" s="114">
        <f t="shared" si="31"/>
        <v>156.10073810312508</v>
      </c>
      <c r="BX22" s="114">
        <f t="shared" si="31"/>
        <v>156.10073810312508</v>
      </c>
      <c r="BY22" s="114">
        <f t="shared" si="31"/>
        <v>156.10073810312508</v>
      </c>
      <c r="BZ22" s="114">
        <f t="shared" si="31"/>
        <v>156.10073810312508</v>
      </c>
      <c r="CA22" s="114">
        <f t="shared" si="31"/>
        <v>156.10073810312508</v>
      </c>
      <c r="CB22" s="114">
        <f t="shared" si="31"/>
        <v>156.10073810312508</v>
      </c>
      <c r="CC22" s="114">
        <f t="shared" si="31"/>
        <v>156.10073810312508</v>
      </c>
      <c r="CD22" s="114">
        <f t="shared" si="31"/>
        <v>156.10073810312508</v>
      </c>
      <c r="CE22" s="114">
        <f t="shared" si="31"/>
        <v>156.10073810312508</v>
      </c>
      <c r="CF22" s="114">
        <f t="shared" si="31"/>
        <v>156.10073810312508</v>
      </c>
      <c r="CG22" s="114">
        <f t="shared" si="31"/>
        <v>156.10073810312508</v>
      </c>
      <c r="CH22" s="114">
        <f t="shared" si="31"/>
        <v>156.10073810312508</v>
      </c>
      <c r="CI22" s="114">
        <f t="shared" si="31"/>
        <v>154.34891932599422</v>
      </c>
      <c r="CJ22" s="114">
        <f t="shared" si="31"/>
        <v>154.34891932599422</v>
      </c>
      <c r="CK22" s="114">
        <f t="shared" si="31"/>
        <v>154.34891932599422</v>
      </c>
      <c r="CL22" s="114">
        <f t="shared" si="31"/>
        <v>154.34891932599422</v>
      </c>
      <c r="CM22" s="114">
        <f t="shared" si="31"/>
        <v>154.34891932599422</v>
      </c>
      <c r="CN22" s="114">
        <f t="shared" si="31"/>
        <v>154.34891932599422</v>
      </c>
      <c r="CO22" s="114">
        <f t="shared" si="31"/>
        <v>154.34891932599422</v>
      </c>
      <c r="CP22" s="114">
        <f t="shared" si="31"/>
        <v>154.34891932599422</v>
      </c>
      <c r="CQ22" s="114">
        <f t="shared" si="31"/>
        <v>154.34891932599422</v>
      </c>
      <c r="CR22" s="114">
        <f t="shared" si="31"/>
        <v>154.34891932599422</v>
      </c>
      <c r="CS22" s="114">
        <f t="shared" si="31"/>
        <v>154.34891932599422</v>
      </c>
      <c r="CT22" s="114">
        <f t="shared" si="31"/>
        <v>154.34891932599422</v>
      </c>
      <c r="CU22" s="114">
        <f t="shared" si="31"/>
        <v>152.58643334101674</v>
      </c>
      <c r="CV22" s="114">
        <f t="shared" si="31"/>
        <v>152.58643334101674</v>
      </c>
      <c r="CW22" s="114">
        <f t="shared" si="31"/>
        <v>152.58643334101674</v>
      </c>
      <c r="CX22" s="114">
        <f t="shared" si="31"/>
        <v>152.58643334101674</v>
      </c>
      <c r="CY22" s="114">
        <f t="shared" si="31"/>
        <v>152.58643334101674</v>
      </c>
      <c r="CZ22" s="114">
        <f t="shared" si="31"/>
        <v>152.58643334101674</v>
      </c>
      <c r="DA22" s="114">
        <f t="shared" si="31"/>
        <v>152.58643334101674</v>
      </c>
      <c r="DB22" s="114">
        <f t="shared" si="31"/>
        <v>152.58643334101674</v>
      </c>
      <c r="DC22" s="114">
        <f t="shared" si="31"/>
        <v>152.58643334101674</v>
      </c>
      <c r="DD22" s="114">
        <f t="shared" si="31"/>
        <v>152.58643334101674</v>
      </c>
      <c r="DE22" s="114">
        <f t="shared" si="31"/>
        <v>152.58643334101674</v>
      </c>
      <c r="DF22" s="114">
        <f t="shared" si="31"/>
        <v>152.58643334101674</v>
      </c>
      <c r="DG22" s="114">
        <f t="shared" si="31"/>
        <v>150.81294495819719</v>
      </c>
      <c r="DH22" s="114">
        <f t="shared" si="31"/>
        <v>150.81294495819719</v>
      </c>
      <c r="DI22" s="114">
        <f t="shared" si="31"/>
        <v>150.81294495819719</v>
      </c>
      <c r="DJ22" s="114">
        <f t="shared" si="31"/>
        <v>150.81294495819719</v>
      </c>
      <c r="DK22" s="114">
        <f t="shared" si="31"/>
        <v>150.81294495819719</v>
      </c>
      <c r="DL22" s="114">
        <f t="shared" si="31"/>
        <v>150.81294495819719</v>
      </c>
      <c r="DM22" s="114">
        <f t="shared" si="31"/>
        <v>150.81294495819719</v>
      </c>
      <c r="DN22" s="114">
        <f t="shared" si="31"/>
        <v>150.81294495819719</v>
      </c>
      <c r="DO22" s="114">
        <f t="shared" si="31"/>
        <v>150.81294495819719</v>
      </c>
      <c r="DP22" s="114">
        <f t="shared" si="31"/>
        <v>150.81294495819719</v>
      </c>
      <c r="DQ22" s="114">
        <f t="shared" si="31"/>
        <v>150.81294495819719</v>
      </c>
      <c r="DR22" s="114">
        <f t="shared" si="31"/>
        <v>150.81294495819719</v>
      </c>
      <c r="DS22" s="114">
        <f t="shared" si="31"/>
        <v>-114.62751666173301</v>
      </c>
      <c r="DT22" s="114">
        <f t="shared" si="31"/>
        <v>-116.87210990649618</v>
      </c>
      <c r="DU22" s="114">
        <f t="shared" si="31"/>
        <v>-115.87847612050567</v>
      </c>
      <c r="DV22" s="114">
        <f t="shared" si="31"/>
        <v>-112.49927198849184</v>
      </c>
      <c r="DW22" s="114">
        <f t="shared" si="31"/>
        <v>-114.81350452423894</v>
      </c>
      <c r="DX22" s="114">
        <f t="shared" si="31"/>
        <v>-110.6827056053861</v>
      </c>
      <c r="DY22" s="114">
        <f t="shared" si="31"/>
        <v>-120.05343654095807</v>
      </c>
      <c r="DZ22" s="114">
        <f t="shared" si="31"/>
        <v>-110.60839538634838</v>
      </c>
      <c r="EA22" s="114">
        <f t="shared" ref="EA22:GL22" si="32">EA20+EA21</f>
        <v>-112.8156212066811</v>
      </c>
      <c r="EB22" s="114">
        <f t="shared" si="32"/>
        <v>-115.34259328378772</v>
      </c>
      <c r="EC22" s="114">
        <f t="shared" si="32"/>
        <v>-114.89503345026893</v>
      </c>
      <c r="ED22" s="114">
        <f t="shared" si="32"/>
        <v>-116.3897304274854</v>
      </c>
      <c r="EE22" s="114">
        <f t="shared" si="32"/>
        <v>-115.00140261720233</v>
      </c>
      <c r="EF22" s="114">
        <f t="shared" si="32"/>
        <v>-115.41334662431086</v>
      </c>
      <c r="EG22" s="114">
        <f t="shared" si="32"/>
        <v>-118.96578273894553</v>
      </c>
      <c r="EH22" s="114">
        <f t="shared" si="32"/>
        <v>-114.62706170407597</v>
      </c>
      <c r="EI22" s="114">
        <f t="shared" si="32"/>
        <v>-115.81177041785278</v>
      </c>
      <c r="EJ22" s="114">
        <f t="shared" si="32"/>
        <v>-103.90848989244817</v>
      </c>
      <c r="EK22" s="114">
        <f t="shared" si="32"/>
        <v>-111.63106687904335</v>
      </c>
      <c r="EL22" s="114">
        <f t="shared" si="32"/>
        <v>-108.72168592217201</v>
      </c>
      <c r="EM22" s="114">
        <f t="shared" si="32"/>
        <v>-119.15802327559621</v>
      </c>
      <c r="EN22" s="114">
        <f t="shared" si="32"/>
        <v>-110.61198078145785</v>
      </c>
      <c r="EO22" s="114">
        <f t="shared" si="32"/>
        <v>-113.82176398351299</v>
      </c>
      <c r="EP22" s="114">
        <f t="shared" si="32"/>
        <v>-112.69155863067667</v>
      </c>
      <c r="EQ22" s="114">
        <f t="shared" si="32"/>
        <v>-112.13523242626442</v>
      </c>
      <c r="ER22" s="114">
        <f t="shared" si="32"/>
        <v>-116.91427301646553</v>
      </c>
      <c r="ES22" s="114">
        <f t="shared" si="32"/>
        <v>-125.12372979386237</v>
      </c>
      <c r="ET22" s="114">
        <f t="shared" si="32"/>
        <v>-113.91434042923163</v>
      </c>
      <c r="EU22" s="114">
        <f t="shared" si="32"/>
        <v>-111.07836155682693</v>
      </c>
      <c r="EV22" s="114">
        <f t="shared" si="32"/>
        <v>-114.30236422099409</v>
      </c>
      <c r="EW22" s="114">
        <f t="shared" si="32"/>
        <v>-103.65209906334499</v>
      </c>
      <c r="EX22" s="114">
        <f t="shared" si="32"/>
        <v>-114.72528072642532</v>
      </c>
      <c r="EY22" s="114">
        <f t="shared" si="32"/>
        <v>-113.50992126598624</v>
      </c>
      <c r="EZ22" s="114">
        <f t="shared" si="32"/>
        <v>-119.78052026699254</v>
      </c>
      <c r="FA22" s="114">
        <f t="shared" si="32"/>
        <v>-115.80611406187631</v>
      </c>
      <c r="FB22" s="114">
        <f t="shared" si="32"/>
        <v>-119.25881113852321</v>
      </c>
      <c r="FC22" s="114">
        <f t="shared" si="32"/>
        <v>-106.9214986898964</v>
      </c>
      <c r="FD22" s="114">
        <f t="shared" si="32"/>
        <v>-114.55114786859467</v>
      </c>
      <c r="FE22" s="114">
        <f t="shared" si="32"/>
        <v>-112.91813523736452</v>
      </c>
      <c r="FF22" s="114">
        <f t="shared" si="32"/>
        <v>-112.74663544771175</v>
      </c>
      <c r="FG22" s="114">
        <f t="shared" si="32"/>
        <v>-123.78620239531068</v>
      </c>
      <c r="FH22" s="114">
        <f t="shared" si="32"/>
        <v>-122.12223614350906</v>
      </c>
      <c r="FI22" s="114">
        <f t="shared" si="32"/>
        <v>-119.30336521065558</v>
      </c>
      <c r="FJ22" s="114">
        <f t="shared" si="32"/>
        <v>-116.46985405185612</v>
      </c>
      <c r="FK22" s="114">
        <f t="shared" si="32"/>
        <v>-114.72013790522811</v>
      </c>
      <c r="FL22" s="114">
        <f t="shared" si="32"/>
        <v>-123.78662068748058</v>
      </c>
      <c r="FM22" s="114">
        <f t="shared" si="32"/>
        <v>-121.21203238183979</v>
      </c>
      <c r="FN22" s="114">
        <f t="shared" si="32"/>
        <v>-117.37712976833619</v>
      </c>
      <c r="FO22" s="114">
        <f t="shared" si="32"/>
        <v>-115.46038447196921</v>
      </c>
      <c r="FP22" s="114">
        <f t="shared" si="32"/>
        <v>-116.17749829363711</v>
      </c>
      <c r="FQ22" s="114">
        <f t="shared" si="32"/>
        <v>-120.70659440935978</v>
      </c>
      <c r="FR22" s="114">
        <f t="shared" si="32"/>
        <v>-121.09865547727108</v>
      </c>
      <c r="FS22" s="114">
        <f t="shared" si="32"/>
        <v>-119.71603672185566</v>
      </c>
      <c r="FT22" s="114">
        <f t="shared" si="32"/>
        <v>-123.39441858831006</v>
      </c>
      <c r="FU22" s="114">
        <f t="shared" si="32"/>
        <v>-109.81920006170409</v>
      </c>
      <c r="FV22" s="114">
        <f t="shared" si="32"/>
        <v>-123.54050503718148</v>
      </c>
      <c r="FW22" s="114">
        <f t="shared" si="32"/>
        <v>-130.16267451864294</v>
      </c>
      <c r="FX22" s="114">
        <f t="shared" si="32"/>
        <v>-124.28883391202703</v>
      </c>
      <c r="FY22" s="114">
        <f t="shared" si="32"/>
        <v>-126.99497092217487</v>
      </c>
      <c r="FZ22" s="114">
        <f t="shared" si="32"/>
        <v>-125.16535260525549</v>
      </c>
      <c r="GA22" s="114">
        <f t="shared" si="32"/>
        <v>-122.58741503300325</v>
      </c>
      <c r="GB22" s="114">
        <f t="shared" si="32"/>
        <v>-116.30190614307341</v>
      </c>
      <c r="GC22" s="114">
        <f t="shared" si="32"/>
        <v>-110.86658500851487</v>
      </c>
      <c r="GD22" s="114">
        <f t="shared" si="32"/>
        <v>-112.47751066287165</v>
      </c>
      <c r="GE22" s="114">
        <f t="shared" si="32"/>
        <v>-113.10407377727827</v>
      </c>
      <c r="GF22" s="114">
        <f t="shared" si="32"/>
        <v>-114.13523184394882</v>
      </c>
      <c r="GG22" s="114">
        <f t="shared" si="32"/>
        <v>-118.42551199282701</v>
      </c>
      <c r="GH22" s="114">
        <f t="shared" si="32"/>
        <v>-115.19744888853111</v>
      </c>
      <c r="GI22" s="114">
        <f t="shared" si="32"/>
        <v>-120.55615787757395</v>
      </c>
      <c r="GJ22" s="114">
        <f t="shared" si="32"/>
        <v>-116.52511666433261</v>
      </c>
      <c r="GK22" s="114">
        <f t="shared" si="32"/>
        <v>-121.26844377101705</v>
      </c>
      <c r="GL22" s="114">
        <f t="shared" si="32"/>
        <v>-118.50502297628111</v>
      </c>
      <c r="GM22" s="114">
        <f t="shared" ref="GM22:IX22" si="33">GM20+GM21</f>
        <v>-121.70135850741252</v>
      </c>
      <c r="GN22" s="114">
        <f t="shared" si="33"/>
        <v>-120.01937405279071</v>
      </c>
      <c r="GO22" s="114">
        <f t="shared" si="33"/>
        <v>-120.61890550342144</v>
      </c>
      <c r="GP22" s="114">
        <f t="shared" si="33"/>
        <v>-120.39598693655461</v>
      </c>
      <c r="GQ22" s="114">
        <f t="shared" si="33"/>
        <v>-121.39603011915315</v>
      </c>
      <c r="GR22" s="114">
        <f t="shared" si="33"/>
        <v>-117.9216320492435</v>
      </c>
      <c r="GS22" s="114">
        <f t="shared" si="33"/>
        <v>-122.3692901097991</v>
      </c>
      <c r="GT22" s="114">
        <f t="shared" si="33"/>
        <v>-120.2723722044658</v>
      </c>
      <c r="GU22" s="114">
        <f t="shared" si="33"/>
        <v>-117.98673580814358</v>
      </c>
      <c r="GV22" s="114">
        <f t="shared" si="33"/>
        <v>-122.76938979265989</v>
      </c>
      <c r="GW22" s="114">
        <f t="shared" si="33"/>
        <v>-122.42986132852261</v>
      </c>
      <c r="GX22" s="114">
        <f t="shared" si="33"/>
        <v>-117.12637727280543</v>
      </c>
      <c r="GY22" s="114">
        <f t="shared" si="33"/>
        <v>-124.58511667535524</v>
      </c>
      <c r="GZ22" s="114">
        <f t="shared" si="33"/>
        <v>-120.04162011301116</v>
      </c>
      <c r="HA22" s="114">
        <f t="shared" si="33"/>
        <v>-119.45451606344639</v>
      </c>
      <c r="HB22" s="114">
        <f t="shared" si="33"/>
        <v>-120.78369995219566</v>
      </c>
      <c r="HC22" s="114">
        <f t="shared" si="33"/>
        <v>-114.31079580797186</v>
      </c>
      <c r="HD22" s="114">
        <f t="shared" si="33"/>
        <v>-121.16293964901649</v>
      </c>
      <c r="HE22" s="114">
        <f t="shared" si="33"/>
        <v>-125.38992481033821</v>
      </c>
      <c r="HF22" s="114">
        <f t="shared" si="33"/>
        <v>-129.36394684415893</v>
      </c>
      <c r="HG22" s="114">
        <f t="shared" si="33"/>
        <v>-129.08884431814081</v>
      </c>
      <c r="HH22" s="114">
        <f t="shared" si="33"/>
        <v>-130.14456563631768</v>
      </c>
      <c r="HI22" s="114">
        <f t="shared" si="33"/>
        <v>-126.39808742058946</v>
      </c>
      <c r="HJ22" s="114">
        <f t="shared" si="33"/>
        <v>-121.16785951535363</v>
      </c>
      <c r="HK22" s="114">
        <f t="shared" si="33"/>
        <v>-126.07185226178595</v>
      </c>
      <c r="HL22" s="114">
        <f t="shared" si="33"/>
        <v>-123.65848562809948</v>
      </c>
      <c r="HM22" s="114">
        <f t="shared" si="33"/>
        <v>-129.87669854177136</v>
      </c>
      <c r="HN22" s="114">
        <f t="shared" si="33"/>
        <v>-130.92632537552311</v>
      </c>
      <c r="HO22" s="114">
        <f t="shared" si="33"/>
        <v>-129.54912359132339</v>
      </c>
      <c r="HP22" s="114">
        <f t="shared" si="33"/>
        <v>-124.39399949566823</v>
      </c>
      <c r="HQ22" s="114">
        <f t="shared" si="33"/>
        <v>-122.21071041123788</v>
      </c>
      <c r="HR22" s="114">
        <f t="shared" si="33"/>
        <v>-119.42856699647422</v>
      </c>
      <c r="HS22" s="114">
        <f t="shared" si="33"/>
        <v>-128.91559445303483</v>
      </c>
      <c r="HT22" s="114">
        <f t="shared" si="33"/>
        <v>-119.98989094643242</v>
      </c>
      <c r="HU22" s="114">
        <f t="shared" si="33"/>
        <v>-126.60829193779976</v>
      </c>
      <c r="HV22" s="114">
        <f t="shared" si="33"/>
        <v>-126.23339607296577</v>
      </c>
      <c r="HW22" s="114">
        <f t="shared" si="33"/>
        <v>-119.85506024886585</v>
      </c>
      <c r="HX22" s="114">
        <f t="shared" si="33"/>
        <v>-122.98819634761479</v>
      </c>
      <c r="HY22" s="114">
        <f t="shared" si="33"/>
        <v>-124.46079872697236</v>
      </c>
      <c r="HZ22" s="114">
        <f t="shared" si="33"/>
        <v>-129.72287624791824</v>
      </c>
      <c r="IA22" s="114">
        <f t="shared" si="33"/>
        <v>-128.67362675766486</v>
      </c>
      <c r="IB22" s="114">
        <f t="shared" si="33"/>
        <v>-134.03677318502196</v>
      </c>
      <c r="IC22" s="114">
        <f t="shared" si="33"/>
        <v>-129.62586633373235</v>
      </c>
      <c r="ID22" s="114">
        <f t="shared" si="33"/>
        <v>-127.33131802874105</v>
      </c>
      <c r="IE22" s="114">
        <f t="shared" si="33"/>
        <v>-124.63533539266247</v>
      </c>
      <c r="IF22" s="114">
        <f t="shared" si="33"/>
        <v>-130.28707616724211</v>
      </c>
      <c r="IG22" s="114">
        <f t="shared" si="33"/>
        <v>-130.14947633080271</v>
      </c>
      <c r="IH22" s="114">
        <f t="shared" si="33"/>
        <v>-138.87062702619323</v>
      </c>
      <c r="II22" s="114">
        <f t="shared" si="33"/>
        <v>-128.17369329416135</v>
      </c>
      <c r="IJ22" s="114">
        <f t="shared" si="33"/>
        <v>-129.63206687627297</v>
      </c>
      <c r="IK22" s="114">
        <f t="shared" si="33"/>
        <v>-137.09840650864552</v>
      </c>
      <c r="IL22" s="114">
        <f t="shared" si="33"/>
        <v>-133.83715846778392</v>
      </c>
      <c r="IM22" s="114">
        <f t="shared" si="33"/>
        <v>-129.95516265741097</v>
      </c>
      <c r="IN22" s="114">
        <f t="shared" si="33"/>
        <v>-132.60939449945957</v>
      </c>
      <c r="IO22" s="114">
        <f t="shared" si="33"/>
        <v>-125.1592096561439</v>
      </c>
      <c r="IP22" s="114">
        <f t="shared" si="33"/>
        <v>-131.51046497386398</v>
      </c>
      <c r="IQ22" s="114">
        <f t="shared" si="33"/>
        <v>-137.22602934219503</v>
      </c>
      <c r="IR22" s="114">
        <f t="shared" si="33"/>
        <v>-131.61587497246023</v>
      </c>
      <c r="IS22" s="114">
        <f t="shared" si="33"/>
        <v>-140.4921238197737</v>
      </c>
      <c r="IT22" s="114">
        <f t="shared" si="33"/>
        <v>-133.06697889949623</v>
      </c>
      <c r="IU22" s="114">
        <f t="shared" si="33"/>
        <v>-127.07484417126734</v>
      </c>
      <c r="IV22" s="114">
        <f t="shared" si="33"/>
        <v>-130.49177793361892</v>
      </c>
      <c r="IW22" s="114">
        <f t="shared" si="33"/>
        <v>-137.56072792932943</v>
      </c>
      <c r="IX22" s="114">
        <f t="shared" si="33"/>
        <v>-136.27319931888906</v>
      </c>
      <c r="IY22" s="114">
        <f t="shared" ref="IY22:KP22" si="34">IY20+IY21</f>
        <v>-137.18861447949553</v>
      </c>
      <c r="IZ22" s="114">
        <f t="shared" si="34"/>
        <v>-138.01562255698812</v>
      </c>
      <c r="JA22" s="114">
        <f t="shared" si="34"/>
        <v>-131.96656882010959</v>
      </c>
      <c r="JB22" s="114">
        <f t="shared" si="34"/>
        <v>-132.85907850918201</v>
      </c>
      <c r="JC22" s="114">
        <f t="shared" si="34"/>
        <v>-126.30730994968772</v>
      </c>
      <c r="JD22" s="114">
        <f t="shared" si="34"/>
        <v>-128.11965515352233</v>
      </c>
      <c r="JE22" s="114">
        <f t="shared" si="34"/>
        <v>-131.10701086201595</v>
      </c>
      <c r="JF22" s="114">
        <f t="shared" si="34"/>
        <v>-140.77713835316359</v>
      </c>
      <c r="JG22" s="114">
        <f t="shared" si="34"/>
        <v>-145.58484432186324</v>
      </c>
      <c r="JH22" s="114">
        <f t="shared" si="34"/>
        <v>-139.988268082621</v>
      </c>
      <c r="JI22" s="114">
        <f t="shared" si="34"/>
        <v>-142.47687925023146</v>
      </c>
      <c r="JJ22" s="114">
        <f t="shared" si="34"/>
        <v>-141.62321844643191</v>
      </c>
      <c r="JK22" s="114">
        <f t="shared" si="34"/>
        <v>-135.57362221154335</v>
      </c>
      <c r="JL22" s="114">
        <f t="shared" si="34"/>
        <v>-144.22098624141347</v>
      </c>
      <c r="JM22" s="114">
        <f t="shared" si="34"/>
        <v>-141.87511835574981</v>
      </c>
      <c r="JN22" s="114">
        <f t="shared" si="34"/>
        <v>-142.74997073922214</v>
      </c>
      <c r="JO22" s="114">
        <f t="shared" si="34"/>
        <v>-155.25260290503377</v>
      </c>
      <c r="JP22" s="114">
        <f t="shared" si="34"/>
        <v>-147.55885996043855</v>
      </c>
      <c r="JQ22" s="114">
        <f t="shared" si="34"/>
        <v>-145.4936805451577</v>
      </c>
      <c r="JR22" s="114">
        <f t="shared" si="34"/>
        <v>-142.34133310855088</v>
      </c>
      <c r="JS22" s="114">
        <f t="shared" si="34"/>
        <v>-138.83900456351358</v>
      </c>
      <c r="JT22" s="114">
        <f t="shared" si="34"/>
        <v>-138.73835055768481</v>
      </c>
      <c r="JU22" s="114">
        <f t="shared" si="34"/>
        <v>-140.74625872929715</v>
      </c>
      <c r="JV22" s="114">
        <f t="shared" si="34"/>
        <v>-140.72119468832005</v>
      </c>
      <c r="JW22" s="114">
        <f t="shared" si="34"/>
        <v>-146.65421124533515</v>
      </c>
      <c r="JX22" s="114">
        <f t="shared" si="34"/>
        <v>-147.08268699346803</v>
      </c>
      <c r="JY22" s="114">
        <f t="shared" si="34"/>
        <v>-146.65699613877706</v>
      </c>
      <c r="JZ22" s="114">
        <f t="shared" si="34"/>
        <v>-139.0446888362942</v>
      </c>
      <c r="KA22" s="114">
        <f t="shared" si="34"/>
        <v>-143.97991785726731</v>
      </c>
      <c r="KB22" s="114">
        <f t="shared" si="34"/>
        <v>-143.60713997797254</v>
      </c>
      <c r="KC22" s="114">
        <f t="shared" si="34"/>
        <v>-137.29617359669911</v>
      </c>
      <c r="KD22" s="114">
        <f t="shared" si="34"/>
        <v>-142.61492222881438</v>
      </c>
      <c r="KE22" s="114">
        <f t="shared" si="34"/>
        <v>-141.20784351736586</v>
      </c>
      <c r="KF22" s="114">
        <f t="shared" si="34"/>
        <v>-146.53087491775284</v>
      </c>
      <c r="KG22" s="114">
        <f t="shared" si="34"/>
        <v>-142.96978393256052</v>
      </c>
      <c r="KH22" s="114">
        <f t="shared" si="34"/>
        <v>-139.27608228929353</v>
      </c>
      <c r="KI22" s="114">
        <f t="shared" si="34"/>
        <v>-141.97421436522407</v>
      </c>
      <c r="KJ22" s="114">
        <f t="shared" si="34"/>
        <v>-140.2166283298468</v>
      </c>
      <c r="KK22" s="114">
        <f t="shared" si="34"/>
        <v>-144.54211089934398</v>
      </c>
      <c r="KL22" s="114">
        <f t="shared" si="34"/>
        <v>-55.491085106895262</v>
      </c>
      <c r="KM22" s="114">
        <f t="shared" si="34"/>
        <v>-55.491085106895262</v>
      </c>
      <c r="KN22" s="114">
        <f t="shared" si="34"/>
        <v>-55.491085106895262</v>
      </c>
      <c r="KO22" s="114">
        <f t="shared" si="34"/>
        <v>-55.491085106895262</v>
      </c>
      <c r="KP22" s="114">
        <f t="shared" si="34"/>
        <v>-55.491085106895262</v>
      </c>
    </row>
    <row r="23" spans="1:302" ht="16" customHeight="1" x14ac:dyDescent="0.2">
      <c r="A23" s="104" t="s">
        <v>445</v>
      </c>
      <c r="B23" s="105" t="s">
        <v>215</v>
      </c>
      <c r="C23" s="106">
        <f>IF(C22&gt;0,-C22*Assumptions!$E$47,0)</f>
        <v>-36.60924794999999</v>
      </c>
      <c r="D23" s="106">
        <f>IF(D22&gt;0,-D22*Assumptions!$E$47,0)</f>
        <v>-36.60924794999999</v>
      </c>
      <c r="E23" s="106">
        <f>IF(E22&gt;0,-E22*Assumptions!$E$47,0)</f>
        <v>-36.60924794999999</v>
      </c>
      <c r="F23" s="106">
        <f>IF(F22&gt;0,-F22*Assumptions!$E$47,0)</f>
        <v>-36.60924794999999</v>
      </c>
      <c r="G23" s="106">
        <f>IF(G22&gt;0,-G22*Assumptions!$E$47,0)</f>
        <v>-36.60924794999999</v>
      </c>
      <c r="H23" s="106">
        <f>IF(H22&gt;0,-H22*Assumptions!$E$47,0)</f>
        <v>-36.60924794999999</v>
      </c>
      <c r="I23" s="106">
        <f>IF(I22&gt;0,-I22*Assumptions!$E$47,0)</f>
        <v>-36.60924794999999</v>
      </c>
      <c r="J23" s="106">
        <f>IF(J22&gt;0,-J22*Assumptions!$E$47,0)</f>
        <v>-36.60924794999999</v>
      </c>
      <c r="K23" s="106">
        <f>IF(K22&gt;0,-K22*Assumptions!$E$47,0)</f>
        <v>-36.60924794999999</v>
      </c>
      <c r="L23" s="106">
        <f>IF(L22&gt;0,-L22*Assumptions!$E$47,0)</f>
        <v>-36.60924794999999</v>
      </c>
      <c r="M23" s="106">
        <f>IF(M22&gt;0,-M22*Assumptions!$E$47,0)</f>
        <v>-36.60924794999999</v>
      </c>
      <c r="N23" s="106">
        <f>IF(N22&gt;0,-N22*Assumptions!$E$47,0)</f>
        <v>-36.60924794999999</v>
      </c>
      <c r="O23" s="106">
        <f>IF(O22&gt;0,-O22*Assumptions!$E$47,0)</f>
        <v>-36.236451710249987</v>
      </c>
      <c r="P23" s="106">
        <f>IF(P22&gt;0,-P22*Assumptions!$E$47,0)</f>
        <v>-36.236451710249987</v>
      </c>
      <c r="Q23" s="106">
        <f>IF(Q22&gt;0,-Q22*Assumptions!$E$47,0)</f>
        <v>-36.236451710249987</v>
      </c>
      <c r="R23" s="106">
        <f>IF(R22&gt;0,-R22*Assumptions!$E$47,0)</f>
        <v>-36.236451710249987</v>
      </c>
      <c r="S23" s="106">
        <f>IF(S22&gt;0,-S22*Assumptions!$E$47,0)</f>
        <v>-36.236451710249987</v>
      </c>
      <c r="T23" s="106">
        <f>IF(T22&gt;0,-T22*Assumptions!$E$47,0)</f>
        <v>-36.236451710249987</v>
      </c>
      <c r="U23" s="106">
        <f>IF(U22&gt;0,-U22*Assumptions!$E$47,0)</f>
        <v>-36.236451710249987</v>
      </c>
      <c r="V23" s="106">
        <f>IF(V22&gt;0,-V22*Assumptions!$E$47,0)</f>
        <v>-36.236451710249987</v>
      </c>
      <c r="W23" s="106">
        <f>IF(W22&gt;0,-W22*Assumptions!$E$47,0)</f>
        <v>-36.236451710249987</v>
      </c>
      <c r="X23" s="106">
        <f>IF(X22&gt;0,-X22*Assumptions!$E$47,0)</f>
        <v>-36.236451710249987</v>
      </c>
      <c r="Y23" s="106">
        <f>IF(Y22&gt;0,-Y22*Assumptions!$E$47,0)</f>
        <v>-36.236451710249987</v>
      </c>
      <c r="Z23" s="106">
        <f>IF(Z22&gt;0,-Z22*Assumptions!$E$47,0)</f>
        <v>-36.236451710249987</v>
      </c>
      <c r="AA23" s="106">
        <f>IF(AA22&gt;0,-AA22*Assumptions!$E$47,0)</f>
        <v>-35.861724451698748</v>
      </c>
      <c r="AB23" s="106">
        <f>IF(AB22&gt;0,-AB22*Assumptions!$E$47,0)</f>
        <v>-35.861724451698748</v>
      </c>
      <c r="AC23" s="106">
        <f>IF(AC22&gt;0,-AC22*Assumptions!$E$47,0)</f>
        <v>-35.861724451698748</v>
      </c>
      <c r="AD23" s="106">
        <f>IF(AD22&gt;0,-AD22*Assumptions!$E$47,0)</f>
        <v>-35.861724451698748</v>
      </c>
      <c r="AE23" s="106">
        <f>IF(AE22&gt;0,-AE22*Assumptions!$E$47,0)</f>
        <v>-35.861724451698748</v>
      </c>
      <c r="AF23" s="106">
        <f>IF(AF22&gt;0,-AF22*Assumptions!$E$47,0)</f>
        <v>-35.861724451698748</v>
      </c>
      <c r="AG23" s="106">
        <f>IF(AG22&gt;0,-AG22*Assumptions!$E$47,0)</f>
        <v>-35.861724451698748</v>
      </c>
      <c r="AH23" s="106">
        <f>IF(AH22&gt;0,-AH22*Assumptions!$E$47,0)</f>
        <v>-35.861724451698748</v>
      </c>
      <c r="AI23" s="106">
        <f>IF(AI22&gt;0,-AI22*Assumptions!$E$47,0)</f>
        <v>-35.861724451698748</v>
      </c>
      <c r="AJ23" s="106">
        <f>IF(AJ22&gt;0,-AJ22*Assumptions!$E$47,0)</f>
        <v>-35.861724451698748</v>
      </c>
      <c r="AK23" s="106">
        <f>IF(AK22&gt;0,-AK22*Assumptions!$E$47,0)</f>
        <v>-35.861724451698748</v>
      </c>
      <c r="AL23" s="106">
        <f>IF(AL22&gt;0,-AL22*Assumptions!$E$47,0)</f>
        <v>-35.861724451698748</v>
      </c>
      <c r="AM23" s="106">
        <f>IF(AM22&gt;0,-AM22*Assumptions!$E$47,0)</f>
        <v>-35.484999929440242</v>
      </c>
      <c r="AN23" s="106">
        <f>IF(AN22&gt;0,-AN22*Assumptions!$E$47,0)</f>
        <v>-35.484999929440242</v>
      </c>
      <c r="AO23" s="106">
        <f>IF(AO22&gt;0,-AO22*Assumptions!$E$47,0)</f>
        <v>-35.484999929440242</v>
      </c>
      <c r="AP23" s="106">
        <f>IF(AP22&gt;0,-AP22*Assumptions!$E$47,0)</f>
        <v>-35.484999929440242</v>
      </c>
      <c r="AQ23" s="106">
        <f>IF(AQ22&gt;0,-AQ22*Assumptions!$E$47,0)</f>
        <v>-35.484999929440242</v>
      </c>
      <c r="AR23" s="106">
        <f>IF(AR22&gt;0,-AR22*Assumptions!$E$47,0)</f>
        <v>-35.484999929440242</v>
      </c>
      <c r="AS23" s="106">
        <f>IF(AS22&gt;0,-AS22*Assumptions!$E$47,0)</f>
        <v>-35.484999929440242</v>
      </c>
      <c r="AT23" s="106">
        <f>IF(AT22&gt;0,-AT22*Assumptions!$E$47,0)</f>
        <v>-35.484999929440242</v>
      </c>
      <c r="AU23" s="106">
        <f>IF(AU22&gt;0,-AU22*Assumptions!$E$47,0)</f>
        <v>-35.484999929440242</v>
      </c>
      <c r="AV23" s="106">
        <f>IF(AV22&gt;0,-AV22*Assumptions!$E$47,0)</f>
        <v>-35.484999929440242</v>
      </c>
      <c r="AW23" s="106">
        <f>IF(AW22&gt;0,-AW22*Assumptions!$E$47,0)</f>
        <v>-35.484999929440242</v>
      </c>
      <c r="AX23" s="106">
        <f>IF(AX22&gt;0,-AX22*Assumptions!$E$47,0)</f>
        <v>-35.484999929440242</v>
      </c>
      <c r="AY23" s="106">
        <f>IF(AY22&gt;0,-AY22*Assumptions!$E$47,0)</f>
        <v>-35.106210711793054</v>
      </c>
      <c r="AZ23" s="106">
        <f>IF(AZ22&gt;0,-AZ22*Assumptions!$E$47,0)</f>
        <v>-35.106210711793054</v>
      </c>
      <c r="BA23" s="106">
        <f>IF(BA22&gt;0,-BA22*Assumptions!$E$47,0)</f>
        <v>-35.106210711793054</v>
      </c>
      <c r="BB23" s="106">
        <f>IF(BB22&gt;0,-BB22*Assumptions!$E$47,0)</f>
        <v>-35.106210711793054</v>
      </c>
      <c r="BC23" s="106">
        <f>IF(BC22&gt;0,-BC22*Assumptions!$E$47,0)</f>
        <v>-35.106210711793054</v>
      </c>
      <c r="BD23" s="106">
        <f>IF(BD22&gt;0,-BD22*Assumptions!$E$47,0)</f>
        <v>-35.106210711793054</v>
      </c>
      <c r="BE23" s="106">
        <f>IF(BE22&gt;0,-BE22*Assumptions!$E$47,0)</f>
        <v>-35.106210711793054</v>
      </c>
      <c r="BF23" s="106">
        <f>IF(BF22&gt;0,-BF22*Assumptions!$E$47,0)</f>
        <v>-35.106210711793054</v>
      </c>
      <c r="BG23" s="106">
        <f>IF(BG22&gt;0,-BG22*Assumptions!$E$47,0)</f>
        <v>-35.106210711793054</v>
      </c>
      <c r="BH23" s="106">
        <f>IF(BH22&gt;0,-BH22*Assumptions!$E$47,0)</f>
        <v>-35.106210711793054</v>
      </c>
      <c r="BI23" s="106">
        <f>IF(BI22&gt;0,-BI22*Assumptions!$E$47,0)</f>
        <v>-35.106210711793054</v>
      </c>
      <c r="BJ23" s="106">
        <f>IF(BJ22&gt;0,-BJ22*Assumptions!$E$47,0)</f>
        <v>-35.106210711793054</v>
      </c>
      <c r="BK23" s="106">
        <f>IF(BK22&gt;0,-BK22*Assumptions!$E$47,0)</f>
        <v>-34.725288155874082</v>
      </c>
      <c r="BL23" s="106">
        <f>IF(BL22&gt;0,-BL22*Assumptions!$E$47,0)</f>
        <v>-34.725288155874082</v>
      </c>
      <c r="BM23" s="106">
        <f>IF(BM22&gt;0,-BM22*Assumptions!$E$47,0)</f>
        <v>-34.725288155874082</v>
      </c>
      <c r="BN23" s="106">
        <f>IF(BN22&gt;0,-BN22*Assumptions!$E$47,0)</f>
        <v>-34.725288155874082</v>
      </c>
      <c r="BO23" s="106">
        <f>IF(BO22&gt;0,-BO22*Assumptions!$E$47,0)</f>
        <v>-34.725288155874082</v>
      </c>
      <c r="BP23" s="106">
        <f>IF(BP22&gt;0,-BP22*Assumptions!$E$47,0)</f>
        <v>-34.725288155874082</v>
      </c>
      <c r="BQ23" s="106">
        <f>IF(BQ22&gt;0,-BQ22*Assumptions!$E$47,0)</f>
        <v>-34.725288155874082</v>
      </c>
      <c r="BR23" s="106">
        <f>IF(BR22&gt;0,-BR22*Assumptions!$E$47,0)</f>
        <v>-34.725288155874082</v>
      </c>
      <c r="BS23" s="106">
        <f>IF(BS22&gt;0,-BS22*Assumptions!$E$47,0)</f>
        <v>-34.725288155874082</v>
      </c>
      <c r="BT23" s="106">
        <f>IF(BT22&gt;0,-BT22*Assumptions!$E$47,0)</f>
        <v>-34.725288155874082</v>
      </c>
      <c r="BU23" s="106">
        <f>IF(BU22&gt;0,-BU22*Assumptions!$E$47,0)</f>
        <v>-34.725288155874082</v>
      </c>
      <c r="BV23" s="106">
        <f>IF(BV22&gt;0,-BV22*Assumptions!$E$47,0)</f>
        <v>-34.725288155874082</v>
      </c>
      <c r="BW23" s="106">
        <f>IF(BW22&gt;0,-BW22*Assumptions!$E$47,0)</f>
        <v>-34.342162382687519</v>
      </c>
      <c r="BX23" s="106">
        <f>IF(BX22&gt;0,-BX22*Assumptions!$E$47,0)</f>
        <v>-34.342162382687519</v>
      </c>
      <c r="BY23" s="106">
        <f>IF(BY22&gt;0,-BY22*Assumptions!$E$47,0)</f>
        <v>-34.342162382687519</v>
      </c>
      <c r="BZ23" s="106">
        <f>IF(BZ22&gt;0,-BZ22*Assumptions!$E$47,0)</f>
        <v>-34.342162382687519</v>
      </c>
      <c r="CA23" s="106">
        <f>IF(CA22&gt;0,-CA22*Assumptions!$E$47,0)</f>
        <v>-34.342162382687519</v>
      </c>
      <c r="CB23" s="106">
        <f>IF(CB22&gt;0,-CB22*Assumptions!$E$47,0)</f>
        <v>-34.342162382687519</v>
      </c>
      <c r="CC23" s="106">
        <f>IF(CC22&gt;0,-CC22*Assumptions!$E$47,0)</f>
        <v>-34.342162382687519</v>
      </c>
      <c r="CD23" s="106">
        <f>IF(CD22&gt;0,-CD22*Assumptions!$E$47,0)</f>
        <v>-34.342162382687519</v>
      </c>
      <c r="CE23" s="106">
        <f>IF(CE22&gt;0,-CE22*Assumptions!$E$47,0)</f>
        <v>-34.342162382687519</v>
      </c>
      <c r="CF23" s="106">
        <f>IF(CF22&gt;0,-CF22*Assumptions!$E$47,0)</f>
        <v>-34.342162382687519</v>
      </c>
      <c r="CG23" s="106">
        <f>IF(CG22&gt;0,-CG22*Assumptions!$E$47,0)</f>
        <v>-34.342162382687519</v>
      </c>
      <c r="CH23" s="106">
        <f>IF(CH22&gt;0,-CH22*Assumptions!$E$47,0)</f>
        <v>-34.342162382687519</v>
      </c>
      <c r="CI23" s="106">
        <f>IF(CI22&gt;0,-CI22*Assumptions!$E$47,0)</f>
        <v>-33.956762251718729</v>
      </c>
      <c r="CJ23" s="106">
        <f>IF(CJ22&gt;0,-CJ22*Assumptions!$E$47,0)</f>
        <v>-33.956762251718729</v>
      </c>
      <c r="CK23" s="106">
        <f>IF(CK22&gt;0,-CK22*Assumptions!$E$47,0)</f>
        <v>-33.956762251718729</v>
      </c>
      <c r="CL23" s="106">
        <f>IF(CL22&gt;0,-CL22*Assumptions!$E$47,0)</f>
        <v>-33.956762251718729</v>
      </c>
      <c r="CM23" s="106">
        <f>IF(CM22&gt;0,-CM22*Assumptions!$E$47,0)</f>
        <v>-33.956762251718729</v>
      </c>
      <c r="CN23" s="106">
        <f>IF(CN22&gt;0,-CN22*Assumptions!$E$47,0)</f>
        <v>-33.956762251718729</v>
      </c>
      <c r="CO23" s="106">
        <f>IF(CO22&gt;0,-CO22*Assumptions!$E$47,0)</f>
        <v>-33.956762251718729</v>
      </c>
      <c r="CP23" s="106">
        <f>IF(CP22&gt;0,-CP22*Assumptions!$E$47,0)</f>
        <v>-33.956762251718729</v>
      </c>
      <c r="CQ23" s="106">
        <f>IF(CQ22&gt;0,-CQ22*Assumptions!$E$47,0)</f>
        <v>-33.956762251718729</v>
      </c>
      <c r="CR23" s="106">
        <f>IF(CR22&gt;0,-CR22*Assumptions!$E$47,0)</f>
        <v>-33.956762251718729</v>
      </c>
      <c r="CS23" s="106">
        <f>IF(CS22&gt;0,-CS22*Assumptions!$E$47,0)</f>
        <v>-33.956762251718729</v>
      </c>
      <c r="CT23" s="106">
        <f>IF(CT22&gt;0,-CT22*Assumptions!$E$47,0)</f>
        <v>-33.956762251718729</v>
      </c>
      <c r="CU23" s="106">
        <f>IF(CU22&gt;0,-CU22*Assumptions!$E$47,0)</f>
        <v>-33.569015335023686</v>
      </c>
      <c r="CV23" s="106">
        <f>IF(CV22&gt;0,-CV22*Assumptions!$E$47,0)</f>
        <v>-33.569015335023686</v>
      </c>
      <c r="CW23" s="106">
        <f>IF(CW22&gt;0,-CW22*Assumptions!$E$47,0)</f>
        <v>-33.569015335023686</v>
      </c>
      <c r="CX23" s="106">
        <f>IF(CX22&gt;0,-CX22*Assumptions!$E$47,0)</f>
        <v>-33.569015335023686</v>
      </c>
      <c r="CY23" s="106">
        <f>IF(CY22&gt;0,-CY22*Assumptions!$E$47,0)</f>
        <v>-33.569015335023686</v>
      </c>
      <c r="CZ23" s="106">
        <f>IF(CZ22&gt;0,-CZ22*Assumptions!$E$47,0)</f>
        <v>-33.569015335023686</v>
      </c>
      <c r="DA23" s="106">
        <f>IF(DA22&gt;0,-DA22*Assumptions!$E$47,0)</f>
        <v>-33.569015335023686</v>
      </c>
      <c r="DB23" s="106">
        <f>IF(DB22&gt;0,-DB22*Assumptions!$E$47,0)</f>
        <v>-33.569015335023686</v>
      </c>
      <c r="DC23" s="106">
        <f>IF(DC22&gt;0,-DC22*Assumptions!$E$47,0)</f>
        <v>-33.569015335023686</v>
      </c>
      <c r="DD23" s="106">
        <f>IF(DD22&gt;0,-DD22*Assumptions!$E$47,0)</f>
        <v>-33.569015335023686</v>
      </c>
      <c r="DE23" s="106">
        <f>IF(DE22&gt;0,-DE22*Assumptions!$E$47,0)</f>
        <v>-33.569015335023686</v>
      </c>
      <c r="DF23" s="106">
        <f>IF(DF22&gt;0,-DF22*Assumptions!$E$47,0)</f>
        <v>-33.569015335023686</v>
      </c>
      <c r="DG23" s="106">
        <f>IF(DG22&gt;0,-DG22*Assumptions!$E$47,0)</f>
        <v>-33.178847890803382</v>
      </c>
      <c r="DH23" s="106">
        <f>IF(DH22&gt;0,-DH22*Assumptions!$E$47,0)</f>
        <v>-33.178847890803382</v>
      </c>
      <c r="DI23" s="106">
        <f>IF(DI22&gt;0,-DI22*Assumptions!$E$47,0)</f>
        <v>-33.178847890803382</v>
      </c>
      <c r="DJ23" s="106">
        <f>IF(DJ22&gt;0,-DJ22*Assumptions!$E$47,0)</f>
        <v>-33.178847890803382</v>
      </c>
      <c r="DK23" s="106">
        <f>IF(DK22&gt;0,-DK22*Assumptions!$E$47,0)</f>
        <v>-33.178847890803382</v>
      </c>
      <c r="DL23" s="106">
        <f>IF(DL22&gt;0,-DL22*Assumptions!$E$47,0)</f>
        <v>-33.178847890803382</v>
      </c>
      <c r="DM23" s="106">
        <f>IF(DM22&gt;0,-DM22*Assumptions!$E$47,0)</f>
        <v>-33.178847890803382</v>
      </c>
      <c r="DN23" s="106">
        <f>IF(DN22&gt;0,-DN22*Assumptions!$E$47,0)</f>
        <v>-33.178847890803382</v>
      </c>
      <c r="DO23" s="106">
        <f>IF(DO22&gt;0,-DO22*Assumptions!$E$47,0)</f>
        <v>-33.178847890803382</v>
      </c>
      <c r="DP23" s="106">
        <f>IF(DP22&gt;0,-DP22*Assumptions!$E$47,0)</f>
        <v>-33.178847890803382</v>
      </c>
      <c r="DQ23" s="106">
        <f>IF(DQ22&gt;0,-DQ22*Assumptions!$E$47,0)</f>
        <v>-33.178847890803382</v>
      </c>
      <c r="DR23" s="106">
        <f>IF(DR22&gt;0,-DR22*Assumptions!$E$47,0)</f>
        <v>-33.178847890803382</v>
      </c>
      <c r="DS23" s="106">
        <f>IF(DS22&gt;0,-DS22*Assumptions!$E$47,0)</f>
        <v>0</v>
      </c>
      <c r="DT23" s="106">
        <f>IF(DT22&gt;0,-DT22*Assumptions!$E$47,0)</f>
        <v>0</v>
      </c>
      <c r="DU23" s="106">
        <f>IF(DU22&gt;0,-DU22*Assumptions!$E$47,0)</f>
        <v>0</v>
      </c>
      <c r="DV23" s="106">
        <f>IF(DV22&gt;0,-DV22*Assumptions!$E$47,0)</f>
        <v>0</v>
      </c>
      <c r="DW23" s="106">
        <f>IF(DW22&gt;0,-DW22*Assumptions!$E$47,0)</f>
        <v>0</v>
      </c>
      <c r="DX23" s="106">
        <f>IF(DX22&gt;0,-DX22*Assumptions!$E$47,0)</f>
        <v>0</v>
      </c>
      <c r="DY23" s="106">
        <f>IF(DY22&gt;0,-DY22*Assumptions!$E$47,0)</f>
        <v>0</v>
      </c>
      <c r="DZ23" s="106">
        <f>IF(DZ22&gt;0,-DZ22*Assumptions!$E$47,0)</f>
        <v>0</v>
      </c>
      <c r="EA23" s="106">
        <f>IF(EA22&gt;0,-EA22*Assumptions!$E$47,0)</f>
        <v>0</v>
      </c>
      <c r="EB23" s="106">
        <f>IF(EB22&gt;0,-EB22*Assumptions!$E$47,0)</f>
        <v>0</v>
      </c>
      <c r="EC23" s="106">
        <f>IF(EC22&gt;0,-EC22*Assumptions!$E$47,0)</f>
        <v>0</v>
      </c>
      <c r="ED23" s="106">
        <f>IF(ED22&gt;0,-ED22*Assumptions!$E$47,0)</f>
        <v>0</v>
      </c>
      <c r="EE23" s="106">
        <f>IF(EE22&gt;0,-EE22*Assumptions!$E$47,0)</f>
        <v>0</v>
      </c>
      <c r="EF23" s="106">
        <f>IF(EF22&gt;0,-EF22*Assumptions!$E$47,0)</f>
        <v>0</v>
      </c>
      <c r="EG23" s="106">
        <f>IF(EG22&gt;0,-EG22*Assumptions!$E$47,0)</f>
        <v>0</v>
      </c>
      <c r="EH23" s="106">
        <f>IF(EH22&gt;0,-EH22*Assumptions!$E$47,0)</f>
        <v>0</v>
      </c>
      <c r="EI23" s="106">
        <f>IF(EI22&gt;0,-EI22*Assumptions!$E$47,0)</f>
        <v>0</v>
      </c>
      <c r="EJ23" s="106">
        <f>IF(EJ22&gt;0,-EJ22*Assumptions!$E$47,0)</f>
        <v>0</v>
      </c>
      <c r="EK23" s="106">
        <f>IF(EK22&gt;0,-EK22*Assumptions!$E$47,0)</f>
        <v>0</v>
      </c>
      <c r="EL23" s="106">
        <f>IF(EL22&gt;0,-EL22*Assumptions!$E$47,0)</f>
        <v>0</v>
      </c>
      <c r="EM23" s="106">
        <f>IF(EM22&gt;0,-EM22*Assumptions!$E$47,0)</f>
        <v>0</v>
      </c>
      <c r="EN23" s="106">
        <f>IF(EN22&gt;0,-EN22*Assumptions!$E$47,0)</f>
        <v>0</v>
      </c>
      <c r="EO23" s="106">
        <f>IF(EO22&gt;0,-EO22*Assumptions!$E$47,0)</f>
        <v>0</v>
      </c>
      <c r="EP23" s="106">
        <f>IF(EP22&gt;0,-EP22*Assumptions!$E$47,0)</f>
        <v>0</v>
      </c>
      <c r="EQ23" s="106">
        <f>IF(EQ22&gt;0,-EQ22*Assumptions!$E$47,0)</f>
        <v>0</v>
      </c>
      <c r="ER23" s="106">
        <f>IF(ER22&gt;0,-ER22*Assumptions!$E$47,0)</f>
        <v>0</v>
      </c>
      <c r="ES23" s="106">
        <f>IF(ES22&gt;0,-ES22*Assumptions!$E$47,0)</f>
        <v>0</v>
      </c>
      <c r="ET23" s="106">
        <f>IF(ET22&gt;0,-ET22*Assumptions!$E$47,0)</f>
        <v>0</v>
      </c>
      <c r="EU23" s="106">
        <f>IF(EU22&gt;0,-EU22*Assumptions!$E$47,0)</f>
        <v>0</v>
      </c>
      <c r="EV23" s="106">
        <f>IF(EV22&gt;0,-EV22*Assumptions!$E$47,0)</f>
        <v>0</v>
      </c>
      <c r="EW23" s="106">
        <f>IF(EW22&gt;0,-EW22*Assumptions!$E$47,0)</f>
        <v>0</v>
      </c>
      <c r="EX23" s="106">
        <f>IF(EX22&gt;0,-EX22*Assumptions!$E$47,0)</f>
        <v>0</v>
      </c>
      <c r="EY23" s="106">
        <f>IF(EY22&gt;0,-EY22*Assumptions!$E$47,0)</f>
        <v>0</v>
      </c>
      <c r="EZ23" s="106">
        <f>IF(EZ22&gt;0,-EZ22*Assumptions!$E$47,0)</f>
        <v>0</v>
      </c>
      <c r="FA23" s="106">
        <f>IF(FA22&gt;0,-FA22*Assumptions!$E$47,0)</f>
        <v>0</v>
      </c>
      <c r="FB23" s="106">
        <f>IF(FB22&gt;0,-FB22*Assumptions!$E$47,0)</f>
        <v>0</v>
      </c>
      <c r="FC23" s="106">
        <f>IF(FC22&gt;0,-FC22*Assumptions!$E$47,0)</f>
        <v>0</v>
      </c>
      <c r="FD23" s="106">
        <f>IF(FD22&gt;0,-FD22*Assumptions!$E$47,0)</f>
        <v>0</v>
      </c>
      <c r="FE23" s="106">
        <f>IF(FE22&gt;0,-FE22*Assumptions!$E$47,0)</f>
        <v>0</v>
      </c>
      <c r="FF23" s="106">
        <f>IF(FF22&gt;0,-FF22*Assumptions!$E$47,0)</f>
        <v>0</v>
      </c>
      <c r="FG23" s="106">
        <f>IF(FG22&gt;0,-FG22*Assumptions!$E$47,0)</f>
        <v>0</v>
      </c>
      <c r="FH23" s="106">
        <f>IF(FH22&gt;0,-FH22*Assumptions!$E$47,0)</f>
        <v>0</v>
      </c>
      <c r="FI23" s="106">
        <f>IF(FI22&gt;0,-FI22*Assumptions!$E$47,0)</f>
        <v>0</v>
      </c>
      <c r="FJ23" s="106">
        <f>IF(FJ22&gt;0,-FJ22*Assumptions!$E$47,0)</f>
        <v>0</v>
      </c>
      <c r="FK23" s="106">
        <f>IF(FK22&gt;0,-FK22*Assumptions!$E$47,0)</f>
        <v>0</v>
      </c>
      <c r="FL23" s="106">
        <f>IF(FL22&gt;0,-FL22*Assumptions!$E$47,0)</f>
        <v>0</v>
      </c>
      <c r="FM23" s="106">
        <f>IF(FM22&gt;0,-FM22*Assumptions!$E$47,0)</f>
        <v>0</v>
      </c>
      <c r="FN23" s="106">
        <f>IF(FN22&gt;0,-FN22*Assumptions!$E$47,0)</f>
        <v>0</v>
      </c>
      <c r="FO23" s="106">
        <f>IF(FO22&gt;0,-FO22*Assumptions!$E$47,0)</f>
        <v>0</v>
      </c>
      <c r="FP23" s="106">
        <f>IF(FP22&gt;0,-FP22*Assumptions!$E$47,0)</f>
        <v>0</v>
      </c>
      <c r="FQ23" s="106">
        <f>IF(FQ22&gt;0,-FQ22*Assumptions!$E$47,0)</f>
        <v>0</v>
      </c>
      <c r="FR23" s="106">
        <f>IF(FR22&gt;0,-FR22*Assumptions!$E$47,0)</f>
        <v>0</v>
      </c>
      <c r="FS23" s="106">
        <f>IF(FS22&gt;0,-FS22*Assumptions!$E$47,0)</f>
        <v>0</v>
      </c>
      <c r="FT23" s="106">
        <f>IF(FT22&gt;0,-FT22*Assumptions!$E$47,0)</f>
        <v>0</v>
      </c>
      <c r="FU23" s="106">
        <f>IF(FU22&gt;0,-FU22*Assumptions!$E$47,0)</f>
        <v>0</v>
      </c>
      <c r="FV23" s="106">
        <f>IF(FV22&gt;0,-FV22*Assumptions!$E$47,0)</f>
        <v>0</v>
      </c>
      <c r="FW23" s="106">
        <f>IF(FW22&gt;0,-FW22*Assumptions!$E$47,0)</f>
        <v>0</v>
      </c>
      <c r="FX23" s="106">
        <f>IF(FX22&gt;0,-FX22*Assumptions!$E$47,0)</f>
        <v>0</v>
      </c>
      <c r="FY23" s="106">
        <f>IF(FY22&gt;0,-FY22*Assumptions!$E$47,0)</f>
        <v>0</v>
      </c>
      <c r="FZ23" s="106">
        <f>IF(FZ22&gt;0,-FZ22*Assumptions!$E$47,0)</f>
        <v>0</v>
      </c>
      <c r="GA23" s="106">
        <f>IF(GA22&gt;0,-GA22*Assumptions!$E$47,0)</f>
        <v>0</v>
      </c>
      <c r="GB23" s="106">
        <f>IF(GB22&gt;0,-GB22*Assumptions!$E$47,0)</f>
        <v>0</v>
      </c>
      <c r="GC23" s="106">
        <f>IF(GC22&gt;0,-GC22*Assumptions!$E$47,0)</f>
        <v>0</v>
      </c>
      <c r="GD23" s="106">
        <f>IF(GD22&gt;0,-GD22*Assumptions!$E$47,0)</f>
        <v>0</v>
      </c>
      <c r="GE23" s="106">
        <f>IF(GE22&gt;0,-GE22*Assumptions!$E$47,0)</f>
        <v>0</v>
      </c>
      <c r="GF23" s="106">
        <f>IF(GF22&gt;0,-GF22*Assumptions!$E$47,0)</f>
        <v>0</v>
      </c>
      <c r="GG23" s="106">
        <f>IF(GG22&gt;0,-GG22*Assumptions!$E$47,0)</f>
        <v>0</v>
      </c>
      <c r="GH23" s="106">
        <f>IF(GH22&gt;0,-GH22*Assumptions!$E$47,0)</f>
        <v>0</v>
      </c>
      <c r="GI23" s="106">
        <f>IF(GI22&gt;0,-GI22*Assumptions!$E$47,0)</f>
        <v>0</v>
      </c>
      <c r="GJ23" s="106">
        <f>IF(GJ22&gt;0,-GJ22*Assumptions!$E$47,0)</f>
        <v>0</v>
      </c>
      <c r="GK23" s="106">
        <f>IF(GK22&gt;0,-GK22*Assumptions!$E$47,0)</f>
        <v>0</v>
      </c>
      <c r="GL23" s="106">
        <f>IF(GL22&gt;0,-GL22*Assumptions!$E$47,0)</f>
        <v>0</v>
      </c>
      <c r="GM23" s="106">
        <f>IF(GM22&gt;0,-GM22*Assumptions!$E$47,0)</f>
        <v>0</v>
      </c>
      <c r="GN23" s="106">
        <f>IF(GN22&gt;0,-GN22*Assumptions!$E$47,0)</f>
        <v>0</v>
      </c>
      <c r="GO23" s="106">
        <f>IF(GO22&gt;0,-GO22*Assumptions!$E$47,0)</f>
        <v>0</v>
      </c>
      <c r="GP23" s="106">
        <f>IF(GP22&gt;0,-GP22*Assumptions!$E$47,0)</f>
        <v>0</v>
      </c>
      <c r="GQ23" s="106">
        <f>IF(GQ22&gt;0,-GQ22*Assumptions!$E$47,0)</f>
        <v>0</v>
      </c>
      <c r="GR23" s="106">
        <f>IF(GR22&gt;0,-GR22*Assumptions!$E$47,0)</f>
        <v>0</v>
      </c>
      <c r="GS23" s="106">
        <f>IF(GS22&gt;0,-GS22*Assumptions!$E$47,0)</f>
        <v>0</v>
      </c>
      <c r="GT23" s="106">
        <f>IF(GT22&gt;0,-GT22*Assumptions!$E$47,0)</f>
        <v>0</v>
      </c>
      <c r="GU23" s="106">
        <f>IF(GU22&gt;0,-GU22*Assumptions!$E$47,0)</f>
        <v>0</v>
      </c>
      <c r="GV23" s="106">
        <f>IF(GV22&gt;0,-GV22*Assumptions!$E$47,0)</f>
        <v>0</v>
      </c>
      <c r="GW23" s="106">
        <f>IF(GW22&gt;0,-GW22*Assumptions!$E$47,0)</f>
        <v>0</v>
      </c>
      <c r="GX23" s="106">
        <f>IF(GX22&gt;0,-GX22*Assumptions!$E$47,0)</f>
        <v>0</v>
      </c>
      <c r="GY23" s="106">
        <f>IF(GY22&gt;0,-GY22*Assumptions!$E$47,0)</f>
        <v>0</v>
      </c>
      <c r="GZ23" s="106">
        <f>IF(GZ22&gt;0,-GZ22*Assumptions!$E$47,0)</f>
        <v>0</v>
      </c>
      <c r="HA23" s="106">
        <f>IF(HA22&gt;0,-HA22*Assumptions!$E$47,0)</f>
        <v>0</v>
      </c>
      <c r="HB23" s="106">
        <f>IF(HB22&gt;0,-HB22*Assumptions!$E$47,0)</f>
        <v>0</v>
      </c>
      <c r="HC23" s="106">
        <f>IF(HC22&gt;0,-HC22*Assumptions!$E$47,0)</f>
        <v>0</v>
      </c>
      <c r="HD23" s="106">
        <f>IF(HD22&gt;0,-HD22*Assumptions!$E$47,0)</f>
        <v>0</v>
      </c>
      <c r="HE23" s="106">
        <f>IF(HE22&gt;0,-HE22*Assumptions!$E$47,0)</f>
        <v>0</v>
      </c>
      <c r="HF23" s="106">
        <f>IF(HF22&gt;0,-HF22*Assumptions!$E$47,0)</f>
        <v>0</v>
      </c>
      <c r="HG23" s="106">
        <f>IF(HG22&gt;0,-HG22*Assumptions!$E$47,0)</f>
        <v>0</v>
      </c>
      <c r="HH23" s="106">
        <f>IF(HH22&gt;0,-HH22*Assumptions!$E$47,0)</f>
        <v>0</v>
      </c>
      <c r="HI23" s="106">
        <f>IF(HI22&gt;0,-HI22*Assumptions!$E$47,0)</f>
        <v>0</v>
      </c>
      <c r="HJ23" s="106">
        <f>IF(HJ22&gt;0,-HJ22*Assumptions!$E$47,0)</f>
        <v>0</v>
      </c>
      <c r="HK23" s="106">
        <f>IF(HK22&gt;0,-HK22*Assumptions!$E$47,0)</f>
        <v>0</v>
      </c>
      <c r="HL23" s="106">
        <f>IF(HL22&gt;0,-HL22*Assumptions!$E$47,0)</f>
        <v>0</v>
      </c>
      <c r="HM23" s="106">
        <f>IF(HM22&gt;0,-HM22*Assumptions!$E$47,0)</f>
        <v>0</v>
      </c>
      <c r="HN23" s="106">
        <f>IF(HN22&gt;0,-HN22*Assumptions!$E$47,0)</f>
        <v>0</v>
      </c>
      <c r="HO23" s="106">
        <f>IF(HO22&gt;0,-HO22*Assumptions!$E$47,0)</f>
        <v>0</v>
      </c>
      <c r="HP23" s="106">
        <f>IF(HP22&gt;0,-HP22*Assumptions!$E$47,0)</f>
        <v>0</v>
      </c>
      <c r="HQ23" s="106">
        <f>IF(HQ22&gt;0,-HQ22*Assumptions!$E$47,0)</f>
        <v>0</v>
      </c>
      <c r="HR23" s="106">
        <f>IF(HR22&gt;0,-HR22*Assumptions!$E$47,0)</f>
        <v>0</v>
      </c>
      <c r="HS23" s="106">
        <f>IF(HS22&gt;0,-HS22*Assumptions!$E$47,0)</f>
        <v>0</v>
      </c>
      <c r="HT23" s="106">
        <f>IF(HT22&gt;0,-HT22*Assumptions!$E$47,0)</f>
        <v>0</v>
      </c>
      <c r="HU23" s="106">
        <f>IF(HU22&gt;0,-HU22*Assumptions!$E$47,0)</f>
        <v>0</v>
      </c>
      <c r="HV23" s="106">
        <f>IF(HV22&gt;0,-HV22*Assumptions!$E$47,0)</f>
        <v>0</v>
      </c>
      <c r="HW23" s="106">
        <f>IF(HW22&gt;0,-HW22*Assumptions!$E$47,0)</f>
        <v>0</v>
      </c>
      <c r="HX23" s="106">
        <f>IF(HX22&gt;0,-HX22*Assumptions!$E$47,0)</f>
        <v>0</v>
      </c>
      <c r="HY23" s="106">
        <f>IF(HY22&gt;0,-HY22*Assumptions!$E$47,0)</f>
        <v>0</v>
      </c>
      <c r="HZ23" s="106">
        <f>IF(HZ22&gt;0,-HZ22*Assumptions!$E$47,0)</f>
        <v>0</v>
      </c>
      <c r="IA23" s="106">
        <f>IF(IA22&gt;0,-IA22*Assumptions!$E$47,0)</f>
        <v>0</v>
      </c>
      <c r="IB23" s="106">
        <f>IF(IB22&gt;0,-IB22*Assumptions!$E$47,0)</f>
        <v>0</v>
      </c>
      <c r="IC23" s="106">
        <f>IF(IC22&gt;0,-IC22*Assumptions!$E$47,0)</f>
        <v>0</v>
      </c>
      <c r="ID23" s="106">
        <f>IF(ID22&gt;0,-ID22*Assumptions!$E$47,0)</f>
        <v>0</v>
      </c>
      <c r="IE23" s="106">
        <f>IF(IE22&gt;0,-IE22*Assumptions!$E$47,0)</f>
        <v>0</v>
      </c>
      <c r="IF23" s="106">
        <f>IF(IF22&gt;0,-IF22*Assumptions!$E$47,0)</f>
        <v>0</v>
      </c>
      <c r="IG23" s="106">
        <f>IF(IG22&gt;0,-IG22*Assumptions!$E$47,0)</f>
        <v>0</v>
      </c>
      <c r="IH23" s="106">
        <f>IF(IH22&gt;0,-IH22*Assumptions!$E$47,0)</f>
        <v>0</v>
      </c>
      <c r="II23" s="106">
        <f>IF(II22&gt;0,-II22*Assumptions!$E$47,0)</f>
        <v>0</v>
      </c>
      <c r="IJ23" s="106">
        <f>IF(IJ22&gt;0,-IJ22*Assumptions!$E$47,0)</f>
        <v>0</v>
      </c>
      <c r="IK23" s="106">
        <f>IF(IK22&gt;0,-IK22*Assumptions!$E$47,0)</f>
        <v>0</v>
      </c>
      <c r="IL23" s="106">
        <f>IF(IL22&gt;0,-IL22*Assumptions!$E$47,0)</f>
        <v>0</v>
      </c>
      <c r="IM23" s="106">
        <f>IF(IM22&gt;0,-IM22*Assumptions!$E$47,0)</f>
        <v>0</v>
      </c>
      <c r="IN23" s="106">
        <f>IF(IN22&gt;0,-IN22*Assumptions!$E$47,0)</f>
        <v>0</v>
      </c>
      <c r="IO23" s="106">
        <f>IF(IO22&gt;0,-IO22*Assumptions!$E$47,0)</f>
        <v>0</v>
      </c>
      <c r="IP23" s="106">
        <f>IF(IP22&gt;0,-IP22*Assumptions!$E$47,0)</f>
        <v>0</v>
      </c>
      <c r="IQ23" s="106">
        <f>IF(IQ22&gt;0,-IQ22*Assumptions!$E$47,0)</f>
        <v>0</v>
      </c>
      <c r="IR23" s="106">
        <f>IF(IR22&gt;0,-IR22*Assumptions!$E$47,0)</f>
        <v>0</v>
      </c>
      <c r="IS23" s="106">
        <f>IF(IS22&gt;0,-IS22*Assumptions!$E$47,0)</f>
        <v>0</v>
      </c>
      <c r="IT23" s="106">
        <f>IF(IT22&gt;0,-IT22*Assumptions!$E$47,0)</f>
        <v>0</v>
      </c>
      <c r="IU23" s="106">
        <f>IF(IU22&gt;0,-IU22*Assumptions!$E$47,0)</f>
        <v>0</v>
      </c>
      <c r="IV23" s="106">
        <f>IF(IV22&gt;0,-IV22*Assumptions!$E$47,0)</f>
        <v>0</v>
      </c>
      <c r="IW23" s="106">
        <f>IF(IW22&gt;0,-IW22*Assumptions!$E$47,0)</f>
        <v>0</v>
      </c>
      <c r="IX23" s="106">
        <f>IF(IX22&gt;0,-IX22*Assumptions!$E$47,0)</f>
        <v>0</v>
      </c>
      <c r="IY23" s="106">
        <f>IF(IY22&gt;0,-IY22*Assumptions!$E$47,0)</f>
        <v>0</v>
      </c>
      <c r="IZ23" s="106">
        <f>IF(IZ22&gt;0,-IZ22*Assumptions!$E$47,0)</f>
        <v>0</v>
      </c>
      <c r="JA23" s="106">
        <f>IF(JA22&gt;0,-JA22*Assumptions!$E$47,0)</f>
        <v>0</v>
      </c>
      <c r="JB23" s="106">
        <f>IF(JB22&gt;0,-JB22*Assumptions!$E$47,0)</f>
        <v>0</v>
      </c>
      <c r="JC23" s="106">
        <f>IF(JC22&gt;0,-JC22*Assumptions!$E$47,0)</f>
        <v>0</v>
      </c>
      <c r="JD23" s="106">
        <f>IF(JD22&gt;0,-JD22*Assumptions!$E$47,0)</f>
        <v>0</v>
      </c>
      <c r="JE23" s="106">
        <f>IF(JE22&gt;0,-JE22*Assumptions!$E$47,0)</f>
        <v>0</v>
      </c>
      <c r="JF23" s="106">
        <f>IF(JF22&gt;0,-JF22*Assumptions!$E$47,0)</f>
        <v>0</v>
      </c>
      <c r="JG23" s="106">
        <f>IF(JG22&gt;0,-JG22*Assumptions!$E$47,0)</f>
        <v>0</v>
      </c>
      <c r="JH23" s="106">
        <f>IF(JH22&gt;0,-JH22*Assumptions!$E$47,0)</f>
        <v>0</v>
      </c>
      <c r="JI23" s="106">
        <f>IF(JI22&gt;0,-JI22*Assumptions!$E$47,0)</f>
        <v>0</v>
      </c>
      <c r="JJ23" s="106">
        <f>IF(JJ22&gt;0,-JJ22*Assumptions!$E$47,0)</f>
        <v>0</v>
      </c>
      <c r="JK23" s="106">
        <f>IF(JK22&gt;0,-JK22*Assumptions!$E$47,0)</f>
        <v>0</v>
      </c>
      <c r="JL23" s="106">
        <f>IF(JL22&gt;0,-JL22*Assumptions!$E$47,0)</f>
        <v>0</v>
      </c>
      <c r="JM23" s="106">
        <f>IF(JM22&gt;0,-JM22*Assumptions!$E$47,0)</f>
        <v>0</v>
      </c>
      <c r="JN23" s="106">
        <f>IF(JN22&gt;0,-JN22*Assumptions!$E$47,0)</f>
        <v>0</v>
      </c>
      <c r="JO23" s="106">
        <f>IF(JO22&gt;0,-JO22*Assumptions!$E$47,0)</f>
        <v>0</v>
      </c>
      <c r="JP23" s="106">
        <f>IF(JP22&gt;0,-JP22*Assumptions!$E$47,0)</f>
        <v>0</v>
      </c>
      <c r="JQ23" s="106">
        <f>IF(JQ22&gt;0,-JQ22*Assumptions!$E$47,0)</f>
        <v>0</v>
      </c>
      <c r="JR23" s="106">
        <f>IF(JR22&gt;0,-JR22*Assumptions!$E$47,0)</f>
        <v>0</v>
      </c>
      <c r="JS23" s="106">
        <f>IF(JS22&gt;0,-JS22*Assumptions!$E$47,0)</f>
        <v>0</v>
      </c>
      <c r="JT23" s="106">
        <f>IF(JT22&gt;0,-JT22*Assumptions!$E$47,0)</f>
        <v>0</v>
      </c>
      <c r="JU23" s="106">
        <f>IF(JU22&gt;0,-JU22*Assumptions!$E$47,0)</f>
        <v>0</v>
      </c>
      <c r="JV23" s="106">
        <f>IF(JV22&gt;0,-JV22*Assumptions!$E$47,0)</f>
        <v>0</v>
      </c>
      <c r="JW23" s="106">
        <f>IF(JW22&gt;0,-JW22*Assumptions!$E$47,0)</f>
        <v>0</v>
      </c>
      <c r="JX23" s="106">
        <f>IF(JX22&gt;0,-JX22*Assumptions!$E$47,0)</f>
        <v>0</v>
      </c>
      <c r="JY23" s="106">
        <f>IF(JY22&gt;0,-JY22*Assumptions!$E$47,0)</f>
        <v>0</v>
      </c>
      <c r="JZ23" s="106">
        <f>IF(JZ22&gt;0,-JZ22*Assumptions!$E$47,0)</f>
        <v>0</v>
      </c>
      <c r="KA23" s="106">
        <f>IF(KA22&gt;0,-KA22*Assumptions!$E$47,0)</f>
        <v>0</v>
      </c>
      <c r="KB23" s="106">
        <f>IF(KB22&gt;0,-KB22*Assumptions!$E$47,0)</f>
        <v>0</v>
      </c>
      <c r="KC23" s="106">
        <f>IF(KC22&gt;0,-KC22*Assumptions!$E$47,0)</f>
        <v>0</v>
      </c>
      <c r="KD23" s="106">
        <f>IF(KD22&gt;0,-KD22*Assumptions!$E$47,0)</f>
        <v>0</v>
      </c>
      <c r="KE23" s="106">
        <f>IF(KE22&gt;0,-KE22*Assumptions!$E$47,0)</f>
        <v>0</v>
      </c>
      <c r="KF23" s="106">
        <f>IF(KF22&gt;0,-KF22*Assumptions!$E$47,0)</f>
        <v>0</v>
      </c>
      <c r="KG23" s="106">
        <f>IF(KG22&gt;0,-KG22*Assumptions!$E$47,0)</f>
        <v>0</v>
      </c>
      <c r="KH23" s="106">
        <f>IF(KH22&gt;0,-KH22*Assumptions!$E$47,0)</f>
        <v>0</v>
      </c>
      <c r="KI23" s="106">
        <f>IF(KI22&gt;0,-KI22*Assumptions!$E$47,0)</f>
        <v>0</v>
      </c>
      <c r="KJ23" s="106">
        <f>IF(KJ22&gt;0,-KJ22*Assumptions!$E$47,0)</f>
        <v>0</v>
      </c>
      <c r="KK23" s="106">
        <f>IF(KK22&gt;0,-KK22*Assumptions!$E$47,0)</f>
        <v>0</v>
      </c>
      <c r="KL23" s="106">
        <f>IF(KL22&gt;0,-KL22*Assumptions!$E$47,0)</f>
        <v>0</v>
      </c>
      <c r="KM23" s="106">
        <f>IF(KM22&gt;0,-KM22*Assumptions!$E$47,0)</f>
        <v>0</v>
      </c>
      <c r="KN23" s="106">
        <f>IF(KN22&gt;0,-KN22*Assumptions!$E$47,0)</f>
        <v>0</v>
      </c>
      <c r="KO23" s="106">
        <f>IF(KO22&gt;0,-KO22*Assumptions!$E$47,0)</f>
        <v>0</v>
      </c>
      <c r="KP23" s="106">
        <f>IF(KP22&gt;0,-KP22*Assumptions!$E$47,0)</f>
        <v>0</v>
      </c>
    </row>
    <row r="24" spans="1:302" ht="16" customHeight="1" x14ac:dyDescent="0.2">
      <c r="A24" s="112" t="s">
        <v>446</v>
      </c>
      <c r="B24" s="113" t="s">
        <v>215</v>
      </c>
      <c r="C24" s="114">
        <f t="shared" ref="C24:BN24" si="35">C22+C23</f>
        <v>129.79642454999995</v>
      </c>
      <c r="D24" s="114">
        <f t="shared" si="35"/>
        <v>129.79642454999995</v>
      </c>
      <c r="E24" s="114">
        <f t="shared" si="35"/>
        <v>129.79642454999995</v>
      </c>
      <c r="F24" s="114">
        <f t="shared" si="35"/>
        <v>129.79642454999995</v>
      </c>
      <c r="G24" s="114">
        <f t="shared" si="35"/>
        <v>129.79642454999995</v>
      </c>
      <c r="H24" s="114">
        <f t="shared" si="35"/>
        <v>129.79642454999995</v>
      </c>
      <c r="I24" s="114">
        <f t="shared" si="35"/>
        <v>129.79642454999995</v>
      </c>
      <c r="J24" s="114">
        <f t="shared" si="35"/>
        <v>129.79642454999995</v>
      </c>
      <c r="K24" s="114">
        <f t="shared" si="35"/>
        <v>129.79642454999995</v>
      </c>
      <c r="L24" s="114">
        <f t="shared" si="35"/>
        <v>129.79642454999995</v>
      </c>
      <c r="M24" s="114">
        <f t="shared" si="35"/>
        <v>129.79642454999995</v>
      </c>
      <c r="N24" s="114">
        <f t="shared" si="35"/>
        <v>129.79642454999995</v>
      </c>
      <c r="O24" s="114">
        <f t="shared" si="35"/>
        <v>128.47469242724998</v>
      </c>
      <c r="P24" s="114">
        <f t="shared" si="35"/>
        <v>128.47469242724998</v>
      </c>
      <c r="Q24" s="114">
        <f t="shared" si="35"/>
        <v>128.47469242724998</v>
      </c>
      <c r="R24" s="114">
        <f t="shared" si="35"/>
        <v>128.47469242724998</v>
      </c>
      <c r="S24" s="114">
        <f t="shared" si="35"/>
        <v>128.47469242724998</v>
      </c>
      <c r="T24" s="114">
        <f t="shared" si="35"/>
        <v>128.47469242724998</v>
      </c>
      <c r="U24" s="114">
        <f t="shared" si="35"/>
        <v>128.47469242724998</v>
      </c>
      <c r="V24" s="114">
        <f t="shared" si="35"/>
        <v>128.47469242724998</v>
      </c>
      <c r="W24" s="114">
        <f t="shared" si="35"/>
        <v>128.47469242724998</v>
      </c>
      <c r="X24" s="114">
        <f t="shared" si="35"/>
        <v>128.47469242724998</v>
      </c>
      <c r="Y24" s="114">
        <f t="shared" si="35"/>
        <v>128.47469242724998</v>
      </c>
      <c r="Z24" s="114">
        <f t="shared" si="35"/>
        <v>128.47469242724998</v>
      </c>
      <c r="AA24" s="114">
        <f t="shared" si="35"/>
        <v>127.14611396511374</v>
      </c>
      <c r="AB24" s="114">
        <f t="shared" si="35"/>
        <v>127.14611396511374</v>
      </c>
      <c r="AC24" s="114">
        <f t="shared" si="35"/>
        <v>127.14611396511374</v>
      </c>
      <c r="AD24" s="114">
        <f t="shared" si="35"/>
        <v>127.14611396511374</v>
      </c>
      <c r="AE24" s="114">
        <f t="shared" si="35"/>
        <v>127.14611396511374</v>
      </c>
      <c r="AF24" s="114">
        <f t="shared" si="35"/>
        <v>127.14611396511374</v>
      </c>
      <c r="AG24" s="114">
        <f t="shared" si="35"/>
        <v>127.14611396511374</v>
      </c>
      <c r="AH24" s="114">
        <f t="shared" si="35"/>
        <v>127.14611396511374</v>
      </c>
      <c r="AI24" s="114">
        <f t="shared" si="35"/>
        <v>127.14611396511374</v>
      </c>
      <c r="AJ24" s="114">
        <f t="shared" si="35"/>
        <v>127.14611396511374</v>
      </c>
      <c r="AK24" s="114">
        <f t="shared" si="35"/>
        <v>127.14611396511374</v>
      </c>
      <c r="AL24" s="114">
        <f t="shared" si="35"/>
        <v>127.14611396511374</v>
      </c>
      <c r="AM24" s="114">
        <f t="shared" si="35"/>
        <v>125.81045429528814</v>
      </c>
      <c r="AN24" s="114">
        <f t="shared" si="35"/>
        <v>125.81045429528814</v>
      </c>
      <c r="AO24" s="114">
        <f t="shared" si="35"/>
        <v>125.81045429528814</v>
      </c>
      <c r="AP24" s="114">
        <f t="shared" si="35"/>
        <v>125.81045429528814</v>
      </c>
      <c r="AQ24" s="114">
        <f t="shared" si="35"/>
        <v>125.81045429528814</v>
      </c>
      <c r="AR24" s="114">
        <f t="shared" si="35"/>
        <v>125.81045429528814</v>
      </c>
      <c r="AS24" s="114">
        <f t="shared" si="35"/>
        <v>125.81045429528814</v>
      </c>
      <c r="AT24" s="114">
        <f t="shared" si="35"/>
        <v>125.81045429528814</v>
      </c>
      <c r="AU24" s="114">
        <f t="shared" si="35"/>
        <v>125.81045429528814</v>
      </c>
      <c r="AV24" s="114">
        <f t="shared" si="35"/>
        <v>125.81045429528814</v>
      </c>
      <c r="AW24" s="114">
        <f t="shared" si="35"/>
        <v>125.81045429528814</v>
      </c>
      <c r="AX24" s="114">
        <f t="shared" si="35"/>
        <v>125.81045429528814</v>
      </c>
      <c r="AY24" s="114">
        <f t="shared" si="35"/>
        <v>124.46747434181172</v>
      </c>
      <c r="AZ24" s="114">
        <f t="shared" si="35"/>
        <v>124.46747434181172</v>
      </c>
      <c r="BA24" s="114">
        <f t="shared" si="35"/>
        <v>124.46747434181172</v>
      </c>
      <c r="BB24" s="114">
        <f t="shared" si="35"/>
        <v>124.46747434181172</v>
      </c>
      <c r="BC24" s="114">
        <f t="shared" si="35"/>
        <v>124.46747434181172</v>
      </c>
      <c r="BD24" s="114">
        <f t="shared" si="35"/>
        <v>124.46747434181172</v>
      </c>
      <c r="BE24" s="114">
        <f t="shared" si="35"/>
        <v>124.46747434181172</v>
      </c>
      <c r="BF24" s="114">
        <f t="shared" si="35"/>
        <v>124.46747434181172</v>
      </c>
      <c r="BG24" s="114">
        <f t="shared" si="35"/>
        <v>124.46747434181172</v>
      </c>
      <c r="BH24" s="114">
        <f t="shared" si="35"/>
        <v>124.46747434181172</v>
      </c>
      <c r="BI24" s="114">
        <f t="shared" si="35"/>
        <v>124.46747434181172</v>
      </c>
      <c r="BJ24" s="114">
        <f t="shared" si="35"/>
        <v>124.46747434181172</v>
      </c>
      <c r="BK24" s="114">
        <f t="shared" si="35"/>
        <v>123.11693073446266</v>
      </c>
      <c r="BL24" s="114">
        <f t="shared" si="35"/>
        <v>123.11693073446266</v>
      </c>
      <c r="BM24" s="114">
        <f t="shared" si="35"/>
        <v>123.11693073446266</v>
      </c>
      <c r="BN24" s="114">
        <f t="shared" si="35"/>
        <v>123.11693073446266</v>
      </c>
      <c r="BO24" s="114">
        <f t="shared" ref="BO24:DZ24" si="36">BO22+BO23</f>
        <v>123.11693073446266</v>
      </c>
      <c r="BP24" s="114">
        <f t="shared" si="36"/>
        <v>123.11693073446266</v>
      </c>
      <c r="BQ24" s="114">
        <f t="shared" si="36"/>
        <v>123.11693073446266</v>
      </c>
      <c r="BR24" s="114">
        <f t="shared" si="36"/>
        <v>123.11693073446266</v>
      </c>
      <c r="BS24" s="114">
        <f t="shared" si="36"/>
        <v>123.11693073446266</v>
      </c>
      <c r="BT24" s="114">
        <f t="shared" si="36"/>
        <v>123.11693073446266</v>
      </c>
      <c r="BU24" s="114">
        <f t="shared" si="36"/>
        <v>123.11693073446266</v>
      </c>
      <c r="BV24" s="114">
        <f t="shared" si="36"/>
        <v>123.11693073446266</v>
      </c>
      <c r="BW24" s="114">
        <f t="shared" si="36"/>
        <v>121.75857572043756</v>
      </c>
      <c r="BX24" s="114">
        <f t="shared" si="36"/>
        <v>121.75857572043756</v>
      </c>
      <c r="BY24" s="114">
        <f t="shared" si="36"/>
        <v>121.75857572043756</v>
      </c>
      <c r="BZ24" s="114">
        <f t="shared" si="36"/>
        <v>121.75857572043756</v>
      </c>
      <c r="CA24" s="114">
        <f t="shared" si="36"/>
        <v>121.75857572043756</v>
      </c>
      <c r="CB24" s="114">
        <f t="shared" si="36"/>
        <v>121.75857572043756</v>
      </c>
      <c r="CC24" s="114">
        <f t="shared" si="36"/>
        <v>121.75857572043756</v>
      </c>
      <c r="CD24" s="114">
        <f t="shared" si="36"/>
        <v>121.75857572043756</v>
      </c>
      <c r="CE24" s="114">
        <f t="shared" si="36"/>
        <v>121.75857572043756</v>
      </c>
      <c r="CF24" s="114">
        <f t="shared" si="36"/>
        <v>121.75857572043756</v>
      </c>
      <c r="CG24" s="114">
        <f t="shared" si="36"/>
        <v>121.75857572043756</v>
      </c>
      <c r="CH24" s="114">
        <f t="shared" si="36"/>
        <v>121.75857572043756</v>
      </c>
      <c r="CI24" s="114">
        <f t="shared" si="36"/>
        <v>120.39215707427549</v>
      </c>
      <c r="CJ24" s="114">
        <f t="shared" si="36"/>
        <v>120.39215707427549</v>
      </c>
      <c r="CK24" s="114">
        <f t="shared" si="36"/>
        <v>120.39215707427549</v>
      </c>
      <c r="CL24" s="114">
        <f t="shared" si="36"/>
        <v>120.39215707427549</v>
      </c>
      <c r="CM24" s="114">
        <f t="shared" si="36"/>
        <v>120.39215707427549</v>
      </c>
      <c r="CN24" s="114">
        <f t="shared" si="36"/>
        <v>120.39215707427549</v>
      </c>
      <c r="CO24" s="114">
        <f t="shared" si="36"/>
        <v>120.39215707427549</v>
      </c>
      <c r="CP24" s="114">
        <f t="shared" si="36"/>
        <v>120.39215707427549</v>
      </c>
      <c r="CQ24" s="114">
        <f t="shared" si="36"/>
        <v>120.39215707427549</v>
      </c>
      <c r="CR24" s="114">
        <f t="shared" si="36"/>
        <v>120.39215707427549</v>
      </c>
      <c r="CS24" s="114">
        <f t="shared" si="36"/>
        <v>120.39215707427549</v>
      </c>
      <c r="CT24" s="114">
        <f t="shared" si="36"/>
        <v>120.39215707427549</v>
      </c>
      <c r="CU24" s="114">
        <f t="shared" si="36"/>
        <v>119.01741800599305</v>
      </c>
      <c r="CV24" s="114">
        <f t="shared" si="36"/>
        <v>119.01741800599305</v>
      </c>
      <c r="CW24" s="114">
        <f t="shared" si="36"/>
        <v>119.01741800599305</v>
      </c>
      <c r="CX24" s="114">
        <f t="shared" si="36"/>
        <v>119.01741800599305</v>
      </c>
      <c r="CY24" s="114">
        <f t="shared" si="36"/>
        <v>119.01741800599305</v>
      </c>
      <c r="CZ24" s="114">
        <f t="shared" si="36"/>
        <v>119.01741800599305</v>
      </c>
      <c r="DA24" s="114">
        <f t="shared" si="36"/>
        <v>119.01741800599305</v>
      </c>
      <c r="DB24" s="114">
        <f t="shared" si="36"/>
        <v>119.01741800599305</v>
      </c>
      <c r="DC24" s="114">
        <f t="shared" si="36"/>
        <v>119.01741800599305</v>
      </c>
      <c r="DD24" s="114">
        <f t="shared" si="36"/>
        <v>119.01741800599305</v>
      </c>
      <c r="DE24" s="114">
        <f t="shared" si="36"/>
        <v>119.01741800599305</v>
      </c>
      <c r="DF24" s="114">
        <f t="shared" si="36"/>
        <v>119.01741800599305</v>
      </c>
      <c r="DG24" s="114">
        <f t="shared" si="36"/>
        <v>117.63409706739381</v>
      </c>
      <c r="DH24" s="114">
        <f t="shared" si="36"/>
        <v>117.63409706739381</v>
      </c>
      <c r="DI24" s="114">
        <f t="shared" si="36"/>
        <v>117.63409706739381</v>
      </c>
      <c r="DJ24" s="114">
        <f t="shared" si="36"/>
        <v>117.63409706739381</v>
      </c>
      <c r="DK24" s="114">
        <f t="shared" si="36"/>
        <v>117.63409706739381</v>
      </c>
      <c r="DL24" s="114">
        <f t="shared" si="36"/>
        <v>117.63409706739381</v>
      </c>
      <c r="DM24" s="114">
        <f t="shared" si="36"/>
        <v>117.63409706739381</v>
      </c>
      <c r="DN24" s="114">
        <f t="shared" si="36"/>
        <v>117.63409706739381</v>
      </c>
      <c r="DO24" s="114">
        <f t="shared" si="36"/>
        <v>117.63409706739381</v>
      </c>
      <c r="DP24" s="114">
        <f t="shared" si="36"/>
        <v>117.63409706739381</v>
      </c>
      <c r="DQ24" s="114">
        <f t="shared" si="36"/>
        <v>117.63409706739381</v>
      </c>
      <c r="DR24" s="114">
        <f t="shared" si="36"/>
        <v>117.63409706739381</v>
      </c>
      <c r="DS24" s="114">
        <f t="shared" si="36"/>
        <v>-114.62751666173301</v>
      </c>
      <c r="DT24" s="114">
        <f t="shared" si="36"/>
        <v>-116.87210990649618</v>
      </c>
      <c r="DU24" s="114">
        <f t="shared" si="36"/>
        <v>-115.87847612050567</v>
      </c>
      <c r="DV24" s="114">
        <f t="shared" si="36"/>
        <v>-112.49927198849184</v>
      </c>
      <c r="DW24" s="114">
        <f t="shared" si="36"/>
        <v>-114.81350452423894</v>
      </c>
      <c r="DX24" s="114">
        <f t="shared" si="36"/>
        <v>-110.6827056053861</v>
      </c>
      <c r="DY24" s="114">
        <f t="shared" si="36"/>
        <v>-120.05343654095807</v>
      </c>
      <c r="DZ24" s="114">
        <f t="shared" si="36"/>
        <v>-110.60839538634838</v>
      </c>
      <c r="EA24" s="114">
        <f t="shared" ref="EA24:GL24" si="37">EA22+EA23</f>
        <v>-112.8156212066811</v>
      </c>
      <c r="EB24" s="114">
        <f t="shared" si="37"/>
        <v>-115.34259328378772</v>
      </c>
      <c r="EC24" s="114">
        <f t="shared" si="37"/>
        <v>-114.89503345026893</v>
      </c>
      <c r="ED24" s="114">
        <f t="shared" si="37"/>
        <v>-116.3897304274854</v>
      </c>
      <c r="EE24" s="114">
        <f t="shared" si="37"/>
        <v>-115.00140261720233</v>
      </c>
      <c r="EF24" s="114">
        <f t="shared" si="37"/>
        <v>-115.41334662431086</v>
      </c>
      <c r="EG24" s="114">
        <f t="shared" si="37"/>
        <v>-118.96578273894553</v>
      </c>
      <c r="EH24" s="114">
        <f t="shared" si="37"/>
        <v>-114.62706170407597</v>
      </c>
      <c r="EI24" s="114">
        <f t="shared" si="37"/>
        <v>-115.81177041785278</v>
      </c>
      <c r="EJ24" s="114">
        <f t="shared" si="37"/>
        <v>-103.90848989244817</v>
      </c>
      <c r="EK24" s="114">
        <f t="shared" si="37"/>
        <v>-111.63106687904335</v>
      </c>
      <c r="EL24" s="114">
        <f t="shared" si="37"/>
        <v>-108.72168592217201</v>
      </c>
      <c r="EM24" s="114">
        <f t="shared" si="37"/>
        <v>-119.15802327559621</v>
      </c>
      <c r="EN24" s="114">
        <f t="shared" si="37"/>
        <v>-110.61198078145785</v>
      </c>
      <c r="EO24" s="114">
        <f t="shared" si="37"/>
        <v>-113.82176398351299</v>
      </c>
      <c r="EP24" s="114">
        <f t="shared" si="37"/>
        <v>-112.69155863067667</v>
      </c>
      <c r="EQ24" s="114">
        <f t="shared" si="37"/>
        <v>-112.13523242626442</v>
      </c>
      <c r="ER24" s="114">
        <f t="shared" si="37"/>
        <v>-116.91427301646553</v>
      </c>
      <c r="ES24" s="114">
        <f t="shared" si="37"/>
        <v>-125.12372979386237</v>
      </c>
      <c r="ET24" s="114">
        <f t="shared" si="37"/>
        <v>-113.91434042923163</v>
      </c>
      <c r="EU24" s="114">
        <f t="shared" si="37"/>
        <v>-111.07836155682693</v>
      </c>
      <c r="EV24" s="114">
        <f t="shared" si="37"/>
        <v>-114.30236422099409</v>
      </c>
      <c r="EW24" s="114">
        <f t="shared" si="37"/>
        <v>-103.65209906334499</v>
      </c>
      <c r="EX24" s="114">
        <f t="shared" si="37"/>
        <v>-114.72528072642532</v>
      </c>
      <c r="EY24" s="114">
        <f t="shared" si="37"/>
        <v>-113.50992126598624</v>
      </c>
      <c r="EZ24" s="114">
        <f t="shared" si="37"/>
        <v>-119.78052026699254</v>
      </c>
      <c r="FA24" s="114">
        <f t="shared" si="37"/>
        <v>-115.80611406187631</v>
      </c>
      <c r="FB24" s="114">
        <f t="shared" si="37"/>
        <v>-119.25881113852321</v>
      </c>
      <c r="FC24" s="114">
        <f t="shared" si="37"/>
        <v>-106.9214986898964</v>
      </c>
      <c r="FD24" s="114">
        <f t="shared" si="37"/>
        <v>-114.55114786859467</v>
      </c>
      <c r="FE24" s="114">
        <f t="shared" si="37"/>
        <v>-112.91813523736452</v>
      </c>
      <c r="FF24" s="114">
        <f t="shared" si="37"/>
        <v>-112.74663544771175</v>
      </c>
      <c r="FG24" s="114">
        <f t="shared" si="37"/>
        <v>-123.78620239531068</v>
      </c>
      <c r="FH24" s="114">
        <f t="shared" si="37"/>
        <v>-122.12223614350906</v>
      </c>
      <c r="FI24" s="114">
        <f t="shared" si="37"/>
        <v>-119.30336521065558</v>
      </c>
      <c r="FJ24" s="114">
        <f t="shared" si="37"/>
        <v>-116.46985405185612</v>
      </c>
      <c r="FK24" s="114">
        <f t="shared" si="37"/>
        <v>-114.72013790522811</v>
      </c>
      <c r="FL24" s="114">
        <f t="shared" si="37"/>
        <v>-123.78662068748058</v>
      </c>
      <c r="FM24" s="114">
        <f t="shared" si="37"/>
        <v>-121.21203238183979</v>
      </c>
      <c r="FN24" s="114">
        <f t="shared" si="37"/>
        <v>-117.37712976833619</v>
      </c>
      <c r="FO24" s="114">
        <f t="shared" si="37"/>
        <v>-115.46038447196921</v>
      </c>
      <c r="FP24" s="114">
        <f t="shared" si="37"/>
        <v>-116.17749829363711</v>
      </c>
      <c r="FQ24" s="114">
        <f t="shared" si="37"/>
        <v>-120.70659440935978</v>
      </c>
      <c r="FR24" s="114">
        <f t="shared" si="37"/>
        <v>-121.09865547727108</v>
      </c>
      <c r="FS24" s="114">
        <f t="shared" si="37"/>
        <v>-119.71603672185566</v>
      </c>
      <c r="FT24" s="114">
        <f t="shared" si="37"/>
        <v>-123.39441858831006</v>
      </c>
      <c r="FU24" s="114">
        <f t="shared" si="37"/>
        <v>-109.81920006170409</v>
      </c>
      <c r="FV24" s="114">
        <f t="shared" si="37"/>
        <v>-123.54050503718148</v>
      </c>
      <c r="FW24" s="114">
        <f t="shared" si="37"/>
        <v>-130.16267451864294</v>
      </c>
      <c r="FX24" s="114">
        <f t="shared" si="37"/>
        <v>-124.28883391202703</v>
      </c>
      <c r="FY24" s="114">
        <f t="shared" si="37"/>
        <v>-126.99497092217487</v>
      </c>
      <c r="FZ24" s="114">
        <f t="shared" si="37"/>
        <v>-125.16535260525549</v>
      </c>
      <c r="GA24" s="114">
        <f t="shared" si="37"/>
        <v>-122.58741503300325</v>
      </c>
      <c r="GB24" s="114">
        <f t="shared" si="37"/>
        <v>-116.30190614307341</v>
      </c>
      <c r="GC24" s="114">
        <f t="shared" si="37"/>
        <v>-110.86658500851487</v>
      </c>
      <c r="GD24" s="114">
        <f t="shared" si="37"/>
        <v>-112.47751066287165</v>
      </c>
      <c r="GE24" s="114">
        <f t="shared" si="37"/>
        <v>-113.10407377727827</v>
      </c>
      <c r="GF24" s="114">
        <f t="shared" si="37"/>
        <v>-114.13523184394882</v>
      </c>
      <c r="GG24" s="114">
        <f t="shared" si="37"/>
        <v>-118.42551199282701</v>
      </c>
      <c r="GH24" s="114">
        <f t="shared" si="37"/>
        <v>-115.19744888853111</v>
      </c>
      <c r="GI24" s="114">
        <f t="shared" si="37"/>
        <v>-120.55615787757395</v>
      </c>
      <c r="GJ24" s="114">
        <f t="shared" si="37"/>
        <v>-116.52511666433261</v>
      </c>
      <c r="GK24" s="114">
        <f t="shared" si="37"/>
        <v>-121.26844377101705</v>
      </c>
      <c r="GL24" s="114">
        <f t="shared" si="37"/>
        <v>-118.50502297628111</v>
      </c>
      <c r="GM24" s="114">
        <f t="shared" ref="GM24:IX24" si="38">GM22+GM23</f>
        <v>-121.70135850741252</v>
      </c>
      <c r="GN24" s="114">
        <f t="shared" si="38"/>
        <v>-120.01937405279071</v>
      </c>
      <c r="GO24" s="114">
        <f t="shared" si="38"/>
        <v>-120.61890550342144</v>
      </c>
      <c r="GP24" s="114">
        <f t="shared" si="38"/>
        <v>-120.39598693655461</v>
      </c>
      <c r="GQ24" s="114">
        <f t="shared" si="38"/>
        <v>-121.39603011915315</v>
      </c>
      <c r="GR24" s="114">
        <f t="shared" si="38"/>
        <v>-117.9216320492435</v>
      </c>
      <c r="GS24" s="114">
        <f t="shared" si="38"/>
        <v>-122.3692901097991</v>
      </c>
      <c r="GT24" s="114">
        <f t="shared" si="38"/>
        <v>-120.2723722044658</v>
      </c>
      <c r="GU24" s="114">
        <f t="shared" si="38"/>
        <v>-117.98673580814358</v>
      </c>
      <c r="GV24" s="114">
        <f t="shared" si="38"/>
        <v>-122.76938979265989</v>
      </c>
      <c r="GW24" s="114">
        <f t="shared" si="38"/>
        <v>-122.42986132852261</v>
      </c>
      <c r="GX24" s="114">
        <f t="shared" si="38"/>
        <v>-117.12637727280543</v>
      </c>
      <c r="GY24" s="114">
        <f t="shared" si="38"/>
        <v>-124.58511667535524</v>
      </c>
      <c r="GZ24" s="114">
        <f t="shared" si="38"/>
        <v>-120.04162011301116</v>
      </c>
      <c r="HA24" s="114">
        <f t="shared" si="38"/>
        <v>-119.45451606344639</v>
      </c>
      <c r="HB24" s="114">
        <f t="shared" si="38"/>
        <v>-120.78369995219566</v>
      </c>
      <c r="HC24" s="114">
        <f t="shared" si="38"/>
        <v>-114.31079580797186</v>
      </c>
      <c r="HD24" s="114">
        <f t="shared" si="38"/>
        <v>-121.16293964901649</v>
      </c>
      <c r="HE24" s="114">
        <f t="shared" si="38"/>
        <v>-125.38992481033821</v>
      </c>
      <c r="HF24" s="114">
        <f t="shared" si="38"/>
        <v>-129.36394684415893</v>
      </c>
      <c r="HG24" s="114">
        <f t="shared" si="38"/>
        <v>-129.08884431814081</v>
      </c>
      <c r="HH24" s="114">
        <f t="shared" si="38"/>
        <v>-130.14456563631768</v>
      </c>
      <c r="HI24" s="114">
        <f t="shared" si="38"/>
        <v>-126.39808742058946</v>
      </c>
      <c r="HJ24" s="114">
        <f t="shared" si="38"/>
        <v>-121.16785951535363</v>
      </c>
      <c r="HK24" s="114">
        <f t="shared" si="38"/>
        <v>-126.07185226178595</v>
      </c>
      <c r="HL24" s="114">
        <f t="shared" si="38"/>
        <v>-123.65848562809948</v>
      </c>
      <c r="HM24" s="114">
        <f t="shared" si="38"/>
        <v>-129.87669854177136</v>
      </c>
      <c r="HN24" s="114">
        <f t="shared" si="38"/>
        <v>-130.92632537552311</v>
      </c>
      <c r="HO24" s="114">
        <f t="shared" si="38"/>
        <v>-129.54912359132339</v>
      </c>
      <c r="HP24" s="114">
        <f t="shared" si="38"/>
        <v>-124.39399949566823</v>
      </c>
      <c r="HQ24" s="114">
        <f t="shared" si="38"/>
        <v>-122.21071041123788</v>
      </c>
      <c r="HR24" s="114">
        <f t="shared" si="38"/>
        <v>-119.42856699647422</v>
      </c>
      <c r="HS24" s="114">
        <f t="shared" si="38"/>
        <v>-128.91559445303483</v>
      </c>
      <c r="HT24" s="114">
        <f t="shared" si="38"/>
        <v>-119.98989094643242</v>
      </c>
      <c r="HU24" s="114">
        <f t="shared" si="38"/>
        <v>-126.60829193779976</v>
      </c>
      <c r="HV24" s="114">
        <f t="shared" si="38"/>
        <v>-126.23339607296577</v>
      </c>
      <c r="HW24" s="114">
        <f t="shared" si="38"/>
        <v>-119.85506024886585</v>
      </c>
      <c r="HX24" s="114">
        <f t="shared" si="38"/>
        <v>-122.98819634761479</v>
      </c>
      <c r="HY24" s="114">
        <f t="shared" si="38"/>
        <v>-124.46079872697236</v>
      </c>
      <c r="HZ24" s="114">
        <f t="shared" si="38"/>
        <v>-129.72287624791824</v>
      </c>
      <c r="IA24" s="114">
        <f t="shared" si="38"/>
        <v>-128.67362675766486</v>
      </c>
      <c r="IB24" s="114">
        <f t="shared" si="38"/>
        <v>-134.03677318502196</v>
      </c>
      <c r="IC24" s="114">
        <f t="shared" si="38"/>
        <v>-129.62586633373235</v>
      </c>
      <c r="ID24" s="114">
        <f t="shared" si="38"/>
        <v>-127.33131802874105</v>
      </c>
      <c r="IE24" s="114">
        <f t="shared" si="38"/>
        <v>-124.63533539266247</v>
      </c>
      <c r="IF24" s="114">
        <f t="shared" si="38"/>
        <v>-130.28707616724211</v>
      </c>
      <c r="IG24" s="114">
        <f t="shared" si="38"/>
        <v>-130.14947633080271</v>
      </c>
      <c r="IH24" s="114">
        <f t="shared" si="38"/>
        <v>-138.87062702619323</v>
      </c>
      <c r="II24" s="114">
        <f t="shared" si="38"/>
        <v>-128.17369329416135</v>
      </c>
      <c r="IJ24" s="114">
        <f t="shared" si="38"/>
        <v>-129.63206687627297</v>
      </c>
      <c r="IK24" s="114">
        <f t="shared" si="38"/>
        <v>-137.09840650864552</v>
      </c>
      <c r="IL24" s="114">
        <f t="shared" si="38"/>
        <v>-133.83715846778392</v>
      </c>
      <c r="IM24" s="114">
        <f t="shared" si="38"/>
        <v>-129.95516265741097</v>
      </c>
      <c r="IN24" s="114">
        <f t="shared" si="38"/>
        <v>-132.60939449945957</v>
      </c>
      <c r="IO24" s="114">
        <f t="shared" si="38"/>
        <v>-125.1592096561439</v>
      </c>
      <c r="IP24" s="114">
        <f t="shared" si="38"/>
        <v>-131.51046497386398</v>
      </c>
      <c r="IQ24" s="114">
        <f t="shared" si="38"/>
        <v>-137.22602934219503</v>
      </c>
      <c r="IR24" s="114">
        <f t="shared" si="38"/>
        <v>-131.61587497246023</v>
      </c>
      <c r="IS24" s="114">
        <f t="shared" si="38"/>
        <v>-140.4921238197737</v>
      </c>
      <c r="IT24" s="114">
        <f t="shared" si="38"/>
        <v>-133.06697889949623</v>
      </c>
      <c r="IU24" s="114">
        <f t="shared" si="38"/>
        <v>-127.07484417126734</v>
      </c>
      <c r="IV24" s="114">
        <f t="shared" si="38"/>
        <v>-130.49177793361892</v>
      </c>
      <c r="IW24" s="114">
        <f t="shared" si="38"/>
        <v>-137.56072792932943</v>
      </c>
      <c r="IX24" s="114">
        <f t="shared" si="38"/>
        <v>-136.27319931888906</v>
      </c>
      <c r="IY24" s="114">
        <f t="shared" ref="IY24:KP24" si="39">IY22+IY23</f>
        <v>-137.18861447949553</v>
      </c>
      <c r="IZ24" s="114">
        <f t="shared" si="39"/>
        <v>-138.01562255698812</v>
      </c>
      <c r="JA24" s="114">
        <f t="shared" si="39"/>
        <v>-131.96656882010959</v>
      </c>
      <c r="JB24" s="114">
        <f t="shared" si="39"/>
        <v>-132.85907850918201</v>
      </c>
      <c r="JC24" s="114">
        <f t="shared" si="39"/>
        <v>-126.30730994968772</v>
      </c>
      <c r="JD24" s="114">
        <f t="shared" si="39"/>
        <v>-128.11965515352233</v>
      </c>
      <c r="JE24" s="114">
        <f t="shared" si="39"/>
        <v>-131.10701086201595</v>
      </c>
      <c r="JF24" s="114">
        <f t="shared" si="39"/>
        <v>-140.77713835316359</v>
      </c>
      <c r="JG24" s="114">
        <f t="shared" si="39"/>
        <v>-145.58484432186324</v>
      </c>
      <c r="JH24" s="114">
        <f t="shared" si="39"/>
        <v>-139.988268082621</v>
      </c>
      <c r="JI24" s="114">
        <f t="shared" si="39"/>
        <v>-142.47687925023146</v>
      </c>
      <c r="JJ24" s="114">
        <f t="shared" si="39"/>
        <v>-141.62321844643191</v>
      </c>
      <c r="JK24" s="114">
        <f t="shared" si="39"/>
        <v>-135.57362221154335</v>
      </c>
      <c r="JL24" s="114">
        <f t="shared" si="39"/>
        <v>-144.22098624141347</v>
      </c>
      <c r="JM24" s="114">
        <f t="shared" si="39"/>
        <v>-141.87511835574981</v>
      </c>
      <c r="JN24" s="114">
        <f t="shared" si="39"/>
        <v>-142.74997073922214</v>
      </c>
      <c r="JO24" s="114">
        <f t="shared" si="39"/>
        <v>-155.25260290503377</v>
      </c>
      <c r="JP24" s="114">
        <f t="shared" si="39"/>
        <v>-147.55885996043855</v>
      </c>
      <c r="JQ24" s="114">
        <f t="shared" si="39"/>
        <v>-145.4936805451577</v>
      </c>
      <c r="JR24" s="114">
        <f t="shared" si="39"/>
        <v>-142.34133310855088</v>
      </c>
      <c r="JS24" s="114">
        <f t="shared" si="39"/>
        <v>-138.83900456351358</v>
      </c>
      <c r="JT24" s="114">
        <f t="shared" si="39"/>
        <v>-138.73835055768481</v>
      </c>
      <c r="JU24" s="114">
        <f t="shared" si="39"/>
        <v>-140.74625872929715</v>
      </c>
      <c r="JV24" s="114">
        <f t="shared" si="39"/>
        <v>-140.72119468832005</v>
      </c>
      <c r="JW24" s="114">
        <f t="shared" si="39"/>
        <v>-146.65421124533515</v>
      </c>
      <c r="JX24" s="114">
        <f t="shared" si="39"/>
        <v>-147.08268699346803</v>
      </c>
      <c r="JY24" s="114">
        <f t="shared" si="39"/>
        <v>-146.65699613877706</v>
      </c>
      <c r="JZ24" s="114">
        <f t="shared" si="39"/>
        <v>-139.0446888362942</v>
      </c>
      <c r="KA24" s="114">
        <f t="shared" si="39"/>
        <v>-143.97991785726731</v>
      </c>
      <c r="KB24" s="114">
        <f t="shared" si="39"/>
        <v>-143.60713997797254</v>
      </c>
      <c r="KC24" s="114">
        <f t="shared" si="39"/>
        <v>-137.29617359669911</v>
      </c>
      <c r="KD24" s="114">
        <f t="shared" si="39"/>
        <v>-142.61492222881438</v>
      </c>
      <c r="KE24" s="114">
        <f t="shared" si="39"/>
        <v>-141.20784351736586</v>
      </c>
      <c r="KF24" s="114">
        <f t="shared" si="39"/>
        <v>-146.53087491775284</v>
      </c>
      <c r="KG24" s="114">
        <f t="shared" si="39"/>
        <v>-142.96978393256052</v>
      </c>
      <c r="KH24" s="114">
        <f t="shared" si="39"/>
        <v>-139.27608228929353</v>
      </c>
      <c r="KI24" s="114">
        <f t="shared" si="39"/>
        <v>-141.97421436522407</v>
      </c>
      <c r="KJ24" s="114">
        <f t="shared" si="39"/>
        <v>-140.2166283298468</v>
      </c>
      <c r="KK24" s="114">
        <f t="shared" si="39"/>
        <v>-144.54211089934398</v>
      </c>
      <c r="KL24" s="114">
        <f t="shared" si="39"/>
        <v>-55.491085106895262</v>
      </c>
      <c r="KM24" s="114">
        <f t="shared" si="39"/>
        <v>-55.491085106895262</v>
      </c>
      <c r="KN24" s="114">
        <f t="shared" si="39"/>
        <v>-55.491085106895262</v>
      </c>
      <c r="KO24" s="114">
        <f t="shared" si="39"/>
        <v>-55.491085106895262</v>
      </c>
      <c r="KP24" s="114">
        <f t="shared" si="39"/>
        <v>-55.491085106895262</v>
      </c>
    </row>
    <row r="25" spans="1:302" ht="16" customHeight="1" x14ac:dyDescent="0.2">
      <c r="A25" s="104" t="s">
        <v>447</v>
      </c>
      <c r="B25" s="105" t="s">
        <v>448</v>
      </c>
      <c r="C25" s="111">
        <f>1/(1+WACC!$E$34)^1</f>
        <v>0.99722652788012034</v>
      </c>
      <c r="D25" s="111">
        <f>1/(1+WACC!$E$34)^2</f>
        <v>0.99446074790784056</v>
      </c>
      <c r="E25" s="111">
        <f>1/(1+WACC!$E$34)^3</f>
        <v>0.99170263874920339</v>
      </c>
      <c r="F25" s="111">
        <f>1/(1+WACC!$E$34)^4</f>
        <v>0.98895217912942168</v>
      </c>
      <c r="G25" s="111">
        <f>1/(1+WACC!$E$34)^5</f>
        <v>0.98620934783271186</v>
      </c>
      <c r="H25" s="111">
        <f>1/(1+WACC!$E$34)^6</f>
        <v>0.98347412370213338</v>
      </c>
      <c r="I25" s="111">
        <f>1/(1+WACC!$E$34)^7</f>
        <v>0.98074648563942224</v>
      </c>
      <c r="J25" s="111">
        <f>1/(1+WACC!$E$34)^8</f>
        <v>0.9780264126048317</v>
      </c>
      <c r="K25" s="111">
        <f>1/(1+WACC!$E$34)^9</f>
        <v>0.97531388361696614</v>
      </c>
      <c r="L25" s="111">
        <f>1/(1+WACC!$E$34)^10</f>
        <v>0.97260887775262306</v>
      </c>
      <c r="M25" s="111">
        <f>1/(1+WACC!$E$34)^11</f>
        <v>0.96991137414662865</v>
      </c>
      <c r="N25" s="111">
        <f>1/(1+WACC!$E$34)^12</f>
        <v>0.96722135199167913</v>
      </c>
      <c r="O25" s="111">
        <f>1/(1+WACC!$E$34)^13</f>
        <v>0.96453879053817793</v>
      </c>
      <c r="P25" s="111">
        <f>1/(1+WACC!$E$34)^14</f>
        <v>0.96186366909407783</v>
      </c>
      <c r="Q25" s="111">
        <f>1/(1+WACC!$E$34)^15</f>
        <v>0.95919596702472021</v>
      </c>
      <c r="R25" s="111">
        <f>1/(1+WACC!$E$34)^16</f>
        <v>0.9565356637526764</v>
      </c>
      <c r="S25" s="111">
        <f>1/(1+WACC!$E$34)^17</f>
        <v>0.95388273875758767</v>
      </c>
      <c r="T25" s="111">
        <f>1/(1+WACC!$E$34)^18</f>
        <v>0.95123717157600929</v>
      </c>
      <c r="U25" s="111">
        <f>1/(1+WACC!$E$34)^19</f>
        <v>0.94859894180124993</v>
      </c>
      <c r="V25" s="111">
        <f>1/(1+WACC!$E$34)^20</f>
        <v>0.94596802908321709</v>
      </c>
      <c r="W25" s="111">
        <f>1/(1+WACC!$E$34)^21</f>
        <v>0.94334441312825712</v>
      </c>
      <c r="X25" s="111">
        <f>1/(1+WACC!$E$34)^22</f>
        <v>0.9407280736990018</v>
      </c>
      <c r="Y25" s="111">
        <f>1/(1+WACC!$E$34)^23</f>
        <v>0.93811899061420945</v>
      </c>
      <c r="Z25" s="111">
        <f>1/(1+WACC!$E$34)^24</f>
        <v>0.9355171437486115</v>
      </c>
      <c r="AA25" s="111">
        <f>1/(1+WACC!$E$34)^25</f>
        <v>0.9329225130327552</v>
      </c>
      <c r="AB25" s="111">
        <f>1/(1+WACC!$E$34)^26</f>
        <v>0.93033507845285091</v>
      </c>
      <c r="AC25" s="111">
        <f>1/(1+WACC!$E$34)^27</f>
        <v>0.92775482005061582</v>
      </c>
      <c r="AD25" s="111">
        <f>1/(1+WACC!$E$34)^28</f>
        <v>0.92518171792312176</v>
      </c>
      <c r="AE25" s="111">
        <f>1/(1+WACC!$E$34)^29</f>
        <v>0.9226157522226397</v>
      </c>
      <c r="AF25" s="111">
        <f>1/(1+WACC!$E$34)^30</f>
        <v>0.92005690315648847</v>
      </c>
      <c r="AG25" s="111">
        <f>1/(1+WACC!$E$34)^31</f>
        <v>0.91750515098688101</v>
      </c>
      <c r="AH25" s="111">
        <f>1/(1+WACC!$E$34)^32</f>
        <v>0.91496047603077324</v>
      </c>
      <c r="AI25" s="111">
        <f>1/(1+WACC!$E$34)^33</f>
        <v>0.91242285865971007</v>
      </c>
      <c r="AJ25" s="111">
        <f>1/(1+WACC!$E$34)^34</f>
        <v>0.90989227929967653</v>
      </c>
      <c r="AK25" s="111">
        <f>1/(1+WACC!$E$34)^35</f>
        <v>0.90736871843094502</v>
      </c>
      <c r="AL25" s="111">
        <f>1/(1+WACC!$E$34)^36</f>
        <v>0.90485215658792606</v>
      </c>
      <c r="AM25" s="111">
        <f>1/(1+WACC!$E$34)^37</f>
        <v>0.90234257435901644</v>
      </c>
      <c r="AN25" s="111">
        <f>1/(1+WACC!$E$34)^38</f>
        <v>0.89983995238645142</v>
      </c>
      <c r="AO25" s="111">
        <f>1/(1+WACC!$E$34)^39</f>
        <v>0.89734427136615369</v>
      </c>
      <c r="AP25" s="111">
        <f>1/(1+WACC!$E$34)^40</f>
        <v>0.89485551204758607</v>
      </c>
      <c r="AQ25" s="111">
        <f>1/(1+WACC!$E$34)^41</f>
        <v>0.89237365523360157</v>
      </c>
      <c r="AR25" s="111">
        <f>1/(1+WACC!$E$34)^42</f>
        <v>0.88989868178029607</v>
      </c>
      <c r="AS25" s="111">
        <f>1/(1+WACC!$E$34)^43</f>
        <v>0.88743057259686065</v>
      </c>
      <c r="AT25" s="111">
        <f>1/(1+WACC!$E$34)^44</f>
        <v>0.88496930864543477</v>
      </c>
      <c r="AU25" s="111">
        <f>1/(1+WACC!$E$34)^45</f>
        <v>0.88251487094095737</v>
      </c>
      <c r="AV25" s="111">
        <f>1/(1+WACC!$E$34)^46</f>
        <v>0.88006724055102359</v>
      </c>
      <c r="AW25" s="111">
        <f>1/(1+WACC!$E$34)^47</f>
        <v>0.87762639859573588</v>
      </c>
      <c r="AX25" s="111">
        <f>1/(1+WACC!$E$34)^48</f>
        <v>0.87519232624756038</v>
      </c>
      <c r="AY25" s="111">
        <f>1/(1+WACC!$E$34)^49</f>
        <v>0.87276500473118013</v>
      </c>
      <c r="AZ25" s="111">
        <f>1/(1+WACC!$E$34)^50</f>
        <v>0.87034441532335172</v>
      </c>
      <c r="BA25" s="111">
        <f>1/(1+WACC!$E$34)^51</f>
        <v>0.86793053935275943</v>
      </c>
      <c r="BB25" s="111">
        <f>1/(1+WACC!$E$34)^52</f>
        <v>0.86552335819987269</v>
      </c>
      <c r="BC25" s="111">
        <f>1/(1+WACC!$E$34)^53</f>
        <v>0.8631228532968005</v>
      </c>
      <c r="BD25" s="111">
        <f>1/(1+WACC!$E$34)^54</f>
        <v>0.86072900612715098</v>
      </c>
      <c r="BE25" s="111">
        <f>1/(1+WACC!$E$34)^55</f>
        <v>0.85834179822588541</v>
      </c>
      <c r="BF25" s="111">
        <f>1/(1+WACC!$E$34)^56</f>
        <v>0.855961211179179</v>
      </c>
      <c r="BG25" s="111">
        <f>1/(1+WACC!$E$34)^57</f>
        <v>0.853587226624275</v>
      </c>
      <c r="BH25" s="111">
        <f>1/(1+WACC!$E$34)^58</f>
        <v>0.85121982624934722</v>
      </c>
      <c r="BI25" s="111">
        <f>1/(1+WACC!$E$34)^59</f>
        <v>0.84885899179335578</v>
      </c>
      <c r="BJ25" s="111">
        <f>1/(1+WACC!$E$34)^60</f>
        <v>0.84650470504590802</v>
      </c>
      <c r="BK25" s="111">
        <f>1/(1+WACC!$E$34)^61</f>
        <v>0.84415694784711637</v>
      </c>
      <c r="BL25" s="111">
        <f>1/(1+WACC!$E$34)^62</f>
        <v>0.84181570208745959</v>
      </c>
      <c r="BM25" s="111">
        <f>1/(1+WACC!$E$34)^63</f>
        <v>0.83948094970764309</v>
      </c>
      <c r="BN25" s="111">
        <f>1/(1+WACC!$E$34)^64</f>
        <v>0.83715267269845905</v>
      </c>
      <c r="BO25" s="111">
        <f>1/(1+WACC!$E$34)^65</f>
        <v>0.8348308531006472</v>
      </c>
      <c r="BP25" s="111">
        <f>1/(1+WACC!$E$34)^66</f>
        <v>0.83251547300475714</v>
      </c>
      <c r="BQ25" s="111">
        <f>1/(1+WACC!$E$34)^67</f>
        <v>0.83020651455101002</v>
      </c>
      <c r="BR25" s="111">
        <f>1/(1+WACC!$E$34)^68</f>
        <v>0.82790395992916066</v>
      </c>
      <c r="BS25" s="111">
        <f>1/(1+WACC!$E$34)^69</f>
        <v>0.82560779137835894</v>
      </c>
      <c r="BT25" s="111">
        <f>1/(1+WACC!$E$34)^70</f>
        <v>0.82331799118701587</v>
      </c>
      <c r="BU25" s="111">
        <f>1/(1+WACC!$E$34)^71</f>
        <v>0.82103454169266321</v>
      </c>
      <c r="BV25" s="111">
        <f>1/(1+WACC!$E$34)^72</f>
        <v>0.81875742528182072</v>
      </c>
      <c r="BW25" s="111">
        <f>1/(1+WACC!$E$34)^73</f>
        <v>0.81648662438985709</v>
      </c>
      <c r="BX25" s="111">
        <f>1/(1+WACC!$E$34)^74</f>
        <v>0.81422212150085715</v>
      </c>
      <c r="BY25" s="111">
        <f>1/(1+WACC!$E$34)^75</f>
        <v>0.81196389914748524</v>
      </c>
      <c r="BZ25" s="111">
        <f>1/(1+WACC!$E$34)^76</f>
        <v>0.80971193991085122</v>
      </c>
      <c r="CA25" s="111">
        <f>1/(1+WACC!$E$34)^77</f>
        <v>0.8074662264203748</v>
      </c>
      <c r="CB25" s="111">
        <f>1/(1+WACC!$E$34)^78</f>
        <v>0.80522674135365346</v>
      </c>
      <c r="CC25" s="111">
        <f>1/(1+WACC!$E$34)^79</f>
        <v>0.80299346743632749</v>
      </c>
      <c r="CD25" s="111">
        <f>1/(1+WACC!$E$34)^80</f>
        <v>0.80076638744194761</v>
      </c>
      <c r="CE25" s="111">
        <f>1/(1+WACC!$E$34)^81</f>
        <v>0.79854548419184057</v>
      </c>
      <c r="CF25" s="111">
        <f>1/(1+WACC!$E$34)^82</f>
        <v>0.79633074055497888</v>
      </c>
      <c r="CG25" s="111">
        <f>1/(1+WACC!$E$34)^83</f>
        <v>0.79412213944784638</v>
      </c>
      <c r="CH25" s="111">
        <f>1/(1+WACC!$E$34)^84</f>
        <v>0.79191966383430878</v>
      </c>
      <c r="CI25" s="111">
        <f>1/(1+WACC!$E$34)^85</f>
        <v>0.78972329672547981</v>
      </c>
      <c r="CJ25" s="111">
        <f>1/(1+WACC!$E$34)^86</f>
        <v>0.78753302117959234</v>
      </c>
      <c r="CK25" s="111">
        <f>1/(1+WACC!$E$34)^87</f>
        <v>0.78534882030186615</v>
      </c>
      <c r="CL25" s="111">
        <f>1/(1+WACC!$E$34)^88</f>
        <v>0.78317067724437861</v>
      </c>
      <c r="CM25" s="111">
        <f>1/(1+WACC!$E$34)^89</f>
        <v>0.78099857520593396</v>
      </c>
      <c r="CN25" s="111">
        <f>1/(1+WACC!$E$34)^90</f>
        <v>0.77883249743193472</v>
      </c>
      <c r="CO25" s="111">
        <f>1/(1+WACC!$E$34)^91</f>
        <v>0.77667242721425089</v>
      </c>
      <c r="CP25" s="111">
        <f>1/(1+WACC!$E$34)^92</f>
        <v>0.77451834789109331</v>
      </c>
      <c r="CQ25" s="111">
        <f>1/(1+WACC!$E$34)^93</f>
        <v>0.77237024284688205</v>
      </c>
      <c r="CR25" s="111">
        <f>1/(1+WACC!$E$34)^94</f>
        <v>0.77022809551212157</v>
      </c>
      <c r="CS25" s="111">
        <f>1/(1+WACC!$E$34)^95</f>
        <v>0.76809188936327066</v>
      </c>
      <c r="CT25" s="111">
        <f>1/(1+WACC!$E$34)^96</f>
        <v>0.76596160792261614</v>
      </c>
      <c r="CU25" s="111">
        <f>1/(1+WACC!$E$34)^97</f>
        <v>0.76383723475814469</v>
      </c>
      <c r="CV25" s="111">
        <f>1/(1+WACC!$E$34)^98</f>
        <v>0.761718753483417</v>
      </c>
      <c r="CW25" s="111">
        <f>1/(1+WACC!$E$34)^99</f>
        <v>0.75960614775744117</v>
      </c>
      <c r="CX25" s="111">
        <f>1/(1+WACC!$E$34)^100</f>
        <v>0.75749940128454685</v>
      </c>
      <c r="CY25" s="111">
        <f>1/(1+WACC!$E$34)^101</f>
        <v>0.75539849781425861</v>
      </c>
      <c r="CZ25" s="111">
        <f>1/(1+WACC!$E$34)^102</f>
        <v>0.75330342114117199</v>
      </c>
      <c r="DA25" s="111">
        <f>1/(1+WACC!$E$34)^103</f>
        <v>0.75121415510482692</v>
      </c>
      <c r="DB25" s="111">
        <f>1/(1+WACC!$E$34)^104</f>
        <v>0.74913068358958479</v>
      </c>
      <c r="DC25" s="111">
        <f>1/(1+WACC!$E$34)^105</f>
        <v>0.7470529905245028</v>
      </c>
      <c r="DD25" s="111">
        <f>1/(1+WACC!$E$34)^106</f>
        <v>0.74498105988321039</v>
      </c>
      <c r="DE25" s="111">
        <f>1/(1+WACC!$E$34)^107</f>
        <v>0.74291487568378589</v>
      </c>
      <c r="DF25" s="111">
        <f>1/(1+WACC!$E$34)^108</f>
        <v>0.74085442198863316</v>
      </c>
      <c r="DG25" s="111">
        <f>1/(1+WACC!$E$34)^109</f>
        <v>0.73879968290435805</v>
      </c>
      <c r="DH25" s="111">
        <f>1/(1+WACC!$E$34)^110</f>
        <v>0.73675064258164702</v>
      </c>
      <c r="DI25" s="111">
        <f>1/(1+WACC!$E$34)^111</f>
        <v>0.7347072852151435</v>
      </c>
      <c r="DJ25" s="111">
        <f>1/(1+WACC!$E$34)^112</f>
        <v>0.73266959504332685</v>
      </c>
      <c r="DK25" s="111">
        <f>1/(1+WACC!$E$34)^113</f>
        <v>0.73063755634839067</v>
      </c>
      <c r="DL25" s="111">
        <f>1/(1+WACC!$E$34)^114</f>
        <v>0.7286111534561216</v>
      </c>
      <c r="DM25" s="111">
        <f>1/(1+WACC!$E$34)^115</f>
        <v>0.72659037073577759</v>
      </c>
      <c r="DN25" s="111">
        <f>1/(1+WACC!$E$34)^116</f>
        <v>0.72457519259996916</v>
      </c>
      <c r="DO25" s="111">
        <f>1/(1+WACC!$E$34)^117</f>
        <v>0.72256560350453647</v>
      </c>
      <c r="DP25" s="111">
        <f>1/(1+WACC!$E$34)^118</f>
        <v>0.72056158794843272</v>
      </c>
      <c r="DQ25" s="111">
        <f>1/(1+WACC!$E$34)^119</f>
        <v>0.71856313047360143</v>
      </c>
      <c r="DR25" s="111">
        <f>1/(1+WACC!$E$34)^120</f>
        <v>0.71657021566485979</v>
      </c>
      <c r="DS25" s="111">
        <f>(1/(1+WACC!$E$34)^120)*(1/(1+WACC!$E$35)^1)</f>
        <v>0.71397108772364792</v>
      </c>
      <c r="DT25" s="111">
        <f>(1/(1+WACC!$E$34)^120)*(1/(1+WACC!$E$35)^2)</f>
        <v>0.71138138728291977</v>
      </c>
      <c r="DU25" s="111">
        <f>(1/(1+WACC!$E$34)^120)*(1/(1+WACC!$E$35)^3)</f>
        <v>0.70880108014745002</v>
      </c>
      <c r="DV25" s="111">
        <f>(1/(1+WACC!$E$34)^120)*(1/(1+WACC!$E$35)^4)</f>
        <v>0.70623013224604581</v>
      </c>
      <c r="DW25" s="111">
        <f>(1/(1+WACC!$E$34)^120)*(1/(1+WACC!$E$35)^5)</f>
        <v>0.70366850963109628</v>
      </c>
      <c r="DX25" s="111">
        <f>(1/(1+WACC!$E$34)^120)*(1/(1+WACC!$E$35)^6)</f>
        <v>0.70111617847812446</v>
      </c>
      <c r="DY25" s="111">
        <f>(1/(1+WACC!$E$34)^120)*(1/(1+WACC!$E$35)^7)</f>
        <v>0.69857310508534132</v>
      </c>
      <c r="DZ25" s="111">
        <f>(1/(1+WACC!$E$34)^120)*(1/(1+WACC!$E$35)^8)</f>
        <v>0.69603925587319992</v>
      </c>
      <c r="EA25" s="111">
        <f>(1/(1+WACC!$E$34)^120)*(1/(1+WACC!$E$35)^9)</f>
        <v>0.69351459738395227</v>
      </c>
      <c r="EB25" s="111">
        <f>(1/(1+WACC!$E$34)^120)*(1/(1+WACC!$E$35)^10)</f>
        <v>0.69099909628120759</v>
      </c>
      <c r="EC25" s="111">
        <f>(1/(1+WACC!$E$34)^120)*(1/(1+WACC!$E$35)^11)</f>
        <v>0.68849271934949241</v>
      </c>
      <c r="ED25" s="111">
        <f>(1/(1+WACC!$E$34)^120)*(1/(1+WACC!$E$35)^12)</f>
        <v>0.68599543349381131</v>
      </c>
      <c r="EE25" s="111">
        <f>(1/(1+WACC!$E$34)^120)*(1/(1+WACC!$E$35)^13)</f>
        <v>0.68350720573921064</v>
      </c>
      <c r="EF25" s="111">
        <f>(1/(1+WACC!$E$34)^120)*(1/(1+WACC!$E$35)^14)</f>
        <v>0.68102800323034263</v>
      </c>
      <c r="EG25" s="111">
        <f>(1/(1+WACC!$E$34)^120)*(1/(1+WACC!$E$35)^15)</f>
        <v>0.67855779323103171</v>
      </c>
      <c r="EH25" s="111">
        <f>(1/(1+WACC!$E$34)^120)*(1/(1+WACC!$E$35)^16)</f>
        <v>0.67609654312384238</v>
      </c>
      <c r="EI25" s="111">
        <f>(1/(1+WACC!$E$34)^120)*(1/(1+WACC!$E$35)^17)</f>
        <v>0.67364422040964822</v>
      </c>
      <c r="EJ25" s="111">
        <f>(1/(1+WACC!$E$34)^120)*(1/(1+WACC!$E$35)^18)</f>
        <v>0.67120079270720312</v>
      </c>
      <c r="EK25" s="111">
        <f>(1/(1+WACC!$E$34)^120)*(1/(1+WACC!$E$35)^19)</f>
        <v>0.66876622775271333</v>
      </c>
      <c r="EL25" s="111">
        <f>(1/(1+WACC!$E$34)^120)*(1/(1+WACC!$E$35)^20)</f>
        <v>0.66634049339941182</v>
      </c>
      <c r="EM25" s="111">
        <f>(1/(1+WACC!$E$34)^120)*(1/(1+WACC!$E$35)^21)</f>
        <v>0.66392355761713362</v>
      </c>
      <c r="EN25" s="111">
        <f>(1/(1+WACC!$E$34)^120)*(1/(1+WACC!$E$35)^22)</f>
        <v>0.6615153884918924</v>
      </c>
      <c r="EO25" s="111">
        <f>(1/(1+WACC!$E$34)^120)*(1/(1+WACC!$E$35)^23)</f>
        <v>0.65911595422546032</v>
      </c>
      <c r="EP25" s="111">
        <f>(1/(1+WACC!$E$34)^120)*(1/(1+WACC!$E$35)^24)</f>
        <v>0.65672522313494708</v>
      </c>
      <c r="EQ25" s="111">
        <f>(1/(1+WACC!$E$34)^120)*(1/(1+WACC!$E$35)^25)</f>
        <v>0.65434316365238121</v>
      </c>
      <c r="ER25" s="111">
        <f>(1/(1+WACC!$E$34)^120)*(1/(1+WACC!$E$35)^26)</f>
        <v>0.65196974432429511</v>
      </c>
      <c r="ES25" s="111">
        <f>(1/(1+WACC!$E$34)^120)*(1/(1+WACC!$E$35)^27)</f>
        <v>0.64960493381130757</v>
      </c>
      <c r="ET25" s="111">
        <f>(1/(1+WACC!$E$34)^120)*(1/(1+WACC!$E$35)^28)</f>
        <v>0.64724870088771125</v>
      </c>
      <c r="EU25" s="111">
        <f>(1/(1+WACC!$E$34)^120)*(1/(1+WACC!$E$35)^29)</f>
        <v>0.64490101444106007</v>
      </c>
      <c r="EV25" s="111">
        <f>(1/(1+WACC!$E$34)^120)*(1/(1+WACC!$E$35)^30)</f>
        <v>0.64256184347175815</v>
      </c>
      <c r="EW25" s="111">
        <f>(1/(1+WACC!$E$34)^120)*(1/(1+WACC!$E$35)^31)</f>
        <v>0.64023115709265099</v>
      </c>
      <c r="EX25" s="111">
        <f>(1/(1+WACC!$E$34)^120)*(1/(1+WACC!$E$35)^32)</f>
        <v>0.63790892452861681</v>
      </c>
      <c r="EY25" s="111">
        <f>(1/(1+WACC!$E$34)^120)*(1/(1+WACC!$E$35)^33)</f>
        <v>0.63559511511616107</v>
      </c>
      <c r="EZ25" s="111">
        <f>(1/(1+WACC!$E$34)^120)*(1/(1+WACC!$E$35)^34)</f>
        <v>0.63328969830301118</v>
      </c>
      <c r="FA25" s="111">
        <f>(1/(1+WACC!$E$34)^120)*(1/(1+WACC!$E$35)^35)</f>
        <v>0.63099264364771313</v>
      </c>
      <c r="FB25" s="111">
        <f>(1/(1+WACC!$E$34)^120)*(1/(1+WACC!$E$35)^36)</f>
        <v>0.62870392081922899</v>
      </c>
      <c r="FC25" s="111">
        <f>(1/(1+WACC!$E$34)^120)*(1/(1+WACC!$E$35)^37)</f>
        <v>0.62642349959653776</v>
      </c>
      <c r="FD25" s="111">
        <f>(1/(1+WACC!$E$34)^120)*(1/(1+WACC!$E$35)^38)</f>
        <v>0.6241513498682344</v>
      </c>
      <c r="FE25" s="111">
        <f>(1/(1+WACC!$E$34)^120)*(1/(1+WACC!$E$35)^39)</f>
        <v>0.62188744163213439</v>
      </c>
      <c r="FF25" s="111">
        <f>(1/(1+WACC!$E$34)^120)*(1/(1+WACC!$E$35)^40)</f>
        <v>0.61963174499487605</v>
      </c>
      <c r="FG25" s="111">
        <f>(1/(1+WACC!$E$34)^120)*(1/(1+WACC!$E$35)^41)</f>
        <v>0.61738423017152577</v>
      </c>
      <c r="FH25" s="111">
        <f>(1/(1+WACC!$E$34)^120)*(1/(1+WACC!$E$35)^42)</f>
        <v>0.61514486748518593</v>
      </c>
      <c r="FI25" s="111">
        <f>(1/(1+WACC!$E$34)^120)*(1/(1+WACC!$E$35)^43)</f>
        <v>0.61291362736660193</v>
      </c>
      <c r="FJ25" s="111">
        <f>(1/(1+WACC!$E$34)^120)*(1/(1+WACC!$E$35)^44)</f>
        <v>0.61069048035377238</v>
      </c>
      <c r="FK25" s="111">
        <f>(1/(1+WACC!$E$34)^120)*(1/(1+WACC!$E$35)^45)</f>
        <v>0.6084753970915594</v>
      </c>
      <c r="FL25" s="111">
        <f>(1/(1+WACC!$E$34)^120)*(1/(1+WACC!$E$35)^46)</f>
        <v>0.60626834833130172</v>
      </c>
      <c r="FM25" s="111">
        <f>(1/(1+WACC!$E$34)^120)*(1/(1+WACC!$E$35)^47)</f>
        <v>0.60406930493042821</v>
      </c>
      <c r="FN25" s="111">
        <f>(1/(1+WACC!$E$34)^120)*(1/(1+WACC!$E$35)^48)</f>
        <v>0.60187823785207328</v>
      </c>
      <c r="FO25" s="111">
        <f>(1/(1+WACC!$E$34)^120)*(1/(1+WACC!$E$35)^49)</f>
        <v>0.59969511816469234</v>
      </c>
      <c r="FP25" s="111">
        <f>(1/(1+WACC!$E$34)^120)*(1/(1+WACC!$E$35)^50)</f>
        <v>0.59751991704168173</v>
      </c>
      <c r="FQ25" s="111">
        <f>(1/(1+WACC!$E$34)^120)*(1/(1+WACC!$E$35)^51)</f>
        <v>0.59535260576099636</v>
      </c>
      <c r="FR25" s="111">
        <f>(1/(1+WACC!$E$34)^120)*(1/(1+WACC!$E$35)^52)</f>
        <v>0.59319315570477127</v>
      </c>
      <c r="FS25" s="111">
        <f>(1/(1+WACC!$E$34)^120)*(1/(1+WACC!$E$35)^53)</f>
        <v>0.5910415383589438</v>
      </c>
      <c r="FT25" s="111">
        <f>(1/(1+WACC!$E$34)^120)*(1/(1+WACC!$E$35)^54)</f>
        <v>0.58889772531287643</v>
      </c>
      <c r="FU25" s="111">
        <f>(1/(1+WACC!$E$34)^120)*(1/(1+WACC!$E$35)^55)</f>
        <v>0.58676168825898267</v>
      </c>
      <c r="FV25" s="111">
        <f>(1/(1+WACC!$E$34)^120)*(1/(1+WACC!$E$35)^56)</f>
        <v>0.58463339899235234</v>
      </c>
      <c r="FW25" s="111">
        <f>(1/(1+WACC!$E$34)^120)*(1/(1+WACC!$E$35)^57)</f>
        <v>0.5825128294103793</v>
      </c>
      <c r="FX25" s="111">
        <f>(1/(1+WACC!$E$34)^120)*(1/(1+WACC!$E$35)^58)</f>
        <v>0.58039995151239121</v>
      </c>
      <c r="FY25" s="111">
        <f>(1/(1+WACC!$E$34)^120)*(1/(1+WACC!$E$35)^59)</f>
        <v>0.57829473739927861</v>
      </c>
      <c r="FZ25" s="111">
        <f>(1/(1+WACC!$E$34)^120)*(1/(1+WACC!$E$35)^60)</f>
        <v>0.5761971592731272</v>
      </c>
      <c r="GA25" s="111">
        <f>(1/(1+WACC!$E$34)^120)*(1/(1+WACC!$E$35)^61)</f>
        <v>0.57410718943685068</v>
      </c>
      <c r="GB25" s="111">
        <f>(1/(1+WACC!$E$34)^120)*(1/(1+WACC!$E$35)^62)</f>
        <v>0.57202480029382508</v>
      </c>
      <c r="GC25" s="111">
        <f>(1/(1+WACC!$E$34)^120)*(1/(1+WACC!$E$35)^63)</f>
        <v>0.56994996434752476</v>
      </c>
      <c r="GD25" s="111">
        <f>(1/(1+WACC!$E$34)^120)*(1/(1+WACC!$E$35)^64)</f>
        <v>0.56788265420115758</v>
      </c>
      <c r="GE25" s="111">
        <f>(1/(1+WACC!$E$34)^120)*(1/(1+WACC!$E$35)^65)</f>
        <v>0.56582284255730597</v>
      </c>
      <c r="GF25" s="111">
        <f>(1/(1+WACC!$E$34)^120)*(1/(1+WACC!$E$35)^66)</f>
        <v>0.56377050221756397</v>
      </c>
      <c r="GG25" s="111">
        <f>(1/(1+WACC!$E$34)^120)*(1/(1+WACC!$E$35)^67)</f>
        <v>0.56172560608217947</v>
      </c>
      <c r="GH25" s="111">
        <f>(1/(1+WACC!$E$34)^120)*(1/(1+WACC!$E$35)^68)</f>
        <v>0.55968812714969596</v>
      </c>
      <c r="GI25" s="111">
        <f>(1/(1+WACC!$E$34)^120)*(1/(1+WACC!$E$35)^69)</f>
        <v>0.5576580385165959</v>
      </c>
      <c r="GJ25" s="111">
        <f>(1/(1+WACC!$E$34)^120)*(1/(1+WACC!$E$35)^70)</f>
        <v>0.55563531337694549</v>
      </c>
      <c r="GK25" s="111">
        <f>(1/(1+WACC!$E$34)^120)*(1/(1+WACC!$E$35)^71)</f>
        <v>0.5536199250220416</v>
      </c>
      <c r="GL25" s="111">
        <f>(1/(1+WACC!$E$34)^120)*(1/(1+WACC!$E$35)^72)</f>
        <v>0.55161184684005737</v>
      </c>
      <c r="GM25" s="111">
        <f>(1/(1+WACC!$E$34)^120)*(1/(1+WACC!$E$35)^73)</f>
        <v>0.54961105231569207</v>
      </c>
      <c r="GN25" s="111">
        <f>(1/(1+WACC!$E$34)^120)*(1/(1+WACC!$E$35)^74)</f>
        <v>0.54761751502982092</v>
      </c>
      <c r="GO25" s="111">
        <f>(1/(1+WACC!$E$34)^120)*(1/(1+WACC!$E$35)^75)</f>
        <v>0.54563120865914616</v>
      </c>
      <c r="GP25" s="111">
        <f>(1/(1+WACC!$E$34)^120)*(1/(1+WACC!$E$35)^76)</f>
        <v>0.54365210697584876</v>
      </c>
      <c r="GQ25" s="111">
        <f>(1/(1+WACC!$E$34)^120)*(1/(1+WACC!$E$35)^77)</f>
        <v>0.54168018384724281</v>
      </c>
      <c r="GR25" s="111">
        <f>(1/(1+WACC!$E$34)^120)*(1/(1+WACC!$E$35)^78)</f>
        <v>0.53971541323543071</v>
      </c>
      <c r="GS25" s="111">
        <f>(1/(1+WACC!$E$34)^120)*(1/(1+WACC!$E$35)^79)</f>
        <v>0.53775776919695872</v>
      </c>
      <c r="GT25" s="111">
        <f>(1/(1+WACC!$E$34)^120)*(1/(1+WACC!$E$35)^80)</f>
        <v>0.53580722588247465</v>
      </c>
      <c r="GU25" s="111">
        <f>(1/(1+WACC!$E$34)^120)*(1/(1+WACC!$E$35)^81)</f>
        <v>0.53386375753638626</v>
      </c>
      <c r="GV25" s="111">
        <f>(1/(1+WACC!$E$34)^120)*(1/(1+WACC!$E$35)^82)</f>
        <v>0.53192733849652185</v>
      </c>
      <c r="GW25" s="111">
        <f>(1/(1+WACC!$E$34)^120)*(1/(1+WACC!$E$35)^83)</f>
        <v>0.52999794319379079</v>
      </c>
      <c r="GX25" s="111">
        <f>(1/(1+WACC!$E$34)^120)*(1/(1+WACC!$E$35)^84)</f>
        <v>0.52807554615184604</v>
      </c>
      <c r="GY25" s="111">
        <f>(1/(1+WACC!$E$34)^120)*(1/(1+WACC!$E$35)^85)</f>
        <v>0.52616012198674811</v>
      </c>
      <c r="GZ25" s="111">
        <f>(1/(1+WACC!$E$34)^120)*(1/(1+WACC!$E$35)^86)</f>
        <v>0.52425164540662905</v>
      </c>
      <c r="HA25" s="111">
        <f>(1/(1+WACC!$E$34)^120)*(1/(1+WACC!$E$35)^87)</f>
        <v>0.52235009121135967</v>
      </c>
      <c r="HB25" s="111">
        <f>(1/(1+WACC!$E$34)^120)*(1/(1+WACC!$E$35)^88)</f>
        <v>0.52045543429221564</v>
      </c>
      <c r="HC25" s="111">
        <f>(1/(1+WACC!$E$34)^120)*(1/(1+WACC!$E$35)^89)</f>
        <v>0.51856764963154645</v>
      </c>
      <c r="HD25" s="111">
        <f>(1/(1+WACC!$E$34)^120)*(1/(1+WACC!$E$35)^90)</f>
        <v>0.51668671230244567</v>
      </c>
      <c r="HE25" s="111">
        <f>(1/(1+WACC!$E$34)^120)*(1/(1+WACC!$E$35)^91)</f>
        <v>0.51481259746842045</v>
      </c>
      <c r="HF25" s="111">
        <f>(1/(1+WACC!$E$34)^120)*(1/(1+WACC!$E$35)^92)</f>
        <v>0.51294528038306475</v>
      </c>
      <c r="HG25" s="111">
        <f>(1/(1+WACC!$E$34)^120)*(1/(1+WACC!$E$35)^93)</f>
        <v>0.51108473638973206</v>
      </c>
      <c r="HH25" s="111">
        <f>(1/(1+WACC!$E$34)^120)*(1/(1+WACC!$E$35)^94)</f>
        <v>0.5092309409212098</v>
      </c>
      <c r="HI25" s="111">
        <f>(1/(1+WACC!$E$34)^120)*(1/(1+WACC!$E$35)^95)</f>
        <v>0.50738386949939562</v>
      </c>
      <c r="HJ25" s="111">
        <f>(1/(1+WACC!$E$34)^120)*(1/(1+WACC!$E$35)^96)</f>
        <v>0.50554349773497254</v>
      </c>
      <c r="HK25" s="111">
        <f>(1/(1+WACC!$E$34)^120)*(1/(1+WACC!$E$35)^97)</f>
        <v>0.50370980132708909</v>
      </c>
      <c r="HL25" s="111">
        <f>(1/(1+WACC!$E$34)^120)*(1/(1+WACC!$E$35)^98)</f>
        <v>0.50188275606303667</v>
      </c>
      <c r="HM25" s="111">
        <f>(1/(1+WACC!$E$34)^120)*(1/(1+WACC!$E$35)^99)</f>
        <v>0.50006233781793075</v>
      </c>
      <c r="HN25" s="111">
        <f>(1/(1+WACC!$E$34)^120)*(1/(1+WACC!$E$35)^100)</f>
        <v>0.49824852255439167</v>
      </c>
      <c r="HO25" s="111">
        <f>(1/(1+WACC!$E$34)^120)*(1/(1+WACC!$E$35)^101)</f>
        <v>0.49644128632222845</v>
      </c>
      <c r="HP25" s="111">
        <f>(1/(1+WACC!$E$34)^120)*(1/(1+WACC!$E$35)^102)</f>
        <v>0.49464060525812065</v>
      </c>
      <c r="HQ25" s="111">
        <f>(1/(1+WACC!$E$34)^120)*(1/(1+WACC!$E$35)^103)</f>
        <v>0.49284645558530538</v>
      </c>
      <c r="HR25" s="111">
        <f>(1/(1+WACC!$E$34)^120)*(1/(1+WACC!$E$35)^104)</f>
        <v>0.49105881361326165</v>
      </c>
      <c r="HS25" s="111">
        <f>(1/(1+WACC!$E$34)^120)*(1/(1+WACC!$E$35)^105)</f>
        <v>0.48927765573739823</v>
      </c>
      <c r="HT25" s="111">
        <f>(1/(1+WACC!$E$34)^120)*(1/(1+WACC!$E$35)^106)</f>
        <v>0.48750295843874225</v>
      </c>
      <c r="HU25" s="111">
        <f>(1/(1+WACC!$E$34)^120)*(1/(1+WACC!$E$35)^107)</f>
        <v>0.48573469828362842</v>
      </c>
      <c r="HV25" s="111">
        <f>(1/(1+WACC!$E$34)^120)*(1/(1+WACC!$E$35)^108)</f>
        <v>0.48397285192338907</v>
      </c>
      <c r="HW25" s="111">
        <f>(1/(1+WACC!$E$34)^120)*(1/(1+WACC!$E$35)^109)</f>
        <v>0.48221739609404668</v>
      </c>
      <c r="HX25" s="111">
        <f>(1/(1+WACC!$E$34)^120)*(1/(1+WACC!$E$35)^110)</f>
        <v>0.48046830761600601</v>
      </c>
      <c r="HY25" s="111">
        <f>(1/(1+WACC!$E$34)^120)*(1/(1+WACC!$E$35)^111)</f>
        <v>0.47872556339374872</v>
      </c>
      <c r="HZ25" s="111">
        <f>(1/(1+WACC!$E$34)^120)*(1/(1+WACC!$E$35)^112)</f>
        <v>0.47698914041552809</v>
      </c>
      <c r="IA25" s="111">
        <f>(1/(1+WACC!$E$34)^120)*(1/(1+WACC!$E$35)^113)</f>
        <v>0.4752590157530644</v>
      </c>
      <c r="IB25" s="111">
        <f>(1/(1+WACC!$E$34)^120)*(1/(1+WACC!$E$35)^114)</f>
        <v>0.47353516656124373</v>
      </c>
      <c r="IC25" s="111">
        <f>(1/(1+WACC!$E$34)^120)*(1/(1+WACC!$E$35)^115)</f>
        <v>0.471817570077815</v>
      </c>
      <c r="ID25" s="111">
        <f>(1/(1+WACC!$E$34)^120)*(1/(1+WACC!$E$35)^116)</f>
        <v>0.47010620362308997</v>
      </c>
      <c r="IE25" s="111">
        <f>(1/(1+WACC!$E$34)^120)*(1/(1+WACC!$E$35)^117)</f>
        <v>0.46840104459964366</v>
      </c>
      <c r="IF25" s="111">
        <f>(1/(1+WACC!$E$34)^120)*(1/(1+WACC!$E$35)^118)</f>
        <v>0.46670207049201606</v>
      </c>
      <c r="IG25" s="111">
        <f>(1/(1+WACC!$E$34)^120)*(1/(1+WACC!$E$35)^119)</f>
        <v>0.46500925886641453</v>
      </c>
      <c r="IH25" s="111">
        <f>(1/(1+WACC!$E$34)^120)*(1/(1+WACC!$E$35)^120)</f>
        <v>0.46332258737041826</v>
      </c>
      <c r="II25" s="111">
        <f>(1/(1+WACC!$E$34)^120)*(1/(1+WACC!$E$35)^121)</f>
        <v>0.46164203373268192</v>
      </c>
      <c r="IJ25" s="111">
        <f>(1/(1+WACC!$E$34)^120)*(1/(1+WACC!$E$35)^122)</f>
        <v>0.45996757576264308</v>
      </c>
      <c r="IK25" s="111">
        <f>(1/(1+WACC!$E$34)^120)*(1/(1+WACC!$E$35)^123)</f>
        <v>0.45829919135022806</v>
      </c>
      <c r="IL25" s="111">
        <f>(1/(1+WACC!$E$34)^120)*(1/(1+WACC!$E$35)^124)</f>
        <v>0.45663685846556035</v>
      </c>
      <c r="IM25" s="111">
        <f>(1/(1+WACC!$E$34)^120)*(1/(1+WACC!$E$35)^125)</f>
        <v>0.45498055515866975</v>
      </c>
      <c r="IN25" s="111">
        <f>(1/(1+WACC!$E$34)^120)*(1/(1+WACC!$E$35)^126)</f>
        <v>0.45333025955920242</v>
      </c>
      <c r="IO25" s="111">
        <f>(1/(1+WACC!$E$34)^120)*(1/(1+WACC!$E$35)^127)</f>
        <v>0.45168594987613275</v>
      </c>
      <c r="IP25" s="111">
        <f>(1/(1+WACC!$E$34)^120)*(1/(1+WACC!$E$35)^128)</f>
        <v>0.45004760439747421</v>
      </c>
      <c r="IQ25" s="111">
        <f>(1/(1+WACC!$E$34)^120)*(1/(1+WACC!$E$35)^129)</f>
        <v>0.44841520148999414</v>
      </c>
      <c r="IR25" s="111">
        <f>(1/(1+WACC!$E$34)^120)*(1/(1+WACC!$E$35)^130)</f>
        <v>0.44678871959892724</v>
      </c>
      <c r="IS25" s="111">
        <f>(1/(1+WACC!$E$34)^120)*(1/(1+WACC!$E$35)^131)</f>
        <v>0.44516813724769122</v>
      </c>
      <c r="IT25" s="111">
        <f>(1/(1+WACC!$E$34)^120)*(1/(1+WACC!$E$35)^132)</f>
        <v>0.44355343303760331</v>
      </c>
      <c r="IU25" s="111">
        <f>(1/(1+WACC!$E$34)^120)*(1/(1+WACC!$E$35)^133)</f>
        <v>0.44194458564759725</v>
      </c>
      <c r="IV25" s="111">
        <f>(1/(1+WACC!$E$34)^120)*(1/(1+WACC!$E$35)^134)</f>
        <v>0.44034157383394235</v>
      </c>
      <c r="IW25" s="111">
        <f>(1/(1+WACC!$E$34)^120)*(1/(1+WACC!$E$35)^135)</f>
        <v>0.43874437642996283</v>
      </c>
      <c r="IX25" s="111">
        <f>(1/(1+WACC!$E$34)^120)*(1/(1+WACC!$E$35)^136)</f>
        <v>0.4371529723457579</v>
      </c>
      <c r="IY25" s="111">
        <f>(1/(1+WACC!$E$34)^120)*(1/(1+WACC!$E$35)^137)</f>
        <v>0.43556734056792368</v>
      </c>
      <c r="IZ25" s="111">
        <f>(1/(1+WACC!$E$34)^120)*(1/(1+WACC!$E$35)^138)</f>
        <v>0.43398746015927586</v>
      </c>
      <c r="JA25" s="111">
        <f>(1/(1+WACC!$E$34)^120)*(1/(1+WACC!$E$35)^139)</f>
        <v>0.43241331025857299</v>
      </c>
      <c r="JB25" s="111">
        <f>(1/(1+WACC!$E$34)^120)*(1/(1+WACC!$E$35)^140)</f>
        <v>0.4308448700802408</v>
      </c>
      <c r="JC25" s="111">
        <f>(1/(1+WACC!$E$34)^120)*(1/(1+WACC!$E$35)^141)</f>
        <v>0.42928211891409818</v>
      </c>
      <c r="JD25" s="111">
        <f>(1/(1+WACC!$E$34)^120)*(1/(1+WACC!$E$35)^142)</f>
        <v>0.42772503612508345</v>
      </c>
      <c r="JE25" s="111">
        <f>(1/(1+WACC!$E$34)^120)*(1/(1+WACC!$E$35)^143)</f>
        <v>0.42617360115298231</v>
      </c>
      <c r="JF25" s="111">
        <f>(1/(1+WACC!$E$34)^120)*(1/(1+WACC!$E$35)^144)</f>
        <v>0.42462779351215563</v>
      </c>
      <c r="JG25" s="111">
        <f>(1/(1+WACC!$E$34)^120)*(1/(1+WACC!$E$35)^145)</f>
        <v>0.42308759279126945</v>
      </c>
      <c r="JH25" s="111">
        <f>(1/(1+WACC!$E$34)^120)*(1/(1+WACC!$E$35)^146)</f>
        <v>0.42155297865302538</v>
      </c>
      <c r="JI25" s="111">
        <f>(1/(1+WACC!$E$34)^120)*(1/(1+WACC!$E$35)^147)</f>
        <v>0.42002393083389222</v>
      </c>
      <c r="JJ25" s="111">
        <f>(1/(1+WACC!$E$34)^120)*(1/(1+WACC!$E$35)^148)</f>
        <v>0.41850042914383784</v>
      </c>
      <c r="JK25" s="111">
        <f>(1/(1+WACC!$E$34)^120)*(1/(1+WACC!$E$35)^149)</f>
        <v>0.41698245346606339</v>
      </c>
      <c r="JL25" s="111">
        <f>(1/(1+WACC!$E$34)^120)*(1/(1+WACC!$E$35)^150)</f>
        <v>0.41546998375673683</v>
      </c>
      <c r="JM25" s="111">
        <f>(1/(1+WACC!$E$34)^120)*(1/(1+WACC!$E$35)^151)</f>
        <v>0.41396300004472886</v>
      </c>
      <c r="JN25" s="111">
        <f>(1/(1+WACC!$E$34)^120)*(1/(1+WACC!$E$35)^152)</f>
        <v>0.41246148243134911</v>
      </c>
      <c r="JO25" s="111">
        <f>(1/(1+WACC!$E$34)^120)*(1/(1+WACC!$E$35)^153)</f>
        <v>0.41096541109008305</v>
      </c>
      <c r="JP25" s="111">
        <f>(1/(1+WACC!$E$34)^120)*(1/(1+WACC!$E$35)^154)</f>
        <v>0.40947476626633089</v>
      </c>
      <c r="JQ25" s="111">
        <f>(1/(1+WACC!$E$34)^120)*(1/(1+WACC!$E$35)^155)</f>
        <v>0.4079895282771458</v>
      </c>
      <c r="JR25" s="111">
        <f>(1/(1+WACC!$E$34)^120)*(1/(1+WACC!$E$35)^156)</f>
        <v>0.40650967751097472</v>
      </c>
      <c r="JS25" s="111">
        <f>(1/(1+WACC!$E$34)^120)*(1/(1+WACC!$E$35)^157)</f>
        <v>0.40503519442739938</v>
      </c>
      <c r="JT25" s="111">
        <f>(1/(1+WACC!$E$34)^120)*(1/(1+WACC!$E$35)^158)</f>
        <v>0.4035660595568778</v>
      </c>
      <c r="JU25" s="111">
        <f>(1/(1+WACC!$E$34)^120)*(1/(1+WACC!$E$35)^159)</f>
        <v>0.40210225350048762</v>
      </c>
      <c r="JV25" s="111">
        <f>(1/(1+WACC!$E$34)^120)*(1/(1+WACC!$E$35)^160)</f>
        <v>0.40064375692966986</v>
      </c>
      <c r="JW25" s="111">
        <f>(1/(1+WACC!$E$34)^120)*(1/(1+WACC!$E$35)^161)</f>
        <v>0.39919055058597347</v>
      </c>
      <c r="JX25" s="111">
        <f>(1/(1+WACC!$E$34)^120)*(1/(1+WACC!$E$35)^162)</f>
        <v>0.39774261528080168</v>
      </c>
      <c r="JY25" s="111">
        <f>(1/(1+WACC!$E$34)^120)*(1/(1+WACC!$E$35)^163)</f>
        <v>0.39629993189515772</v>
      </c>
      <c r="JZ25" s="111">
        <f>(1/(1+WACC!$E$34)^120)*(1/(1+WACC!$E$35)^164)</f>
        <v>0.394862481379393</v>
      </c>
      <c r="KA25" s="111">
        <f>(1/(1+WACC!$E$34)^120)*(1/(1+WACC!$E$35)^165)</f>
        <v>0.39343024475295563</v>
      </c>
      <c r="KB25" s="111">
        <f>(1/(1+WACC!$E$34)^120)*(1/(1+WACC!$E$35)^166)</f>
        <v>0.39200320310413894</v>
      </c>
      <c r="KC25" s="111">
        <f>(1/(1+WACC!$E$34)^120)*(1/(1+WACC!$E$35)^167)</f>
        <v>0.3905813375898331</v>
      </c>
      <c r="KD25" s="111">
        <f>(1/(1+WACC!$E$34)^120)*(1/(1+WACC!$E$35)^168)</f>
        <v>0.38916462943527547</v>
      </c>
      <c r="KE25" s="111">
        <f>(1/(1+WACC!$E$34)^120)*(1/(1+WACC!$E$35)^169)</f>
        <v>0.38775305993380227</v>
      </c>
      <c r="KF25" s="111">
        <f>(1/(1+WACC!$E$34)^120)*(1/(1+WACC!$E$35)^170)</f>
        <v>0.38634661044660268</v>
      </c>
      <c r="KG25" s="111">
        <f>(1/(1+WACC!$E$34)^120)*(1/(1+WACC!$E$35)^171)</f>
        <v>0.38494526240247201</v>
      </c>
      <c r="KH25" s="111">
        <f>(1/(1+WACC!$E$34)^120)*(1/(1+WACC!$E$35)^172)</f>
        <v>0.38354899729756653</v>
      </c>
      <c r="KI25" s="111">
        <f>(1/(1+WACC!$E$34)^120)*(1/(1+WACC!$E$35)^173)</f>
        <v>0.38215779669515959</v>
      </c>
      <c r="KJ25" s="111">
        <f>(1/(1+WACC!$E$34)^120)*(1/(1+WACC!$E$35)^174)</f>
        <v>0.38077164222539728</v>
      </c>
      <c r="KK25" s="111">
        <f>(1/(1+WACC!$E$34)^120)*(1/(1+WACC!$E$35)^175)</f>
        <v>0.37939051558505693</v>
      </c>
      <c r="KL25" s="111">
        <f>(1/(1+WACC!$E$34)^120)*(1/(1+WACC!$E$35)^176)</f>
        <v>0.37801439853730484</v>
      </c>
      <c r="KM25" s="111">
        <f>(1/(1+WACC!$E$34)^120)*(1/(1+WACC!$E$35)^177)</f>
        <v>0.37664327291145511</v>
      </c>
      <c r="KN25" s="111">
        <f>(1/(1+WACC!$E$34)^120)*(1/(1+WACC!$E$35)^178)</f>
        <v>0.37527712060273072</v>
      </c>
      <c r="KO25" s="111">
        <f>(1/(1+WACC!$E$34)^120)*(1/(1+WACC!$E$35)^179)</f>
        <v>0.3739159235720238</v>
      </c>
      <c r="KP25" s="111">
        <f>(1/(1+WACC!$E$34)^120)*(1/(1+WACC!$E$35)^180)</f>
        <v>0.37255966384565709</v>
      </c>
    </row>
    <row r="26" spans="1:302" ht="16" customHeight="1" x14ac:dyDescent="0.2">
      <c r="A26" s="112" t="s">
        <v>449</v>
      </c>
      <c r="B26" s="113" t="s">
        <v>215</v>
      </c>
      <c r="C26" s="114">
        <f t="shared" ref="C26:BN26" si="40">C24*C25</f>
        <v>129.43643778525046</v>
      </c>
      <c r="D26" s="114">
        <f t="shared" si="40"/>
        <v>129.07744943375656</v>
      </c>
      <c r="E26" s="114">
        <f t="shared" si="40"/>
        <v>128.71945672644685</v>
      </c>
      <c r="F26" s="114">
        <f t="shared" si="40"/>
        <v>128.36245690193002</v>
      </c>
      <c r="G26" s="114">
        <f t="shared" si="40"/>
        <v>128.00644720647324</v>
      </c>
      <c r="H26" s="114">
        <f t="shared" si="40"/>
        <v>127.65142489398127</v>
      </c>
      <c r="I26" s="114">
        <f t="shared" si="40"/>
        <v>127.29738722597489</v>
      </c>
      <c r="J26" s="114">
        <f t="shared" si="40"/>
        <v>126.94433147157017</v>
      </c>
      <c r="K26" s="114">
        <f t="shared" si="40"/>
        <v>126.59225490745698</v>
      </c>
      <c r="L26" s="114">
        <f t="shared" si="40"/>
        <v>126.24115481787847</v>
      </c>
      <c r="M26" s="114">
        <f t="shared" si="40"/>
        <v>125.89102849460966</v>
      </c>
      <c r="N26" s="114">
        <f t="shared" si="40"/>
        <v>125.54187323693692</v>
      </c>
      <c r="O26" s="114">
        <f t="shared" si="40"/>
        <v>123.9188244485441</v>
      </c>
      <c r="P26" s="114">
        <f t="shared" si="40"/>
        <v>123.57513904380779</v>
      </c>
      <c r="Q26" s="114">
        <f t="shared" si="40"/>
        <v>123.23240684095954</v>
      </c>
      <c r="R26" s="114">
        <f t="shared" si="40"/>
        <v>122.8906251963205</v>
      </c>
      <c r="S26" s="114">
        <f t="shared" si="40"/>
        <v>122.54979147354392</v>
      </c>
      <c r="T26" s="114">
        <f t="shared" si="40"/>
        <v>122.20990304359501</v>
      </c>
      <c r="U26" s="114">
        <f t="shared" si="40"/>
        <v>121.87095728473038</v>
      </c>
      <c r="V26" s="114">
        <f t="shared" si="40"/>
        <v>121.53295158247818</v>
      </c>
      <c r="W26" s="114">
        <f t="shared" si="40"/>
        <v>121.19588332961747</v>
      </c>
      <c r="X26" s="114">
        <f t="shared" si="40"/>
        <v>120.8597499261586</v>
      </c>
      <c r="Y26" s="114">
        <f t="shared" si="40"/>
        <v>120.52454877932277</v>
      </c>
      <c r="Z26" s="114">
        <f t="shared" si="40"/>
        <v>120.19027730352227</v>
      </c>
      <c r="AA26" s="114">
        <f t="shared" si="40"/>
        <v>118.617472162683</v>
      </c>
      <c r="AB26" s="114">
        <f t="shared" si="40"/>
        <v>118.28848991070922</v>
      </c>
      <c r="AC26" s="114">
        <f t="shared" si="40"/>
        <v>117.96042008183919</v>
      </c>
      <c r="AD26" s="114">
        <f t="shared" si="40"/>
        <v>117.63326014549295</v>
      </c>
      <c r="AE26" s="114">
        <f t="shared" si="40"/>
        <v>117.30700757810889</v>
      </c>
      <c r="AF26" s="114">
        <f t="shared" si="40"/>
        <v>116.98165986312451</v>
      </c>
      <c r="AG26" s="114">
        <f t="shared" si="40"/>
        <v>116.65721449095686</v>
      </c>
      <c r="AH26" s="114">
        <f t="shared" si="40"/>
        <v>116.33366895898341</v>
      </c>
      <c r="AI26" s="114">
        <f t="shared" si="40"/>
        <v>116.01102077152237</v>
      </c>
      <c r="AJ26" s="114">
        <f t="shared" si="40"/>
        <v>115.68926743981378</v>
      </c>
      <c r="AK26" s="114">
        <f t="shared" si="40"/>
        <v>115.36840648200014</v>
      </c>
      <c r="AL26" s="114">
        <f t="shared" si="40"/>
        <v>115.04843542310739</v>
      </c>
      <c r="AM26" s="114">
        <f t="shared" si="40"/>
        <v>113.52412921008768</v>
      </c>
      <c r="AN26" s="114">
        <f t="shared" si="40"/>
        <v>113.2092732027899</v>
      </c>
      <c r="AO26" s="114">
        <f t="shared" si="40"/>
        <v>112.89529043985011</v>
      </c>
      <c r="AP26" s="114">
        <f t="shared" si="40"/>
        <v>112.5821784993495</v>
      </c>
      <c r="AQ26" s="114">
        <f t="shared" si="40"/>
        <v>112.26993496608624</v>
      </c>
      <c r="AR26" s="114">
        <f t="shared" si="40"/>
        <v>111.9585574315571</v>
      </c>
      <c r="AS26" s="114">
        <f t="shared" si="40"/>
        <v>111.64804349393872</v>
      </c>
      <c r="AT26" s="114">
        <f t="shared" si="40"/>
        <v>111.33839075806921</v>
      </c>
      <c r="AU26" s="114">
        <f t="shared" si="40"/>
        <v>111.02959683542943</v>
      </c>
      <c r="AV26" s="114">
        <f t="shared" si="40"/>
        <v>110.7216593441249</v>
      </c>
      <c r="AW26" s="114">
        <f t="shared" si="40"/>
        <v>110.41457590886716</v>
      </c>
      <c r="AX26" s="114">
        <f t="shared" si="40"/>
        <v>110.1083441609556</v>
      </c>
      <c r="AY26" s="114">
        <f t="shared" si="40"/>
        <v>108.63085583280935</v>
      </c>
      <c r="AZ26" s="114">
        <f t="shared" si="40"/>
        <v>108.3295711827984</v>
      </c>
      <c r="BA26" s="114">
        <f t="shared" si="40"/>
        <v>108.0291221373644</v>
      </c>
      <c r="BB26" s="114">
        <f t="shared" si="40"/>
        <v>107.72950637898137</v>
      </c>
      <c r="BC26" s="114">
        <f t="shared" si="40"/>
        <v>107.43072159655084</v>
      </c>
      <c r="BD26" s="114">
        <f t="shared" si="40"/>
        <v>107.13276548538427</v>
      </c>
      <c r="BE26" s="114">
        <f t="shared" si="40"/>
        <v>106.83563574718492</v>
      </c>
      <c r="BF26" s="114">
        <f t="shared" si="40"/>
        <v>106.53933009003055</v>
      </c>
      <c r="BG26" s="114">
        <f t="shared" si="40"/>
        <v>106.24384622835518</v>
      </c>
      <c r="BH26" s="114">
        <f t="shared" si="40"/>
        <v>105.94918188293205</v>
      </c>
      <c r="BI26" s="114">
        <f t="shared" si="40"/>
        <v>105.65533478085568</v>
      </c>
      <c r="BJ26" s="114">
        <f t="shared" si="40"/>
        <v>105.36230265552446</v>
      </c>
      <c r="BK26" s="114">
        <f t="shared" si="40"/>
        <v>103.93001247710883</v>
      </c>
      <c r="BL26" s="114">
        <f t="shared" si="40"/>
        <v>103.64176548508482</v>
      </c>
      <c r="BM26" s="114">
        <f t="shared" si="40"/>
        <v>103.35431793805682</v>
      </c>
      <c r="BN26" s="114">
        <f t="shared" si="40"/>
        <v>103.06766761878647</v>
      </c>
      <c r="BO26" s="114">
        <f t="shared" ref="BO26:DZ26" si="41">BO24*BO25</f>
        <v>102.78181231618476</v>
      </c>
      <c r="BP26" s="114">
        <f t="shared" si="41"/>
        <v>102.4967498252951</v>
      </c>
      <c r="BQ26" s="114">
        <f t="shared" si="41"/>
        <v>102.21247794727637</v>
      </c>
      <c r="BR26" s="114">
        <f t="shared" si="41"/>
        <v>101.92899448938581</v>
      </c>
      <c r="BS26" s="114">
        <f t="shared" si="41"/>
        <v>101.64629726496212</v>
      </c>
      <c r="BT26" s="114">
        <f t="shared" si="41"/>
        <v>101.36438409340877</v>
      </c>
      <c r="BU26" s="114">
        <f t="shared" si="41"/>
        <v>101.08325280017691</v>
      </c>
      <c r="BV26" s="114">
        <f t="shared" si="41"/>
        <v>100.80290121674891</v>
      </c>
      <c r="BW26" s="114">
        <f t="shared" si="41"/>
        <v>99.41424848049688</v>
      </c>
      <c r="BX26" s="114">
        <f t="shared" si="41"/>
        <v>99.138525834017429</v>
      </c>
      <c r="BY26" s="114">
        <f t="shared" si="41"/>
        <v>98.863567896610803</v>
      </c>
      <c r="BZ26" s="114">
        <f t="shared" si="41"/>
        <v>98.589372547377764</v>
      </c>
      <c r="CA26" s="114">
        <f t="shared" si="41"/>
        <v>98.315937671301185</v>
      </c>
      <c r="CB26" s="114">
        <f t="shared" si="41"/>
        <v>98.043261159230013</v>
      </c>
      <c r="CC26" s="114">
        <f t="shared" si="41"/>
        <v>97.771340907862793</v>
      </c>
      <c r="CD26" s="114">
        <f t="shared" si="41"/>
        <v>97.500174819731626</v>
      </c>
      <c r="CE26" s="114">
        <f t="shared" si="41"/>
        <v>97.229760803185698</v>
      </c>
      <c r="CF26" s="114">
        <f t="shared" si="41"/>
        <v>96.960096772375522</v>
      </c>
      <c r="CG26" s="114">
        <f t="shared" si="41"/>
        <v>96.691180647236479</v>
      </c>
      <c r="CH26" s="114">
        <f t="shared" si="41"/>
        <v>96.423010353473146</v>
      </c>
      <c r="CI26" s="114">
        <f t="shared" si="41"/>
        <v>95.076491184588633</v>
      </c>
      <c r="CJ26" s="114">
        <f t="shared" si="41"/>
        <v>94.812799187032212</v>
      </c>
      <c r="CK26" s="114">
        <f t="shared" si="41"/>
        <v>94.549838531879217</v>
      </c>
      <c r="CL26" s="114">
        <f t="shared" si="41"/>
        <v>94.287607190771936</v>
      </c>
      <c r="CM26" s="114">
        <f t="shared" si="41"/>
        <v>94.026103140978165</v>
      </c>
      <c r="CN26" s="114">
        <f t="shared" si="41"/>
        <v>93.765324365375747</v>
      </c>
      <c r="CO26" s="114">
        <f t="shared" si="41"/>
        <v>93.505268852436885</v>
      </c>
      <c r="CP26" s="114">
        <f t="shared" si="41"/>
        <v>93.245934596212848</v>
      </c>
      <c r="CQ26" s="114">
        <f t="shared" si="41"/>
        <v>92.98731959631813</v>
      </c>
      <c r="CR26" s="114">
        <f t="shared" si="41"/>
        <v>92.729421857915398</v>
      </c>
      <c r="CS26" s="114">
        <f t="shared" si="41"/>
        <v>92.472239391699915</v>
      </c>
      <c r="CT26" s="114">
        <f t="shared" si="41"/>
        <v>92.215770213884213</v>
      </c>
      <c r="CU26" s="114">
        <f t="shared" si="41"/>
        <v>90.909935457751956</v>
      </c>
      <c r="CV26" s="114">
        <f t="shared" si="41"/>
        <v>90.657799286339809</v>
      </c>
      <c r="CW26" s="114">
        <f t="shared" si="41"/>
        <v>90.406362407569503</v>
      </c>
      <c r="CX26" s="114">
        <f t="shared" si="41"/>
        <v>90.155622881972377</v>
      </c>
      <c r="CY26" s="114">
        <f t="shared" si="41"/>
        <v>89.905578775458849</v>
      </c>
      <c r="CZ26" s="114">
        <f t="shared" si="41"/>
        <v>89.656228159303495</v>
      </c>
      <c r="DA26" s="114">
        <f t="shared" si="41"/>
        <v>89.407569110130083</v>
      </c>
      <c r="DB26" s="114">
        <f t="shared" si="41"/>
        <v>89.159599709896938</v>
      </c>
      <c r="DC26" s="114">
        <f t="shared" si="41"/>
        <v>88.912318045881918</v>
      </c>
      <c r="DD26" s="114">
        <f t="shared" si="41"/>
        <v>88.665722210667795</v>
      </c>
      <c r="DE26" s="114">
        <f t="shared" si="41"/>
        <v>88.419810302127502</v>
      </c>
      <c r="DF26" s="114">
        <f t="shared" si="41"/>
        <v>88.174580423409523</v>
      </c>
      <c r="DG26" s="114">
        <f t="shared" si="41"/>
        <v>86.908033612131021</v>
      </c>
      <c r="DH26" s="114">
        <f t="shared" si="41"/>
        <v>86.666996603914228</v>
      </c>
      <c r="DI26" s="114">
        <f t="shared" si="41"/>
        <v>86.426628105119576</v>
      </c>
      <c r="DJ26" s="114">
        <f t="shared" si="41"/>
        <v>86.186926261654818</v>
      </c>
      <c r="DK26" s="114">
        <f t="shared" si="41"/>
        <v>85.947889224570005</v>
      </c>
      <c r="DL26" s="114">
        <f t="shared" si="41"/>
        <v>85.709515150043174</v>
      </c>
      <c r="DM26" s="114">
        <f t="shared" si="41"/>
        <v>85.47180219936611</v>
      </c>
      <c r="DN26" s="114">
        <f t="shared" si="41"/>
        <v>85.234748538930333</v>
      </c>
      <c r="DO26" s="114">
        <f t="shared" si="41"/>
        <v>84.998352340212634</v>
      </c>
      <c r="DP26" s="114">
        <f t="shared" si="41"/>
        <v>84.762611779761357</v>
      </c>
      <c r="DQ26" s="114">
        <f t="shared" si="41"/>
        <v>84.527525039181995</v>
      </c>
      <c r="DR26" s="114">
        <f t="shared" si="41"/>
        <v>84.293090305123428</v>
      </c>
      <c r="DS26" s="114">
        <f t="shared" si="41"/>
        <v>-81.8407327540381</v>
      </c>
      <c r="DT26" s="114">
        <f t="shared" si="41"/>
        <v>-83.140643679965123</v>
      </c>
      <c r="DU26" s="114">
        <f t="shared" si="41"/>
        <v>-82.134789040054912</v>
      </c>
      <c r="DV26" s="114">
        <f t="shared" si="41"/>
        <v>-79.450375734016475</v>
      </c>
      <c r="DW26" s="114">
        <f t="shared" si="41"/>
        <v>-80.79064761409434</v>
      </c>
      <c r="DX26" s="114">
        <f t="shared" si="41"/>
        <v>-77.601435577667587</v>
      </c>
      <c r="DY26" s="114">
        <f t="shared" si="41"/>
        <v>-83.866101940583064</v>
      </c>
      <c r="DZ26" s="114">
        <f t="shared" si="41"/>
        <v>-76.987785218042603</v>
      </c>
      <c r="EA26" s="114">
        <f t="shared" ref="EA26:GL26" si="42">EA24*EA25</f>
        <v>-78.239280119771905</v>
      </c>
      <c r="EB26" s="114">
        <f t="shared" si="42"/>
        <v>-79.701627721828203</v>
      </c>
      <c r="EC26" s="114">
        <f t="shared" si="42"/>
        <v>-79.104394019926545</v>
      </c>
      <c r="ED26" s="114">
        <f t="shared" si="42"/>
        <v>-79.842823578830689</v>
      </c>
      <c r="EE26" s="114">
        <f t="shared" si="42"/>
        <v>-78.604287358973906</v>
      </c>
      <c r="EF26" s="114">
        <f t="shared" si="42"/>
        <v>-78.599720997685836</v>
      </c>
      <c r="EG26" s="114">
        <f t="shared" si="42"/>
        <v>-80.72515900534124</v>
      </c>
      <c r="EH26" s="114">
        <f t="shared" si="42"/>
        <v>-77.498960166569134</v>
      </c>
      <c r="EI26" s="114">
        <f t="shared" si="42"/>
        <v>-78.0159297973956</v>
      </c>
      <c r="EJ26" s="114">
        <f t="shared" si="42"/>
        <v>-69.743460784819618</v>
      </c>
      <c r="EK26" s="114">
        <f t="shared" si="42"/>
        <v>-74.655087496708674</v>
      </c>
      <c r="EL26" s="114">
        <f t="shared" si="42"/>
        <v>-72.445661840595989</v>
      </c>
      <c r="EM26" s="114">
        <f t="shared" si="42"/>
        <v>-79.111818731759044</v>
      </c>
      <c r="EN26" s="114">
        <f t="shared" si="42"/>
        <v>-73.171527438503816</v>
      </c>
      <c r="EO26" s="114">
        <f t="shared" si="42"/>
        <v>-75.021740579618296</v>
      </c>
      <c r="EP26" s="114">
        <f t="shared" si="42"/>
        <v>-74.007388987156105</v>
      </c>
      <c r="EQ26" s="114">
        <f t="shared" si="42"/>
        <v>-73.374922742696953</v>
      </c>
      <c r="ER26" s="114">
        <f t="shared" si="42"/>
        <v>-76.22456868640586</v>
      </c>
      <c r="ES26" s="114">
        <f t="shared" si="42"/>
        <v>-81.280992210965891</v>
      </c>
      <c r="ET26" s="114">
        <f t="shared" si="42"/>
        <v>-73.730908855300655</v>
      </c>
      <c r="EU26" s="114">
        <f t="shared" si="42"/>
        <v>-71.634548050448544</v>
      </c>
      <c r="EV26" s="114">
        <f t="shared" si="42"/>
        <v>-73.446337867022294</v>
      </c>
      <c r="EW26" s="114">
        <f t="shared" si="42"/>
        <v>-66.361303318407451</v>
      </c>
      <c r="EX26" s="114">
        <f t="shared" si="42"/>
        <v>-73.184280444437633</v>
      </c>
      <c r="EY26" s="114">
        <f t="shared" si="42"/>
        <v>-72.146351473880898</v>
      </c>
      <c r="EZ26" s="114">
        <f t="shared" si="42"/>
        <v>-75.855769542461417</v>
      </c>
      <c r="FA26" s="114">
        <f t="shared" si="42"/>
        <v>-73.07280606247194</v>
      </c>
      <c r="FB26" s="114">
        <f t="shared" si="42"/>
        <v>-74.978482155029482</v>
      </c>
      <c r="FC26" s="114">
        <f t="shared" si="42"/>
        <v>-66.978139391431526</v>
      </c>
      <c r="FD26" s="114">
        <f t="shared" si="42"/>
        <v>-71.497253571139083</v>
      </c>
      <c r="FE26" s="114">
        <f t="shared" si="42"/>
        <v>-70.222370236635982</v>
      </c>
      <c r="FF26" s="114">
        <f t="shared" si="42"/>
        <v>-69.861394464766789</v>
      </c>
      <c r="FG26" s="114">
        <f t="shared" si="42"/>
        <v>-76.423649271685562</v>
      </c>
      <c r="FH26" s="114">
        <f t="shared" si="42"/>
        <v>-75.122866769493456</v>
      </c>
      <c r="FI26" s="114">
        <f t="shared" si="42"/>
        <v>-73.122658328305377</v>
      </c>
      <c r="FJ26" s="114">
        <f t="shared" si="42"/>
        <v>-71.127031117661772</v>
      </c>
      <c r="FK26" s="114">
        <f t="shared" si="42"/>
        <v>-69.804381466282138</v>
      </c>
      <c r="FL26" s="114">
        <f t="shared" si="42"/>
        <v>-75.047910069712188</v>
      </c>
      <c r="FM26" s="114">
        <f t="shared" si="42"/>
        <v>-73.220468150102519</v>
      </c>
      <c r="FN26" s="114">
        <f t="shared" si="42"/>
        <v>-70.646740029100314</v>
      </c>
      <c r="FO26" s="114">
        <f t="shared" si="42"/>
        <v>-69.241028909258375</v>
      </c>
      <c r="FP26" s="114">
        <f t="shared" si="42"/>
        <v>-69.41836914252417</v>
      </c>
      <c r="FQ26" s="114">
        <f t="shared" si="42"/>
        <v>-71.862985514148065</v>
      </c>
      <c r="FR26" s="114">
        <f t="shared" si="42"/>
        <v>-71.834893594167312</v>
      </c>
      <c r="FS26" s="114">
        <f t="shared" si="42"/>
        <v>-70.757150510321381</v>
      </c>
      <c r="FT26" s="114">
        <f t="shared" si="42"/>
        <v>-72.666692422960708</v>
      </c>
      <c r="FU26" s="114">
        <f t="shared" si="42"/>
        <v>-64.437699231456463</v>
      </c>
      <c r="FV26" s="114">
        <f t="shared" si="42"/>
        <v>-72.225905373119232</v>
      </c>
      <c r="FW26" s="114">
        <f t="shared" si="42"/>
        <v>-75.821427817476987</v>
      </c>
      <c r="FX26" s="114">
        <f t="shared" si="42"/>
        <v>-72.137233176072129</v>
      </c>
      <c r="FY26" s="114">
        <f t="shared" si="42"/>
        <v>-73.440523360468134</v>
      </c>
      <c r="FZ26" s="114">
        <f t="shared" si="42"/>
        <v>-72.119920610567519</v>
      </c>
      <c r="GA26" s="114">
        <f t="shared" si="42"/>
        <v>-70.37831630492623</v>
      </c>
      <c r="GB26" s="114">
        <f t="shared" si="42"/>
        <v>-66.527574635282761</v>
      </c>
      <c r="GC26" s="114">
        <f t="shared" si="42"/>
        <v>-63.188406172934876</v>
      </c>
      <c r="GD26" s="114">
        <f t="shared" si="42"/>
        <v>-63.874027293170556</v>
      </c>
      <c r="GE26" s="114">
        <f t="shared" si="42"/>
        <v>-63.996868529470845</v>
      </c>
      <c r="GF26" s="114">
        <f t="shared" si="42"/>
        <v>-64.346076977381131</v>
      </c>
      <c r="GG26" s="114">
        <f t="shared" si="42"/>
        <v>-66.522642499763165</v>
      </c>
      <c r="GH26" s="114">
        <f t="shared" si="42"/>
        <v>-64.474644420844797</v>
      </c>
      <c r="GI26" s="114">
        <f t="shared" si="42"/>
        <v>-67.229110533104958</v>
      </c>
      <c r="GJ26" s="114">
        <f t="shared" si="42"/>
        <v>-64.745469714071589</v>
      </c>
      <c r="GK26" s="114">
        <f t="shared" si="42"/>
        <v>-67.136626748050119</v>
      </c>
      <c r="GL26" s="114">
        <f t="shared" si="42"/>
        <v>-65.368774583769863</v>
      </c>
      <c r="GM26" s="114">
        <f t="shared" ref="GM26:IX26" si="43">GM24*GM25</f>
        <v>-66.888411717508305</v>
      </c>
      <c r="GN26" s="114">
        <f t="shared" si="43"/>
        <v>-65.724711374223816</v>
      </c>
      <c r="GO26" s="114">
        <f t="shared" si="43"/>
        <v>-65.813439196975182</v>
      </c>
      <c r="GP26" s="114">
        <f t="shared" si="43"/>
        <v>-65.453531969494676</v>
      </c>
      <c r="GQ26" s="114">
        <f t="shared" si="43"/>
        <v>-65.757823913268311</v>
      </c>
      <c r="GR26" s="114">
        <f t="shared" si="43"/>
        <v>-63.644122370853864</v>
      </c>
      <c r="GS26" s="114">
        <f t="shared" si="43"/>
        <v>-65.805036467661026</v>
      </c>
      <c r="GT26" s="114">
        <f t="shared" si="43"/>
        <v>-64.442806101179272</v>
      </c>
      <c r="GU26" s="114">
        <f t="shared" si="43"/>
        <v>-62.988842117988426</v>
      </c>
      <c r="GV26" s="114">
        <f t="shared" si="43"/>
        <v>-65.304394761251629</v>
      </c>
      <c r="GW26" s="114">
        <f t="shared" si="43"/>
        <v>-64.887574689618006</v>
      </c>
      <c r="GX26" s="114">
        <f t="shared" si="43"/>
        <v>-61.851575647123894</v>
      </c>
      <c r="GY26" s="114">
        <f t="shared" si="43"/>
        <v>-65.551720187638153</v>
      </c>
      <c r="GZ26" s="114">
        <f t="shared" si="43"/>
        <v>-62.9320168615236</v>
      </c>
      <c r="HA26" s="114">
        <f t="shared" si="43"/>
        <v>-62.39707736135005</v>
      </c>
      <c r="HB26" s="114">
        <f t="shared" si="43"/>
        <v>-62.862533014040658</v>
      </c>
      <c r="HC26" s="114">
        <f t="shared" si="43"/>
        <v>-59.277880709651598</v>
      </c>
      <c r="HD26" s="114">
        <f t="shared" si="43"/>
        <v>-62.603280940149972</v>
      </c>
      <c r="HE26" s="114">
        <f t="shared" si="43"/>
        <v>-64.55231288798015</v>
      </c>
      <c r="HF26" s="114">
        <f t="shared" si="43"/>
        <v>-66.356625985436992</v>
      </c>
      <c r="HG26" s="114">
        <f t="shared" si="43"/>
        <v>-65.975337969192154</v>
      </c>
      <c r="HH26" s="114">
        <f t="shared" si="43"/>
        <v>-66.273639614764193</v>
      </c>
      <c r="HI26" s="114">
        <f t="shared" si="43"/>
        <v>-64.132350692781557</v>
      </c>
      <c r="HJ26" s="114">
        <f t="shared" si="43"/>
        <v>-61.255623512451649</v>
      </c>
      <c r="HK26" s="114">
        <f t="shared" si="43"/>
        <v>-63.503627655722326</v>
      </c>
      <c r="HL26" s="114">
        <f t="shared" si="43"/>
        <v>-62.062061577611978</v>
      </c>
      <c r="HM26" s="114">
        <f t="shared" si="43"/>
        <v>-64.946445500872827</v>
      </c>
      <c r="HN26" s="114">
        <f t="shared" si="43"/>
        <v>-65.233848181829941</v>
      </c>
      <c r="HO26" s="114">
        <f t="shared" si="43"/>
        <v>-64.313533557593942</v>
      </c>
      <c r="HP26" s="114">
        <f t="shared" si="43"/>
        <v>-61.530323201015683</v>
      </c>
      <c r="HQ26" s="114">
        <f t="shared" si="43"/>
        <v>-60.231115460740767</v>
      </c>
      <c r="HR26" s="114">
        <f t="shared" si="43"/>
        <v>-58.646450420820564</v>
      </c>
      <c r="HS26" s="114">
        <f t="shared" si="43"/>
        <v>-63.075519841974021</v>
      </c>
      <c r="HT26" s="114">
        <f t="shared" si="43"/>
        <v>-58.495426819127864</v>
      </c>
      <c r="HU26" s="114">
        <f t="shared" si="43"/>
        <v>-61.498040484612709</v>
      </c>
      <c r="HV26" s="114">
        <f t="shared" si="43"/>
        <v>-61.093536705407985</v>
      </c>
      <c r="HW26" s="114">
        <f t="shared" si="43"/>
        <v>-57.796195061903177</v>
      </c>
      <c r="HX26" s="114">
        <f t="shared" si="43"/>
        <v>-59.091930555883529</v>
      </c>
      <c r="HY26" s="114">
        <f t="shared" si="43"/>
        <v>-59.582565991005808</v>
      </c>
      <c r="HZ26" s="114">
        <f t="shared" si="43"/>
        <v>-61.876403233724446</v>
      </c>
      <c r="IA26" s="114">
        <f t="shared" si="43"/>
        <v>-61.153301206224974</v>
      </c>
      <c r="IB26" s="114">
        <f t="shared" si="43"/>
        <v>-63.471125715501017</v>
      </c>
      <c r="IC26" s="114">
        <f t="shared" si="43"/>
        <v>-61.159761272813242</v>
      </c>
      <c r="ID26" s="114">
        <f t="shared" si="43"/>
        <v>-59.859242520815769</v>
      </c>
      <c r="IE26" s="114">
        <f t="shared" si="43"/>
        <v>-58.379321291950042</v>
      </c>
      <c r="IF26" s="114">
        <f t="shared" si="43"/>
        <v>-60.805248205602894</v>
      </c>
      <c r="IG26" s="114">
        <f t="shared" si="43"/>
        <v>-60.520711530438533</v>
      </c>
      <c r="IH26" s="114">
        <f t="shared" si="43"/>
        <v>-64.341898223528176</v>
      </c>
      <c r="II26" s="114">
        <f t="shared" si="43"/>
        <v>-59.170364443345662</v>
      </c>
      <c r="IJ26" s="114">
        <f t="shared" si="43"/>
        <v>-59.626547542180106</v>
      </c>
      <c r="IK26" s="114">
        <f t="shared" si="43"/>
        <v>-62.832088838317091</v>
      </c>
      <c r="IL26" s="114">
        <f t="shared" si="43"/>
        <v>-61.114979588686218</v>
      </c>
      <c r="IM26" s="114">
        <f t="shared" si="43"/>
        <v>-59.127072051604067</v>
      </c>
      <c r="IN26" s="114">
        <f t="shared" si="43"/>
        <v>-60.115851228428674</v>
      </c>
      <c r="IO26" s="114">
        <f t="shared" si="43"/>
        <v>-56.532656499281401</v>
      </c>
      <c r="IP26" s="114">
        <f t="shared" si="43"/>
        <v>-59.18596971468542</v>
      </c>
      <c r="IQ26" s="114">
        <f t="shared" si="43"/>
        <v>-61.534237597152234</v>
      </c>
      <c r="IR26" s="114">
        <f t="shared" si="43"/>
        <v>-58.804488257838003</v>
      </c>
      <c r="IS26" s="114">
        <f t="shared" si="43"/>
        <v>-62.542617058820646</v>
      </c>
      <c r="IT26" s="114">
        <f t="shared" si="43"/>
        <v>-59.022315314813873</v>
      </c>
      <c r="IU26" s="114">
        <f t="shared" si="43"/>
        <v>-56.160039353503734</v>
      </c>
      <c r="IV26" s="114">
        <f t="shared" si="43"/>
        <v>-57.460954867679064</v>
      </c>
      <c r="IW26" s="114">
        <f t="shared" si="43"/>
        <v>-60.35399579660541</v>
      </c>
      <c r="IX26" s="114">
        <f t="shared" si="43"/>
        <v>-59.572234133318261</v>
      </c>
      <c r="IY26" s="114">
        <f t="shared" ref="IY26:KP26" si="44">IY24*IY25</f>
        <v>-59.754879965032011</v>
      </c>
      <c r="IZ26" s="114">
        <f t="shared" si="44"/>
        <v>-59.897049495808538</v>
      </c>
      <c r="JA26" s="114">
        <f t="shared" si="44"/>
        <v>-57.064100866969369</v>
      </c>
      <c r="JB26" s="114">
        <f t="shared" si="44"/>
        <v>-57.241652419269037</v>
      </c>
      <c r="JC26" s="114">
        <f t="shared" si="44"/>
        <v>-54.221469649541703</v>
      </c>
      <c r="JD26" s="114">
        <f t="shared" si="44"/>
        <v>-54.799984128873575</v>
      </c>
      <c r="JE26" s="114">
        <f t="shared" si="44"/>
        <v>-55.874346955468503</v>
      </c>
      <c r="JF26" s="114">
        <f t="shared" si="44"/>
        <v>-59.777885635859313</v>
      </c>
      <c r="JG26" s="114">
        <f t="shared" si="44"/>
        <v>-61.595141331028834</v>
      </c>
      <c r="JH26" s="114">
        <f t="shared" si="44"/>
        <v>-59.012471386707126</v>
      </c>
      <c r="JI26" s="114">
        <f t="shared" si="44"/>
        <v>-59.843698875628036</v>
      </c>
      <c r="JJ26" s="114">
        <f t="shared" si="44"/>
        <v>-59.269377696563247</v>
      </c>
      <c r="JK26" s="114">
        <f t="shared" si="44"/>
        <v>-56.531821615050532</v>
      </c>
      <c r="JL26" s="114">
        <f t="shared" si="44"/>
        <v>-59.919490811100623</v>
      </c>
      <c r="JM26" s="114">
        <f t="shared" si="44"/>
        <v>-58.73104962624717</v>
      </c>
      <c r="JN26" s="114">
        <f t="shared" si="44"/>
        <v>-58.878864548131268</v>
      </c>
      <c r="JO26" s="114">
        <f t="shared" si="44"/>
        <v>-63.803449775672625</v>
      </c>
      <c r="JP26" s="114">
        <f t="shared" si="44"/>
        <v>-60.421629692826826</v>
      </c>
      <c r="JQ26" s="114">
        <f t="shared" si="44"/>
        <v>-59.359898092924638</v>
      </c>
      <c r="JR26" s="114">
        <f t="shared" si="44"/>
        <v>-57.86312941843925</v>
      </c>
      <c r="JS26" s="114">
        <f t="shared" si="44"/>
        <v>-56.234683207489311</v>
      </c>
      <c r="JT26" s="114">
        <f t="shared" si="44"/>
        <v>-55.990089443985617</v>
      </c>
      <c r="JU26" s="114">
        <f t="shared" si="44"/>
        <v>-56.59438780681306</v>
      </c>
      <c r="JV26" s="114">
        <f t="shared" si="44"/>
        <v>-56.379068119560046</v>
      </c>
      <c r="JW26" s="114">
        <f t="shared" si="44"/>
        <v>-58.542975332776997</v>
      </c>
      <c r="JX26" s="114">
        <f t="shared" si="44"/>
        <v>-58.50105258730953</v>
      </c>
      <c r="JY26" s="114">
        <f t="shared" si="44"/>
        <v>-58.120157581745758</v>
      </c>
      <c r="JZ26" s="114">
        <f t="shared" si="44"/>
        <v>-54.903530856524711</v>
      </c>
      <c r="KA26" s="114">
        <f t="shared" si="44"/>
        <v>-56.646054322095125</v>
      </c>
      <c r="KB26" s="114">
        <f t="shared" si="44"/>
        <v>-56.294458859989682</v>
      </c>
      <c r="KC26" s="114">
        <f t="shared" si="44"/>
        <v>-53.625323129364666</v>
      </c>
      <c r="KD26" s="114">
        <f t="shared" si="44"/>
        <v>-55.500683361117176</v>
      </c>
      <c r="KE26" s="114">
        <f t="shared" si="44"/>
        <v>-54.753773410512139</v>
      </c>
      <c r="KF26" s="114">
        <f t="shared" si="44"/>
        <v>-56.611706850248922</v>
      </c>
      <c r="KG26" s="114">
        <f t="shared" si="44"/>
        <v>-55.035540991544238</v>
      </c>
      <c r="KH26" s="114">
        <f t="shared" si="44"/>
        <v>-53.419201709591896</v>
      </c>
      <c r="KI26" s="114">
        <f t="shared" si="44"/>
        <v>-54.256552949340303</v>
      </c>
      <c r="KJ26" s="114">
        <f t="shared" si="44"/>
        <v>-53.390515836463926</v>
      </c>
      <c r="KK26" s="114">
        <f t="shared" si="44"/>
        <v>-54.837905977854589</v>
      </c>
      <c r="KL26" s="114">
        <f t="shared" si="44"/>
        <v>-20.976429160865408</v>
      </c>
      <c r="KM26" s="114">
        <f t="shared" si="44"/>
        <v>-20.900343912069133</v>
      </c>
      <c r="KN26" s="114">
        <f t="shared" si="44"/>
        <v>-20.824534638036727</v>
      </c>
      <c r="KO26" s="114">
        <f t="shared" si="44"/>
        <v>-20.749000337758517</v>
      </c>
      <c r="KP26" s="114">
        <f t="shared" si="44"/>
        <v>-20.673740013855646</v>
      </c>
    </row>
    <row r="27" spans="1:302" ht="16" customHeight="1" x14ac:dyDescent="0.2">
      <c r="A27" s="112" t="s">
        <v>450</v>
      </c>
      <c r="B27" s="113" t="s">
        <v>215</v>
      </c>
      <c r="C27" s="114">
        <f>C26-Assumptions!$E$31</f>
        <v>-22870.563562214749</v>
      </c>
      <c r="D27" s="114">
        <f t="shared" ref="D27:BO27" si="45">C27+D26</f>
        <v>-22741.486112780993</v>
      </c>
      <c r="E27" s="114">
        <f t="shared" si="45"/>
        <v>-22612.766656054548</v>
      </c>
      <c r="F27" s="114">
        <f t="shared" si="45"/>
        <v>-22484.404199152617</v>
      </c>
      <c r="G27" s="114">
        <f t="shared" si="45"/>
        <v>-22356.397751946144</v>
      </c>
      <c r="H27" s="114">
        <f t="shared" si="45"/>
        <v>-22228.746327052162</v>
      </c>
      <c r="I27" s="114">
        <f t="shared" si="45"/>
        <v>-22101.448939826187</v>
      </c>
      <c r="J27" s="114">
        <f t="shared" si="45"/>
        <v>-21974.504608354615</v>
      </c>
      <c r="K27" s="114">
        <f t="shared" si="45"/>
        <v>-21847.912353447158</v>
      </c>
      <c r="L27" s="114">
        <f t="shared" si="45"/>
        <v>-21721.671198629279</v>
      </c>
      <c r="M27" s="114">
        <f t="shared" si="45"/>
        <v>-21595.780170134669</v>
      </c>
      <c r="N27" s="114">
        <f t="shared" si="45"/>
        <v>-21470.238296897733</v>
      </c>
      <c r="O27" s="114">
        <f t="shared" si="45"/>
        <v>-21346.319472449188</v>
      </c>
      <c r="P27" s="114">
        <f t="shared" si="45"/>
        <v>-21222.744333405379</v>
      </c>
      <c r="Q27" s="114">
        <f t="shared" si="45"/>
        <v>-21099.511926564421</v>
      </c>
      <c r="R27" s="114">
        <f t="shared" si="45"/>
        <v>-20976.621301368101</v>
      </c>
      <c r="S27" s="114">
        <f t="shared" si="45"/>
        <v>-20854.071509894558</v>
      </c>
      <c r="T27" s="114">
        <f t="shared" si="45"/>
        <v>-20731.861606850962</v>
      </c>
      <c r="U27" s="114">
        <f t="shared" si="45"/>
        <v>-20609.990649566233</v>
      </c>
      <c r="V27" s="114">
        <f t="shared" si="45"/>
        <v>-20488.457697983755</v>
      </c>
      <c r="W27" s="114">
        <f t="shared" si="45"/>
        <v>-20367.261814654139</v>
      </c>
      <c r="X27" s="114">
        <f t="shared" si="45"/>
        <v>-20246.402064727979</v>
      </c>
      <c r="Y27" s="114">
        <f t="shared" si="45"/>
        <v>-20125.877515948658</v>
      </c>
      <c r="Z27" s="114">
        <f t="shared" si="45"/>
        <v>-20005.687238645136</v>
      </c>
      <c r="AA27" s="114">
        <f t="shared" si="45"/>
        <v>-19887.069766482455</v>
      </c>
      <c r="AB27" s="114">
        <f t="shared" si="45"/>
        <v>-19768.781276571746</v>
      </c>
      <c r="AC27" s="114">
        <f t="shared" si="45"/>
        <v>-19650.820856489907</v>
      </c>
      <c r="AD27" s="114">
        <f t="shared" si="45"/>
        <v>-19533.187596344414</v>
      </c>
      <c r="AE27" s="114">
        <f t="shared" si="45"/>
        <v>-19415.880588766304</v>
      </c>
      <c r="AF27" s="114">
        <f t="shared" si="45"/>
        <v>-19298.898928903178</v>
      </c>
      <c r="AG27" s="114">
        <f t="shared" si="45"/>
        <v>-19182.241714412223</v>
      </c>
      <c r="AH27" s="114">
        <f t="shared" si="45"/>
        <v>-19065.908045453238</v>
      </c>
      <c r="AI27" s="114">
        <f t="shared" si="45"/>
        <v>-18949.897024681715</v>
      </c>
      <c r="AJ27" s="114">
        <f t="shared" si="45"/>
        <v>-18834.2077572419</v>
      </c>
      <c r="AK27" s="114">
        <f t="shared" si="45"/>
        <v>-18718.839350759899</v>
      </c>
      <c r="AL27" s="114">
        <f t="shared" si="45"/>
        <v>-18603.790915336791</v>
      </c>
      <c r="AM27" s="114">
        <f t="shared" si="45"/>
        <v>-18490.266786126704</v>
      </c>
      <c r="AN27" s="114">
        <f t="shared" si="45"/>
        <v>-18377.057512923915</v>
      </c>
      <c r="AO27" s="114">
        <f t="shared" si="45"/>
        <v>-18264.162222484065</v>
      </c>
      <c r="AP27" s="114">
        <f t="shared" si="45"/>
        <v>-18151.580043984715</v>
      </c>
      <c r="AQ27" s="114">
        <f t="shared" si="45"/>
        <v>-18039.310109018628</v>
      </c>
      <c r="AR27" s="114">
        <f t="shared" si="45"/>
        <v>-17927.351551587071</v>
      </c>
      <c r="AS27" s="114">
        <f t="shared" si="45"/>
        <v>-17815.703508093131</v>
      </c>
      <c r="AT27" s="114">
        <f t="shared" si="45"/>
        <v>-17704.365117335063</v>
      </c>
      <c r="AU27" s="114">
        <f t="shared" si="45"/>
        <v>-17593.335520499633</v>
      </c>
      <c r="AV27" s="114">
        <f t="shared" si="45"/>
        <v>-17482.613861155507</v>
      </c>
      <c r="AW27" s="114">
        <f t="shared" si="45"/>
        <v>-17372.199285246639</v>
      </c>
      <c r="AX27" s="114">
        <f t="shared" si="45"/>
        <v>-17262.090941085684</v>
      </c>
      <c r="AY27" s="114">
        <f t="shared" si="45"/>
        <v>-17153.460085252875</v>
      </c>
      <c r="AZ27" s="114">
        <f t="shared" si="45"/>
        <v>-17045.130514070075</v>
      </c>
      <c r="BA27" s="114">
        <f t="shared" si="45"/>
        <v>-16937.101391932712</v>
      </c>
      <c r="BB27" s="114">
        <f t="shared" si="45"/>
        <v>-16829.37188555373</v>
      </c>
      <c r="BC27" s="114">
        <f t="shared" si="45"/>
        <v>-16721.941163957181</v>
      </c>
      <c r="BD27" s="114">
        <f t="shared" si="45"/>
        <v>-16614.808398471796</v>
      </c>
      <c r="BE27" s="114">
        <f t="shared" si="45"/>
        <v>-16507.97276272461</v>
      </c>
      <c r="BF27" s="114">
        <f t="shared" si="45"/>
        <v>-16401.433432634578</v>
      </c>
      <c r="BG27" s="114">
        <f t="shared" si="45"/>
        <v>-16295.189586406223</v>
      </c>
      <c r="BH27" s="114">
        <f t="shared" si="45"/>
        <v>-16189.240404523291</v>
      </c>
      <c r="BI27" s="114">
        <f t="shared" si="45"/>
        <v>-16083.585069742436</v>
      </c>
      <c r="BJ27" s="114">
        <f t="shared" si="45"/>
        <v>-15978.222767086911</v>
      </c>
      <c r="BK27" s="114">
        <f t="shared" si="45"/>
        <v>-15874.292754609802</v>
      </c>
      <c r="BL27" s="114">
        <f t="shared" si="45"/>
        <v>-15770.650989124717</v>
      </c>
      <c r="BM27" s="114">
        <f t="shared" si="45"/>
        <v>-15667.296671186659</v>
      </c>
      <c r="BN27" s="114">
        <f t="shared" si="45"/>
        <v>-15564.229003567872</v>
      </c>
      <c r="BO27" s="114">
        <f t="shared" si="45"/>
        <v>-15461.447191251687</v>
      </c>
      <c r="BP27" s="114">
        <f t="shared" ref="BP27:EA27" si="46">BO27+BP26</f>
        <v>-15358.950441426392</v>
      </c>
      <c r="BQ27" s="114">
        <f t="shared" si="46"/>
        <v>-15256.737963479116</v>
      </c>
      <c r="BR27" s="114">
        <f t="shared" si="46"/>
        <v>-15154.80896898973</v>
      </c>
      <c r="BS27" s="114">
        <f t="shared" si="46"/>
        <v>-15053.162671724767</v>
      </c>
      <c r="BT27" s="114">
        <f t="shared" si="46"/>
        <v>-14951.798287631358</v>
      </c>
      <c r="BU27" s="114">
        <f t="shared" si="46"/>
        <v>-14850.715034831181</v>
      </c>
      <c r="BV27" s="114">
        <f t="shared" si="46"/>
        <v>-14749.912133614433</v>
      </c>
      <c r="BW27" s="114">
        <f t="shared" si="46"/>
        <v>-14650.497885133937</v>
      </c>
      <c r="BX27" s="114">
        <f t="shared" si="46"/>
        <v>-14551.359359299919</v>
      </c>
      <c r="BY27" s="114">
        <f t="shared" si="46"/>
        <v>-14452.495791403308</v>
      </c>
      <c r="BZ27" s="114">
        <f t="shared" si="46"/>
        <v>-14353.90641885593</v>
      </c>
      <c r="CA27" s="114">
        <f t="shared" si="46"/>
        <v>-14255.590481184629</v>
      </c>
      <c r="CB27" s="114">
        <f t="shared" si="46"/>
        <v>-14157.547220025399</v>
      </c>
      <c r="CC27" s="114">
        <f t="shared" si="46"/>
        <v>-14059.775879117537</v>
      </c>
      <c r="CD27" s="114">
        <f t="shared" si="46"/>
        <v>-13962.275704297805</v>
      </c>
      <c r="CE27" s="114">
        <f t="shared" si="46"/>
        <v>-13865.045943494619</v>
      </c>
      <c r="CF27" s="114">
        <f t="shared" si="46"/>
        <v>-13768.085846722242</v>
      </c>
      <c r="CG27" s="114">
        <f t="shared" si="46"/>
        <v>-13671.394666075006</v>
      </c>
      <c r="CH27" s="114">
        <f t="shared" si="46"/>
        <v>-13574.971655721532</v>
      </c>
      <c r="CI27" s="114">
        <f t="shared" si="46"/>
        <v>-13479.895164536943</v>
      </c>
      <c r="CJ27" s="114">
        <f t="shared" si="46"/>
        <v>-13385.082365349912</v>
      </c>
      <c r="CK27" s="114">
        <f t="shared" si="46"/>
        <v>-13290.532526818033</v>
      </c>
      <c r="CL27" s="114">
        <f t="shared" si="46"/>
        <v>-13196.244919627261</v>
      </c>
      <c r="CM27" s="114">
        <f t="shared" si="46"/>
        <v>-13102.218816486284</v>
      </c>
      <c r="CN27" s="114">
        <f t="shared" si="46"/>
        <v>-13008.453492120909</v>
      </c>
      <c r="CO27" s="114">
        <f t="shared" si="46"/>
        <v>-12914.948223268471</v>
      </c>
      <c r="CP27" s="114">
        <f t="shared" si="46"/>
        <v>-12821.702288672259</v>
      </c>
      <c r="CQ27" s="114">
        <f t="shared" si="46"/>
        <v>-12728.714969075942</v>
      </c>
      <c r="CR27" s="114">
        <f t="shared" si="46"/>
        <v>-12635.985547218026</v>
      </c>
      <c r="CS27" s="114">
        <f t="shared" si="46"/>
        <v>-12543.513307826326</v>
      </c>
      <c r="CT27" s="114">
        <f t="shared" si="46"/>
        <v>-12451.297537612441</v>
      </c>
      <c r="CU27" s="114">
        <f t="shared" si="46"/>
        <v>-12360.387602154689</v>
      </c>
      <c r="CV27" s="114">
        <f t="shared" si="46"/>
        <v>-12269.729802868349</v>
      </c>
      <c r="CW27" s="114">
        <f t="shared" si="46"/>
        <v>-12179.323440460779</v>
      </c>
      <c r="CX27" s="114">
        <f t="shared" si="46"/>
        <v>-12089.167817578807</v>
      </c>
      <c r="CY27" s="114">
        <f t="shared" si="46"/>
        <v>-11999.262238803349</v>
      </c>
      <c r="CZ27" s="114">
        <f t="shared" si="46"/>
        <v>-11909.606010644045</v>
      </c>
      <c r="DA27" s="114">
        <f t="shared" si="46"/>
        <v>-11820.198441533916</v>
      </c>
      <c r="DB27" s="114">
        <f t="shared" si="46"/>
        <v>-11731.038841824018</v>
      </c>
      <c r="DC27" s="114">
        <f t="shared" si="46"/>
        <v>-11642.126523778135</v>
      </c>
      <c r="DD27" s="114">
        <f t="shared" si="46"/>
        <v>-11553.460801567468</v>
      </c>
      <c r="DE27" s="114">
        <f t="shared" si="46"/>
        <v>-11465.040991265339</v>
      </c>
      <c r="DF27" s="114">
        <f t="shared" si="46"/>
        <v>-11376.866410841931</v>
      </c>
      <c r="DG27" s="114">
        <f t="shared" si="46"/>
        <v>-11289.958377229799</v>
      </c>
      <c r="DH27" s="114">
        <f t="shared" si="46"/>
        <v>-11203.291380625886</v>
      </c>
      <c r="DI27" s="114">
        <f t="shared" si="46"/>
        <v>-11116.864752520765</v>
      </c>
      <c r="DJ27" s="114">
        <f t="shared" si="46"/>
        <v>-11030.677826259111</v>
      </c>
      <c r="DK27" s="114">
        <f t="shared" si="46"/>
        <v>-10944.729937034541</v>
      </c>
      <c r="DL27" s="114">
        <f t="shared" si="46"/>
        <v>-10859.020421884497</v>
      </c>
      <c r="DM27" s="114">
        <f t="shared" si="46"/>
        <v>-10773.548619685131</v>
      </c>
      <c r="DN27" s="114">
        <f t="shared" si="46"/>
        <v>-10688.3138711462</v>
      </c>
      <c r="DO27" s="114">
        <f t="shared" si="46"/>
        <v>-10603.315518805986</v>
      </c>
      <c r="DP27" s="114">
        <f t="shared" si="46"/>
        <v>-10518.552907026226</v>
      </c>
      <c r="DQ27" s="114">
        <f t="shared" si="46"/>
        <v>-10434.025381987043</v>
      </c>
      <c r="DR27" s="114">
        <f t="shared" si="46"/>
        <v>-10349.732291681919</v>
      </c>
      <c r="DS27" s="114">
        <f t="shared" si="46"/>
        <v>-10431.573024435958</v>
      </c>
      <c r="DT27" s="114">
        <f t="shared" si="46"/>
        <v>-10514.713668115923</v>
      </c>
      <c r="DU27" s="114">
        <f t="shared" si="46"/>
        <v>-10596.848457155978</v>
      </c>
      <c r="DV27" s="114">
        <f t="shared" si="46"/>
        <v>-10676.298832889996</v>
      </c>
      <c r="DW27" s="114">
        <f t="shared" si="46"/>
        <v>-10757.08948050409</v>
      </c>
      <c r="DX27" s="114">
        <f t="shared" si="46"/>
        <v>-10834.690916081758</v>
      </c>
      <c r="DY27" s="114">
        <f t="shared" si="46"/>
        <v>-10918.55701802234</v>
      </c>
      <c r="DZ27" s="114">
        <f t="shared" si="46"/>
        <v>-10995.544803240384</v>
      </c>
      <c r="EA27" s="114">
        <f t="shared" si="46"/>
        <v>-11073.784083360155</v>
      </c>
      <c r="EB27" s="114">
        <f t="shared" ref="EB27:GM27" si="47">EA27+EB26</f>
        <v>-11153.485711081983</v>
      </c>
      <c r="EC27" s="114">
        <f t="shared" si="47"/>
        <v>-11232.59010510191</v>
      </c>
      <c r="ED27" s="114">
        <f t="shared" si="47"/>
        <v>-11312.432928680741</v>
      </c>
      <c r="EE27" s="114">
        <f t="shared" si="47"/>
        <v>-11391.037216039715</v>
      </c>
      <c r="EF27" s="114">
        <f t="shared" si="47"/>
        <v>-11469.636937037401</v>
      </c>
      <c r="EG27" s="114">
        <f t="shared" si="47"/>
        <v>-11550.362096042743</v>
      </c>
      <c r="EH27" s="114">
        <f t="shared" si="47"/>
        <v>-11627.861056209313</v>
      </c>
      <c r="EI27" s="114">
        <f t="shared" si="47"/>
        <v>-11705.876986006708</v>
      </c>
      <c r="EJ27" s="114">
        <f t="shared" si="47"/>
        <v>-11775.620446791527</v>
      </c>
      <c r="EK27" s="114">
        <f t="shared" si="47"/>
        <v>-11850.275534288236</v>
      </c>
      <c r="EL27" s="114">
        <f t="shared" si="47"/>
        <v>-11922.721196128832</v>
      </c>
      <c r="EM27" s="114">
        <f t="shared" si="47"/>
        <v>-12001.833014860591</v>
      </c>
      <c r="EN27" s="114">
        <f t="shared" si="47"/>
        <v>-12075.004542299095</v>
      </c>
      <c r="EO27" s="114">
        <f t="shared" si="47"/>
        <v>-12150.026282878713</v>
      </c>
      <c r="EP27" s="114">
        <f t="shared" si="47"/>
        <v>-12224.033671865869</v>
      </c>
      <c r="EQ27" s="114">
        <f t="shared" si="47"/>
        <v>-12297.408594608565</v>
      </c>
      <c r="ER27" s="114">
        <f t="shared" si="47"/>
        <v>-12373.633163294971</v>
      </c>
      <c r="ES27" s="114">
        <f t="shared" si="47"/>
        <v>-12454.914155505938</v>
      </c>
      <c r="ET27" s="114">
        <f t="shared" si="47"/>
        <v>-12528.645064361239</v>
      </c>
      <c r="EU27" s="114">
        <f t="shared" si="47"/>
        <v>-12600.279612411687</v>
      </c>
      <c r="EV27" s="114">
        <f t="shared" si="47"/>
        <v>-12673.725950278709</v>
      </c>
      <c r="EW27" s="114">
        <f t="shared" si="47"/>
        <v>-12740.087253597118</v>
      </c>
      <c r="EX27" s="114">
        <f t="shared" si="47"/>
        <v>-12813.271534041554</v>
      </c>
      <c r="EY27" s="114">
        <f t="shared" si="47"/>
        <v>-12885.417885515435</v>
      </c>
      <c r="EZ27" s="114">
        <f t="shared" si="47"/>
        <v>-12961.273655057896</v>
      </c>
      <c r="FA27" s="114">
        <f t="shared" si="47"/>
        <v>-13034.346461120367</v>
      </c>
      <c r="FB27" s="114">
        <f t="shared" si="47"/>
        <v>-13109.324943275396</v>
      </c>
      <c r="FC27" s="114">
        <f t="shared" si="47"/>
        <v>-13176.303082666827</v>
      </c>
      <c r="FD27" s="114">
        <f t="shared" si="47"/>
        <v>-13247.800336237966</v>
      </c>
      <c r="FE27" s="114">
        <f t="shared" si="47"/>
        <v>-13318.022706474601</v>
      </c>
      <c r="FF27" s="114">
        <f t="shared" si="47"/>
        <v>-13387.884100939367</v>
      </c>
      <c r="FG27" s="114">
        <f t="shared" si="47"/>
        <v>-13464.307750211054</v>
      </c>
      <c r="FH27" s="114">
        <f t="shared" si="47"/>
        <v>-13539.430616980548</v>
      </c>
      <c r="FI27" s="114">
        <f t="shared" si="47"/>
        <v>-13612.553275308854</v>
      </c>
      <c r="FJ27" s="114">
        <f t="shared" si="47"/>
        <v>-13683.680306426515</v>
      </c>
      <c r="FK27" s="114">
        <f t="shared" si="47"/>
        <v>-13753.484687892797</v>
      </c>
      <c r="FL27" s="114">
        <f t="shared" si="47"/>
        <v>-13828.532597962509</v>
      </c>
      <c r="FM27" s="114">
        <f t="shared" si="47"/>
        <v>-13901.753066112611</v>
      </c>
      <c r="FN27" s="114">
        <f t="shared" si="47"/>
        <v>-13972.399806141711</v>
      </c>
      <c r="FO27" s="114">
        <f t="shared" si="47"/>
        <v>-14041.64083505097</v>
      </c>
      <c r="FP27" s="114">
        <f t="shared" si="47"/>
        <v>-14111.059204193494</v>
      </c>
      <c r="FQ27" s="114">
        <f t="shared" si="47"/>
        <v>-14182.922189707642</v>
      </c>
      <c r="FR27" s="114">
        <f t="shared" si="47"/>
        <v>-14254.757083301809</v>
      </c>
      <c r="FS27" s="114">
        <f t="shared" si="47"/>
        <v>-14325.51423381213</v>
      </c>
      <c r="FT27" s="114">
        <f t="shared" si="47"/>
        <v>-14398.180926235091</v>
      </c>
      <c r="FU27" s="114">
        <f t="shared" si="47"/>
        <v>-14462.618625466548</v>
      </c>
      <c r="FV27" s="114">
        <f t="shared" si="47"/>
        <v>-14534.844530839668</v>
      </c>
      <c r="FW27" s="114">
        <f t="shared" si="47"/>
        <v>-14610.665958657144</v>
      </c>
      <c r="FX27" s="114">
        <f t="shared" si="47"/>
        <v>-14682.803191833216</v>
      </c>
      <c r="FY27" s="114">
        <f t="shared" si="47"/>
        <v>-14756.243715193685</v>
      </c>
      <c r="FZ27" s="114">
        <f t="shared" si="47"/>
        <v>-14828.363635804251</v>
      </c>
      <c r="GA27" s="114">
        <f t="shared" si="47"/>
        <v>-14898.741952109178</v>
      </c>
      <c r="GB27" s="114">
        <f t="shared" si="47"/>
        <v>-14965.269526744461</v>
      </c>
      <c r="GC27" s="114">
        <f t="shared" si="47"/>
        <v>-15028.457932917396</v>
      </c>
      <c r="GD27" s="114">
        <f t="shared" si="47"/>
        <v>-15092.331960210566</v>
      </c>
      <c r="GE27" s="114">
        <f t="shared" si="47"/>
        <v>-15156.328828740037</v>
      </c>
      <c r="GF27" s="114">
        <f t="shared" si="47"/>
        <v>-15220.674905717418</v>
      </c>
      <c r="GG27" s="114">
        <f t="shared" si="47"/>
        <v>-15287.197548217182</v>
      </c>
      <c r="GH27" s="114">
        <f t="shared" si="47"/>
        <v>-15351.672192638027</v>
      </c>
      <c r="GI27" s="114">
        <f t="shared" si="47"/>
        <v>-15418.901303171131</v>
      </c>
      <c r="GJ27" s="114">
        <f t="shared" si="47"/>
        <v>-15483.646772885202</v>
      </c>
      <c r="GK27" s="114">
        <f t="shared" si="47"/>
        <v>-15550.783399633252</v>
      </c>
      <c r="GL27" s="114">
        <f t="shared" si="47"/>
        <v>-15616.152174217023</v>
      </c>
      <c r="GM27" s="114">
        <f t="shared" si="47"/>
        <v>-15683.04058593453</v>
      </c>
      <c r="GN27" s="114">
        <f t="shared" ref="GN27:IY27" si="48">GM27+GN26</f>
        <v>-15748.765297308753</v>
      </c>
      <c r="GO27" s="114">
        <f t="shared" si="48"/>
        <v>-15814.578736505728</v>
      </c>
      <c r="GP27" s="114">
        <f t="shared" si="48"/>
        <v>-15880.032268475223</v>
      </c>
      <c r="GQ27" s="114">
        <f t="shared" si="48"/>
        <v>-15945.790092388492</v>
      </c>
      <c r="GR27" s="114">
        <f t="shared" si="48"/>
        <v>-16009.434214759345</v>
      </c>
      <c r="GS27" s="114">
        <f t="shared" si="48"/>
        <v>-16075.239251227007</v>
      </c>
      <c r="GT27" s="114">
        <f t="shared" si="48"/>
        <v>-16139.682057328186</v>
      </c>
      <c r="GU27" s="114">
        <f t="shared" si="48"/>
        <v>-16202.670899446173</v>
      </c>
      <c r="GV27" s="114">
        <f t="shared" si="48"/>
        <v>-16267.975294207425</v>
      </c>
      <c r="GW27" s="114">
        <f t="shared" si="48"/>
        <v>-16332.862868897042</v>
      </c>
      <c r="GX27" s="114">
        <f t="shared" si="48"/>
        <v>-16394.714444544166</v>
      </c>
      <c r="GY27" s="114">
        <f t="shared" si="48"/>
        <v>-16460.266164731805</v>
      </c>
      <c r="GZ27" s="114">
        <f t="shared" si="48"/>
        <v>-16523.198181593329</v>
      </c>
      <c r="HA27" s="114">
        <f t="shared" si="48"/>
        <v>-16585.59525895468</v>
      </c>
      <c r="HB27" s="114">
        <f t="shared" si="48"/>
        <v>-16648.457791968722</v>
      </c>
      <c r="HC27" s="114">
        <f t="shared" si="48"/>
        <v>-16707.735672678373</v>
      </c>
      <c r="HD27" s="114">
        <f t="shared" si="48"/>
        <v>-16770.338953618524</v>
      </c>
      <c r="HE27" s="114">
        <f t="shared" si="48"/>
        <v>-16834.891266506504</v>
      </c>
      <c r="HF27" s="114">
        <f t="shared" si="48"/>
        <v>-16901.247892491941</v>
      </c>
      <c r="HG27" s="114">
        <f t="shared" si="48"/>
        <v>-16967.223230461135</v>
      </c>
      <c r="HH27" s="114">
        <f t="shared" si="48"/>
        <v>-17033.496870075898</v>
      </c>
      <c r="HI27" s="114">
        <f t="shared" si="48"/>
        <v>-17097.629220768678</v>
      </c>
      <c r="HJ27" s="114">
        <f t="shared" si="48"/>
        <v>-17158.884844281129</v>
      </c>
      <c r="HK27" s="114">
        <f t="shared" si="48"/>
        <v>-17222.388471936851</v>
      </c>
      <c r="HL27" s="114">
        <f t="shared" si="48"/>
        <v>-17284.450533514464</v>
      </c>
      <c r="HM27" s="114">
        <f t="shared" si="48"/>
        <v>-17349.396979015335</v>
      </c>
      <c r="HN27" s="114">
        <f t="shared" si="48"/>
        <v>-17414.630827197165</v>
      </c>
      <c r="HO27" s="114">
        <f t="shared" si="48"/>
        <v>-17478.944360754758</v>
      </c>
      <c r="HP27" s="114">
        <f t="shared" si="48"/>
        <v>-17540.474683955774</v>
      </c>
      <c r="HQ27" s="114">
        <f t="shared" si="48"/>
        <v>-17600.705799416515</v>
      </c>
      <c r="HR27" s="114">
        <f t="shared" si="48"/>
        <v>-17659.352249837335</v>
      </c>
      <c r="HS27" s="114">
        <f t="shared" si="48"/>
        <v>-17722.427769679311</v>
      </c>
      <c r="HT27" s="114">
        <f t="shared" si="48"/>
        <v>-17780.923196498439</v>
      </c>
      <c r="HU27" s="114">
        <f t="shared" si="48"/>
        <v>-17842.421236983053</v>
      </c>
      <c r="HV27" s="114">
        <f t="shared" si="48"/>
        <v>-17903.514773688461</v>
      </c>
      <c r="HW27" s="114">
        <f t="shared" si="48"/>
        <v>-17961.310968750364</v>
      </c>
      <c r="HX27" s="114">
        <f t="shared" si="48"/>
        <v>-18020.402899306246</v>
      </c>
      <c r="HY27" s="114">
        <f t="shared" si="48"/>
        <v>-18079.98546529725</v>
      </c>
      <c r="HZ27" s="114">
        <f t="shared" si="48"/>
        <v>-18141.861868530974</v>
      </c>
      <c r="IA27" s="114">
        <f t="shared" si="48"/>
        <v>-18203.015169737198</v>
      </c>
      <c r="IB27" s="114">
        <f t="shared" si="48"/>
        <v>-18266.486295452698</v>
      </c>
      <c r="IC27" s="114">
        <f t="shared" si="48"/>
        <v>-18327.646056725513</v>
      </c>
      <c r="ID27" s="114">
        <f t="shared" si="48"/>
        <v>-18387.505299246328</v>
      </c>
      <c r="IE27" s="114">
        <f t="shared" si="48"/>
        <v>-18445.88462053828</v>
      </c>
      <c r="IF27" s="114">
        <f t="shared" si="48"/>
        <v>-18506.689868743884</v>
      </c>
      <c r="IG27" s="114">
        <f t="shared" si="48"/>
        <v>-18567.210580274324</v>
      </c>
      <c r="IH27" s="114">
        <f t="shared" si="48"/>
        <v>-18631.552478497852</v>
      </c>
      <c r="II27" s="114">
        <f t="shared" si="48"/>
        <v>-18690.722842941199</v>
      </c>
      <c r="IJ27" s="114">
        <f t="shared" si="48"/>
        <v>-18750.349390483378</v>
      </c>
      <c r="IK27" s="114">
        <f t="shared" si="48"/>
        <v>-18813.181479321694</v>
      </c>
      <c r="IL27" s="114">
        <f t="shared" si="48"/>
        <v>-18874.296458910379</v>
      </c>
      <c r="IM27" s="114">
        <f t="shared" si="48"/>
        <v>-18933.423530961983</v>
      </c>
      <c r="IN27" s="114">
        <f t="shared" si="48"/>
        <v>-18993.539382190411</v>
      </c>
      <c r="IO27" s="114">
        <f t="shared" si="48"/>
        <v>-19050.072038689694</v>
      </c>
      <c r="IP27" s="114">
        <f t="shared" si="48"/>
        <v>-19109.25800840438</v>
      </c>
      <c r="IQ27" s="114">
        <f t="shared" si="48"/>
        <v>-19170.792246001532</v>
      </c>
      <c r="IR27" s="114">
        <f t="shared" si="48"/>
        <v>-19229.596734259372</v>
      </c>
      <c r="IS27" s="114">
        <f t="shared" si="48"/>
        <v>-19292.139351318194</v>
      </c>
      <c r="IT27" s="114">
        <f t="shared" si="48"/>
        <v>-19351.161666633008</v>
      </c>
      <c r="IU27" s="114">
        <f t="shared" si="48"/>
        <v>-19407.321705986513</v>
      </c>
      <c r="IV27" s="114">
        <f t="shared" si="48"/>
        <v>-19464.782660854191</v>
      </c>
      <c r="IW27" s="114">
        <f t="shared" si="48"/>
        <v>-19525.136656650797</v>
      </c>
      <c r="IX27" s="114">
        <f t="shared" si="48"/>
        <v>-19584.708890784113</v>
      </c>
      <c r="IY27" s="114">
        <f t="shared" si="48"/>
        <v>-19644.463770749146</v>
      </c>
      <c r="IZ27" s="114">
        <f t="shared" ref="IZ27:KP27" si="49">IY27+IZ26</f>
        <v>-19704.360820244954</v>
      </c>
      <c r="JA27" s="114">
        <f t="shared" si="49"/>
        <v>-19761.424921111924</v>
      </c>
      <c r="JB27" s="114">
        <f t="shared" si="49"/>
        <v>-19818.666573531194</v>
      </c>
      <c r="JC27" s="114">
        <f t="shared" si="49"/>
        <v>-19872.888043180737</v>
      </c>
      <c r="JD27" s="114">
        <f t="shared" si="49"/>
        <v>-19927.68802730961</v>
      </c>
      <c r="JE27" s="114">
        <f t="shared" si="49"/>
        <v>-19983.562374265079</v>
      </c>
      <c r="JF27" s="114">
        <f t="shared" si="49"/>
        <v>-20043.340259900939</v>
      </c>
      <c r="JG27" s="114">
        <f t="shared" si="49"/>
        <v>-20104.935401231967</v>
      </c>
      <c r="JH27" s="114">
        <f t="shared" si="49"/>
        <v>-20163.947872618675</v>
      </c>
      <c r="JI27" s="114">
        <f t="shared" si="49"/>
        <v>-20223.791571494305</v>
      </c>
      <c r="JJ27" s="114">
        <f t="shared" si="49"/>
        <v>-20283.060949190869</v>
      </c>
      <c r="JK27" s="114">
        <f t="shared" si="49"/>
        <v>-20339.592770805921</v>
      </c>
      <c r="JL27" s="114">
        <f t="shared" si="49"/>
        <v>-20399.512261617023</v>
      </c>
      <c r="JM27" s="114">
        <f t="shared" si="49"/>
        <v>-20458.24331124327</v>
      </c>
      <c r="JN27" s="114">
        <f t="shared" si="49"/>
        <v>-20517.122175791403</v>
      </c>
      <c r="JO27" s="114">
        <f t="shared" si="49"/>
        <v>-20580.925625567077</v>
      </c>
      <c r="JP27" s="114">
        <f t="shared" si="49"/>
        <v>-20641.347255259905</v>
      </c>
      <c r="JQ27" s="114">
        <f t="shared" si="49"/>
        <v>-20700.707153352829</v>
      </c>
      <c r="JR27" s="114">
        <f t="shared" si="49"/>
        <v>-20758.570282771267</v>
      </c>
      <c r="JS27" s="114">
        <f t="shared" si="49"/>
        <v>-20814.804965978758</v>
      </c>
      <c r="JT27" s="114">
        <f t="shared" si="49"/>
        <v>-20870.795055422743</v>
      </c>
      <c r="JU27" s="114">
        <f t="shared" si="49"/>
        <v>-20927.389443229556</v>
      </c>
      <c r="JV27" s="114">
        <f t="shared" si="49"/>
        <v>-20983.768511349117</v>
      </c>
      <c r="JW27" s="114">
        <f t="shared" si="49"/>
        <v>-21042.311486681894</v>
      </c>
      <c r="JX27" s="114">
        <f t="shared" si="49"/>
        <v>-21100.812539269205</v>
      </c>
      <c r="JY27" s="114">
        <f t="shared" si="49"/>
        <v>-21158.932696850952</v>
      </c>
      <c r="JZ27" s="114">
        <f t="shared" si="49"/>
        <v>-21213.836227707478</v>
      </c>
      <c r="KA27" s="114">
        <f t="shared" si="49"/>
        <v>-21270.482282029574</v>
      </c>
      <c r="KB27" s="114">
        <f t="shared" si="49"/>
        <v>-21326.776740889563</v>
      </c>
      <c r="KC27" s="114">
        <f t="shared" si="49"/>
        <v>-21380.402064018926</v>
      </c>
      <c r="KD27" s="114">
        <f t="shared" si="49"/>
        <v>-21435.902747380045</v>
      </c>
      <c r="KE27" s="114">
        <f t="shared" si="49"/>
        <v>-21490.656520790559</v>
      </c>
      <c r="KF27" s="114">
        <f t="shared" si="49"/>
        <v>-21547.268227640809</v>
      </c>
      <c r="KG27" s="114">
        <f t="shared" si="49"/>
        <v>-21602.303768632351</v>
      </c>
      <c r="KH27" s="114">
        <f t="shared" si="49"/>
        <v>-21655.722970341943</v>
      </c>
      <c r="KI27" s="114">
        <f t="shared" si="49"/>
        <v>-21709.979523291284</v>
      </c>
      <c r="KJ27" s="114">
        <f t="shared" si="49"/>
        <v>-21763.370039127749</v>
      </c>
      <c r="KK27" s="114">
        <f t="shared" si="49"/>
        <v>-21818.207945105605</v>
      </c>
      <c r="KL27" s="114">
        <f t="shared" si="49"/>
        <v>-21839.184374266471</v>
      </c>
      <c r="KM27" s="114">
        <f t="shared" si="49"/>
        <v>-21860.084718178539</v>
      </c>
      <c r="KN27" s="114">
        <f t="shared" si="49"/>
        <v>-21880.909252816575</v>
      </c>
      <c r="KO27" s="114">
        <f t="shared" si="49"/>
        <v>-21901.658253154332</v>
      </c>
      <c r="KP27" s="114">
        <f t="shared" si="49"/>
        <v>-21922.331993168187</v>
      </c>
    </row>
    <row r="29" spans="1:302" ht="14" customHeight="1" x14ac:dyDescent="0.2">
      <c r="A29" s="154" t="s">
        <v>452</v>
      </c>
      <c r="B29" s="155"/>
      <c r="C29" s="103"/>
      <c r="D29" s="103"/>
      <c r="E29" s="103"/>
      <c r="F29" s="103"/>
      <c r="G29" s="103"/>
      <c r="H29" s="103"/>
      <c r="I29" s="103"/>
      <c r="J29" s="103"/>
      <c r="K29" s="103"/>
      <c r="L29" s="103"/>
      <c r="M29" s="103"/>
      <c r="N29" s="103"/>
      <c r="O29" s="103"/>
      <c r="P29" s="103"/>
      <c r="Q29" s="103"/>
      <c r="R29" s="103"/>
      <c r="S29" s="103"/>
      <c r="T29" s="103"/>
      <c r="U29" s="103"/>
      <c r="V29" s="103"/>
      <c r="W29" s="103"/>
      <c r="X29" s="103"/>
      <c r="Y29" s="103"/>
      <c r="Z29" s="103"/>
      <c r="AA29" s="103"/>
      <c r="AB29" s="103"/>
      <c r="AC29" s="103"/>
      <c r="AD29" s="103"/>
      <c r="AE29" s="103"/>
      <c r="AF29" s="103"/>
      <c r="AG29" s="103"/>
      <c r="AH29" s="103"/>
      <c r="AI29" s="103"/>
      <c r="AJ29" s="103"/>
      <c r="AK29" s="103"/>
      <c r="AL29" s="103"/>
      <c r="AM29" s="103"/>
      <c r="AN29" s="103"/>
      <c r="AO29" s="103"/>
      <c r="AP29" s="103"/>
      <c r="AQ29" s="103"/>
      <c r="AR29" s="103"/>
      <c r="AS29" s="103"/>
      <c r="AT29" s="103"/>
      <c r="AU29" s="103"/>
      <c r="AV29" s="103"/>
      <c r="AW29" s="103"/>
      <c r="AX29" s="103"/>
      <c r="AY29" s="103"/>
      <c r="AZ29" s="103"/>
      <c r="BA29" s="103"/>
      <c r="BB29" s="103"/>
      <c r="BC29" s="103"/>
      <c r="BD29" s="103"/>
      <c r="BE29" s="103"/>
      <c r="BF29" s="103"/>
      <c r="BG29" s="103"/>
      <c r="BH29" s="103"/>
      <c r="BI29" s="103"/>
      <c r="BJ29" s="103"/>
      <c r="BK29" s="103"/>
      <c r="BL29" s="103"/>
      <c r="BM29" s="103"/>
      <c r="BN29" s="103"/>
      <c r="BO29" s="103"/>
      <c r="BP29" s="103"/>
      <c r="BQ29" s="103"/>
      <c r="BR29" s="103"/>
      <c r="BS29" s="103"/>
      <c r="BT29" s="103"/>
      <c r="BU29" s="103"/>
      <c r="BV29" s="103"/>
      <c r="BW29" s="103"/>
      <c r="BX29" s="103"/>
      <c r="BY29" s="103"/>
      <c r="BZ29" s="103"/>
      <c r="CA29" s="103"/>
      <c r="CB29" s="103"/>
      <c r="CC29" s="103"/>
      <c r="CD29" s="103"/>
      <c r="CE29" s="103"/>
      <c r="CF29" s="103"/>
      <c r="CG29" s="103"/>
      <c r="CH29" s="103"/>
      <c r="CI29" s="103"/>
      <c r="CJ29" s="103"/>
      <c r="CK29" s="103"/>
      <c r="CL29" s="103"/>
      <c r="CM29" s="103"/>
      <c r="CN29" s="103"/>
      <c r="CO29" s="103"/>
      <c r="CP29" s="103"/>
      <c r="CQ29" s="103"/>
      <c r="CR29" s="103"/>
      <c r="CS29" s="103"/>
      <c r="CT29" s="103"/>
      <c r="CU29" s="103"/>
      <c r="CV29" s="103"/>
      <c r="CW29" s="103"/>
      <c r="CX29" s="103"/>
      <c r="CY29" s="103"/>
      <c r="CZ29" s="103"/>
      <c r="DA29" s="103"/>
      <c r="DB29" s="103"/>
      <c r="DC29" s="103"/>
      <c r="DD29" s="103"/>
      <c r="DE29" s="103"/>
      <c r="DF29" s="103"/>
      <c r="DG29" s="103"/>
      <c r="DH29" s="103"/>
      <c r="DI29" s="103"/>
      <c r="DJ29" s="103"/>
      <c r="DK29" s="103"/>
      <c r="DL29" s="103"/>
      <c r="DM29" s="103"/>
      <c r="DN29" s="103"/>
      <c r="DO29" s="103"/>
      <c r="DP29" s="103"/>
      <c r="DQ29" s="103"/>
      <c r="DR29" s="103"/>
      <c r="DS29" s="103"/>
      <c r="DT29" s="103"/>
      <c r="DU29" s="103"/>
      <c r="DV29" s="103"/>
      <c r="DW29" s="103"/>
      <c r="DX29" s="103"/>
      <c r="DY29" s="103"/>
      <c r="DZ29" s="103"/>
      <c r="EA29" s="103"/>
      <c r="EB29" s="103"/>
      <c r="EC29" s="103"/>
      <c r="ED29" s="103"/>
      <c r="EE29" s="103"/>
      <c r="EF29" s="103"/>
      <c r="EG29" s="103"/>
      <c r="EH29" s="103"/>
      <c r="EI29" s="103"/>
      <c r="EJ29" s="103"/>
      <c r="EK29" s="103"/>
      <c r="EL29" s="103"/>
      <c r="EM29" s="103"/>
      <c r="EN29" s="103"/>
      <c r="EO29" s="103"/>
      <c r="EP29" s="103"/>
      <c r="EQ29" s="103"/>
      <c r="ER29" s="103"/>
      <c r="ES29" s="103"/>
      <c r="ET29" s="103"/>
      <c r="EU29" s="103"/>
      <c r="EV29" s="103"/>
      <c r="EW29" s="103"/>
      <c r="EX29" s="103"/>
      <c r="EY29" s="103"/>
      <c r="EZ29" s="103"/>
      <c r="FA29" s="103"/>
      <c r="FB29" s="103"/>
      <c r="FC29" s="103"/>
      <c r="FD29" s="103"/>
      <c r="FE29" s="103"/>
      <c r="FF29" s="103"/>
      <c r="FG29" s="103"/>
      <c r="FH29" s="103"/>
      <c r="FI29" s="103"/>
      <c r="FJ29" s="103"/>
      <c r="FK29" s="103"/>
      <c r="FL29" s="103"/>
      <c r="FM29" s="103"/>
      <c r="FN29" s="103"/>
      <c r="FO29" s="103"/>
      <c r="FP29" s="103"/>
      <c r="FQ29" s="103"/>
      <c r="FR29" s="103"/>
      <c r="FS29" s="103"/>
      <c r="FT29" s="103"/>
      <c r="FU29" s="103"/>
      <c r="FV29" s="103"/>
      <c r="FW29" s="103"/>
      <c r="FX29" s="103"/>
      <c r="FY29" s="103"/>
      <c r="FZ29" s="103"/>
      <c r="GA29" s="103"/>
      <c r="GB29" s="103"/>
      <c r="GC29" s="103"/>
      <c r="GD29" s="103"/>
      <c r="GE29" s="103"/>
      <c r="GF29" s="103"/>
      <c r="GG29" s="103"/>
      <c r="GH29" s="103"/>
      <c r="GI29" s="103"/>
      <c r="GJ29" s="103"/>
      <c r="GK29" s="103"/>
      <c r="GL29" s="103"/>
      <c r="GM29" s="103"/>
      <c r="GN29" s="103"/>
      <c r="GO29" s="103"/>
      <c r="GP29" s="103"/>
      <c r="GQ29" s="103"/>
      <c r="GR29" s="103"/>
      <c r="GS29" s="103"/>
      <c r="GT29" s="103"/>
      <c r="GU29" s="103"/>
      <c r="GV29" s="103"/>
      <c r="GW29" s="103"/>
      <c r="GX29" s="103"/>
      <c r="GY29" s="103"/>
      <c r="GZ29" s="103"/>
      <c r="HA29" s="103"/>
      <c r="HB29" s="103"/>
      <c r="HC29" s="103"/>
      <c r="HD29" s="103"/>
      <c r="HE29" s="103"/>
      <c r="HF29" s="103"/>
      <c r="HG29" s="103"/>
      <c r="HH29" s="103"/>
      <c r="HI29" s="103"/>
      <c r="HJ29" s="103"/>
      <c r="HK29" s="103"/>
      <c r="HL29" s="103"/>
      <c r="HM29" s="103"/>
      <c r="HN29" s="103"/>
      <c r="HO29" s="103"/>
      <c r="HP29" s="103"/>
      <c r="HQ29" s="103"/>
      <c r="HR29" s="103"/>
      <c r="HS29" s="103"/>
      <c r="HT29" s="103"/>
      <c r="HU29" s="103"/>
      <c r="HV29" s="103"/>
      <c r="HW29" s="103"/>
      <c r="HX29" s="103"/>
      <c r="HY29" s="103"/>
      <c r="HZ29" s="103"/>
      <c r="IA29" s="103"/>
      <c r="IB29" s="103"/>
      <c r="IC29" s="103"/>
      <c r="ID29" s="103"/>
      <c r="IE29" s="103"/>
      <c r="IF29" s="103"/>
      <c r="IG29" s="103"/>
      <c r="IH29" s="103"/>
      <c r="II29" s="103"/>
      <c r="IJ29" s="103"/>
      <c r="IK29" s="103"/>
      <c r="IL29" s="103"/>
      <c r="IM29" s="103"/>
      <c r="IN29" s="103"/>
      <c r="IO29" s="103"/>
      <c r="IP29" s="103"/>
      <c r="IQ29" s="103"/>
      <c r="IR29" s="103"/>
      <c r="IS29" s="103"/>
      <c r="IT29" s="103"/>
      <c r="IU29" s="103"/>
      <c r="IV29" s="103"/>
      <c r="IW29" s="103"/>
      <c r="IX29" s="103"/>
      <c r="IY29" s="103"/>
      <c r="IZ29" s="103"/>
      <c r="JA29" s="103"/>
      <c r="JB29" s="103"/>
      <c r="JC29" s="103"/>
      <c r="JD29" s="103"/>
      <c r="JE29" s="103"/>
      <c r="JF29" s="103"/>
      <c r="JG29" s="103"/>
      <c r="JH29" s="103"/>
      <c r="JI29" s="103"/>
      <c r="JJ29" s="103"/>
      <c r="JK29" s="103"/>
      <c r="JL29" s="103"/>
      <c r="JM29" s="103"/>
      <c r="JN29" s="103"/>
      <c r="JO29" s="103"/>
      <c r="JP29" s="103"/>
      <c r="JQ29" s="103"/>
      <c r="JR29" s="103"/>
      <c r="JS29" s="103"/>
      <c r="JT29" s="103"/>
      <c r="JU29" s="103"/>
      <c r="JV29" s="103"/>
      <c r="JW29" s="103"/>
      <c r="JX29" s="103"/>
      <c r="JY29" s="103"/>
      <c r="JZ29" s="103"/>
      <c r="KA29" s="103"/>
      <c r="KB29" s="103"/>
      <c r="KC29" s="103"/>
      <c r="KD29" s="103"/>
      <c r="KE29" s="103"/>
      <c r="KF29" s="103"/>
      <c r="KG29" s="103"/>
      <c r="KH29" s="103"/>
      <c r="KI29" s="103"/>
      <c r="KJ29" s="103"/>
      <c r="KK29" s="103"/>
      <c r="KL29" s="103"/>
      <c r="KM29" s="103"/>
      <c r="KN29" s="103"/>
      <c r="KO29" s="103"/>
      <c r="KP29" s="103"/>
    </row>
    <row r="30" spans="1:302" ht="16" customHeight="1" x14ac:dyDescent="0.2">
      <c r="A30" s="104" t="s">
        <v>440</v>
      </c>
      <c r="B30" s="105" t="s">
        <v>99</v>
      </c>
      <c r="C30" s="106">
        <f>Assumptions!$E$16*(1-Assumptions!$E$23)^0</f>
        <v>4464.5704999999989</v>
      </c>
      <c r="D30" s="106">
        <f>Assumptions!$E$16*(1-Assumptions!$E$23)^0</f>
        <v>4464.5704999999989</v>
      </c>
      <c r="E30" s="106">
        <f>Assumptions!$E$16*(1-Assumptions!$E$23)^0</f>
        <v>4464.5704999999989</v>
      </c>
      <c r="F30" s="106">
        <f>Assumptions!$E$16*(1-Assumptions!$E$23)^0</f>
        <v>4464.5704999999989</v>
      </c>
      <c r="G30" s="106">
        <f>Assumptions!$E$16*(1-Assumptions!$E$23)^0</f>
        <v>4464.5704999999989</v>
      </c>
      <c r="H30" s="106">
        <f>Assumptions!$E$16*(1-Assumptions!$E$23)^0</f>
        <v>4464.5704999999989</v>
      </c>
      <c r="I30" s="106">
        <f>Assumptions!$E$16*(1-Assumptions!$E$23)^0</f>
        <v>4464.5704999999989</v>
      </c>
      <c r="J30" s="106">
        <f>Assumptions!$E$16*(1-Assumptions!$E$23)^0</f>
        <v>4464.5704999999989</v>
      </c>
      <c r="K30" s="106">
        <f>Assumptions!$E$16*(1-Assumptions!$E$23)^0</f>
        <v>4464.5704999999989</v>
      </c>
      <c r="L30" s="106">
        <f>Assumptions!$E$16*(1-Assumptions!$E$23)^0</f>
        <v>4464.5704999999989</v>
      </c>
      <c r="M30" s="106">
        <f>Assumptions!$E$16*(1-Assumptions!$E$23)^0</f>
        <v>4464.5704999999989</v>
      </c>
      <c r="N30" s="106">
        <f>Assumptions!$E$16*(1-Assumptions!$E$23)^0</f>
        <v>4464.5704999999989</v>
      </c>
      <c r="O30" s="106">
        <f>Assumptions!$E$16*(1-Assumptions!$E$23)^1</f>
        <v>4442.2476474999985</v>
      </c>
      <c r="P30" s="106">
        <f>Assumptions!$E$16*(1-Assumptions!$E$23)^1</f>
        <v>4442.2476474999985</v>
      </c>
      <c r="Q30" s="106">
        <f>Assumptions!$E$16*(1-Assumptions!$E$23)^1</f>
        <v>4442.2476474999985</v>
      </c>
      <c r="R30" s="106">
        <f>Assumptions!$E$16*(1-Assumptions!$E$23)^1</f>
        <v>4442.2476474999985</v>
      </c>
      <c r="S30" s="106">
        <f>Assumptions!$E$16*(1-Assumptions!$E$23)^1</f>
        <v>4442.2476474999985</v>
      </c>
      <c r="T30" s="106">
        <f>Assumptions!$E$16*(1-Assumptions!$E$23)^1</f>
        <v>4442.2476474999985</v>
      </c>
      <c r="U30" s="106">
        <f>Assumptions!$E$16*(1-Assumptions!$E$23)^1</f>
        <v>4442.2476474999985</v>
      </c>
      <c r="V30" s="106">
        <f>Assumptions!$E$16*(1-Assumptions!$E$23)^1</f>
        <v>4442.2476474999985</v>
      </c>
      <c r="W30" s="106">
        <f>Assumptions!$E$16*(1-Assumptions!$E$23)^1</f>
        <v>4442.2476474999985</v>
      </c>
      <c r="X30" s="106">
        <f>Assumptions!$E$16*(1-Assumptions!$E$23)^1</f>
        <v>4442.2476474999985</v>
      </c>
      <c r="Y30" s="106">
        <f>Assumptions!$E$16*(1-Assumptions!$E$23)^1</f>
        <v>4442.2476474999985</v>
      </c>
      <c r="Z30" s="106">
        <f>Assumptions!$E$16*(1-Assumptions!$E$23)^1</f>
        <v>4442.2476474999985</v>
      </c>
      <c r="AA30" s="106">
        <f>Assumptions!$E$16*(1-Assumptions!$E$23)^2</f>
        <v>4420.0364092624995</v>
      </c>
      <c r="AB30" s="106">
        <f>Assumptions!$E$16*(1-Assumptions!$E$23)^2</f>
        <v>4420.0364092624995</v>
      </c>
      <c r="AC30" s="106">
        <f>Assumptions!$E$16*(1-Assumptions!$E$23)^2</f>
        <v>4420.0364092624995</v>
      </c>
      <c r="AD30" s="106">
        <f>Assumptions!$E$16*(1-Assumptions!$E$23)^2</f>
        <v>4420.0364092624995</v>
      </c>
      <c r="AE30" s="106">
        <f>Assumptions!$E$16*(1-Assumptions!$E$23)^2</f>
        <v>4420.0364092624995</v>
      </c>
      <c r="AF30" s="106">
        <f>Assumptions!$E$16*(1-Assumptions!$E$23)^2</f>
        <v>4420.0364092624995</v>
      </c>
      <c r="AG30" s="106">
        <f>Assumptions!$E$16*(1-Assumptions!$E$23)^2</f>
        <v>4420.0364092624995</v>
      </c>
      <c r="AH30" s="106">
        <f>Assumptions!$E$16*(1-Assumptions!$E$23)^2</f>
        <v>4420.0364092624995</v>
      </c>
      <c r="AI30" s="106">
        <f>Assumptions!$E$16*(1-Assumptions!$E$23)^2</f>
        <v>4420.0364092624995</v>
      </c>
      <c r="AJ30" s="106">
        <f>Assumptions!$E$16*(1-Assumptions!$E$23)^2</f>
        <v>4420.0364092624995</v>
      </c>
      <c r="AK30" s="106">
        <f>Assumptions!$E$16*(1-Assumptions!$E$23)^2</f>
        <v>4420.0364092624995</v>
      </c>
      <c r="AL30" s="106">
        <f>Assumptions!$E$16*(1-Assumptions!$E$23)^2</f>
        <v>4420.0364092624995</v>
      </c>
      <c r="AM30" s="106">
        <f>Assumptions!$E$16*(1-Assumptions!$E$23)^3</f>
        <v>4397.9362272161861</v>
      </c>
      <c r="AN30" s="106">
        <f>Assumptions!$E$16*(1-Assumptions!$E$23)^3</f>
        <v>4397.9362272161861</v>
      </c>
      <c r="AO30" s="106">
        <f>Assumptions!$E$16*(1-Assumptions!$E$23)^3</f>
        <v>4397.9362272161861</v>
      </c>
      <c r="AP30" s="106">
        <f>Assumptions!$E$16*(1-Assumptions!$E$23)^3</f>
        <v>4397.9362272161861</v>
      </c>
      <c r="AQ30" s="106">
        <f>Assumptions!$E$16*(1-Assumptions!$E$23)^3</f>
        <v>4397.9362272161861</v>
      </c>
      <c r="AR30" s="106">
        <f>Assumptions!$E$16*(1-Assumptions!$E$23)^3</f>
        <v>4397.9362272161861</v>
      </c>
      <c r="AS30" s="106">
        <f>Assumptions!$E$16*(1-Assumptions!$E$23)^3</f>
        <v>4397.9362272161861</v>
      </c>
      <c r="AT30" s="106">
        <f>Assumptions!$E$16*(1-Assumptions!$E$23)^3</f>
        <v>4397.9362272161861</v>
      </c>
      <c r="AU30" s="106">
        <f>Assumptions!$E$16*(1-Assumptions!$E$23)^3</f>
        <v>4397.9362272161861</v>
      </c>
      <c r="AV30" s="106">
        <f>Assumptions!$E$16*(1-Assumptions!$E$23)^3</f>
        <v>4397.9362272161861</v>
      </c>
      <c r="AW30" s="106">
        <f>Assumptions!$E$16*(1-Assumptions!$E$23)^3</f>
        <v>4397.9362272161861</v>
      </c>
      <c r="AX30" s="106">
        <f>Assumptions!$E$16*(1-Assumptions!$E$23)^3</f>
        <v>4397.9362272161861</v>
      </c>
      <c r="AY30" s="106">
        <f>Assumptions!$E$16*(1-Assumptions!$E$23)^4</f>
        <v>4375.9465460801057</v>
      </c>
      <c r="AZ30" s="106">
        <f>Assumptions!$E$16*(1-Assumptions!$E$23)^4</f>
        <v>4375.9465460801057</v>
      </c>
      <c r="BA30" s="106">
        <f>Assumptions!$E$16*(1-Assumptions!$E$23)^4</f>
        <v>4375.9465460801057</v>
      </c>
      <c r="BB30" s="106">
        <f>Assumptions!$E$16*(1-Assumptions!$E$23)^4</f>
        <v>4375.9465460801057</v>
      </c>
      <c r="BC30" s="106">
        <f>Assumptions!$E$16*(1-Assumptions!$E$23)^4</f>
        <v>4375.9465460801057</v>
      </c>
      <c r="BD30" s="106">
        <f>Assumptions!$E$16*(1-Assumptions!$E$23)^4</f>
        <v>4375.9465460801057</v>
      </c>
      <c r="BE30" s="106">
        <f>Assumptions!$E$16*(1-Assumptions!$E$23)^4</f>
        <v>4375.9465460801057</v>
      </c>
      <c r="BF30" s="106">
        <f>Assumptions!$E$16*(1-Assumptions!$E$23)^4</f>
        <v>4375.9465460801057</v>
      </c>
      <c r="BG30" s="106">
        <f>Assumptions!$E$16*(1-Assumptions!$E$23)^4</f>
        <v>4375.9465460801057</v>
      </c>
      <c r="BH30" s="106">
        <f>Assumptions!$E$16*(1-Assumptions!$E$23)^4</f>
        <v>4375.9465460801057</v>
      </c>
      <c r="BI30" s="106">
        <f>Assumptions!$E$16*(1-Assumptions!$E$23)^4</f>
        <v>4375.9465460801057</v>
      </c>
      <c r="BJ30" s="106">
        <f>Assumptions!$E$16*(1-Assumptions!$E$23)^4</f>
        <v>4375.9465460801057</v>
      </c>
      <c r="BK30" s="106">
        <f>Assumptions!$E$16*(1-Assumptions!$E$23)^5</f>
        <v>4354.0668133497056</v>
      </c>
      <c r="BL30" s="106">
        <f>Assumptions!$E$16*(1-Assumptions!$E$23)^5</f>
        <v>4354.0668133497056</v>
      </c>
      <c r="BM30" s="106">
        <f>Assumptions!$E$16*(1-Assumptions!$E$23)^5</f>
        <v>4354.0668133497056</v>
      </c>
      <c r="BN30" s="106">
        <f>Assumptions!$E$16*(1-Assumptions!$E$23)^5</f>
        <v>4354.0668133497056</v>
      </c>
      <c r="BO30" s="106">
        <f>Assumptions!$E$16*(1-Assumptions!$E$23)^5</f>
        <v>4354.0668133497056</v>
      </c>
      <c r="BP30" s="106">
        <f>Assumptions!$E$16*(1-Assumptions!$E$23)^5</f>
        <v>4354.0668133497056</v>
      </c>
      <c r="BQ30" s="106">
        <f>Assumptions!$E$16*(1-Assumptions!$E$23)^5</f>
        <v>4354.0668133497056</v>
      </c>
      <c r="BR30" s="106">
        <f>Assumptions!$E$16*(1-Assumptions!$E$23)^5</f>
        <v>4354.0668133497056</v>
      </c>
      <c r="BS30" s="106">
        <f>Assumptions!$E$16*(1-Assumptions!$E$23)^5</f>
        <v>4354.0668133497056</v>
      </c>
      <c r="BT30" s="106">
        <f>Assumptions!$E$16*(1-Assumptions!$E$23)^5</f>
        <v>4354.0668133497056</v>
      </c>
      <c r="BU30" s="106">
        <f>Assumptions!$E$16*(1-Assumptions!$E$23)^5</f>
        <v>4354.0668133497056</v>
      </c>
      <c r="BV30" s="106">
        <f>Assumptions!$E$16*(1-Assumptions!$E$23)^5</f>
        <v>4354.0668133497056</v>
      </c>
      <c r="BW30" s="106">
        <f>Assumptions!$E$16*(1-Assumptions!$E$23)^6</f>
        <v>4332.2964792829571</v>
      </c>
      <c r="BX30" s="106">
        <f>Assumptions!$E$16*(1-Assumptions!$E$23)^6</f>
        <v>4332.2964792829571</v>
      </c>
      <c r="BY30" s="106">
        <f>Assumptions!$E$16*(1-Assumptions!$E$23)^6</f>
        <v>4332.2964792829571</v>
      </c>
      <c r="BZ30" s="106">
        <f>Assumptions!$E$16*(1-Assumptions!$E$23)^6</f>
        <v>4332.2964792829571</v>
      </c>
      <c r="CA30" s="106">
        <f>Assumptions!$E$16*(1-Assumptions!$E$23)^6</f>
        <v>4332.2964792829571</v>
      </c>
      <c r="CB30" s="106">
        <f>Assumptions!$E$16*(1-Assumptions!$E$23)^6</f>
        <v>4332.2964792829571</v>
      </c>
      <c r="CC30" s="106">
        <f>Assumptions!$E$16*(1-Assumptions!$E$23)^6</f>
        <v>4332.2964792829571</v>
      </c>
      <c r="CD30" s="106">
        <f>Assumptions!$E$16*(1-Assumptions!$E$23)^6</f>
        <v>4332.2964792829571</v>
      </c>
      <c r="CE30" s="106">
        <f>Assumptions!$E$16*(1-Assumptions!$E$23)^6</f>
        <v>4332.2964792829571</v>
      </c>
      <c r="CF30" s="106">
        <f>Assumptions!$E$16*(1-Assumptions!$E$23)^6</f>
        <v>4332.2964792829571</v>
      </c>
      <c r="CG30" s="106">
        <f>Assumptions!$E$16*(1-Assumptions!$E$23)^6</f>
        <v>4332.2964792829571</v>
      </c>
      <c r="CH30" s="106">
        <f>Assumptions!$E$16*(1-Assumptions!$E$23)^6</f>
        <v>4332.2964792829571</v>
      </c>
      <c r="CI30" s="106">
        <f>Assumptions!$E$16*(1-Assumptions!$E$23)^7</f>
        <v>4310.6349968865416</v>
      </c>
      <c r="CJ30" s="106">
        <f>Assumptions!$E$16*(1-Assumptions!$E$23)^7</f>
        <v>4310.6349968865416</v>
      </c>
      <c r="CK30" s="106">
        <f>Assumptions!$E$16*(1-Assumptions!$E$23)^7</f>
        <v>4310.6349968865416</v>
      </c>
      <c r="CL30" s="106">
        <f>Assumptions!$E$16*(1-Assumptions!$E$23)^7</f>
        <v>4310.6349968865416</v>
      </c>
      <c r="CM30" s="106">
        <f>Assumptions!$E$16*(1-Assumptions!$E$23)^7</f>
        <v>4310.6349968865416</v>
      </c>
      <c r="CN30" s="106">
        <f>Assumptions!$E$16*(1-Assumptions!$E$23)^7</f>
        <v>4310.6349968865416</v>
      </c>
      <c r="CO30" s="106">
        <f>Assumptions!$E$16*(1-Assumptions!$E$23)^7</f>
        <v>4310.6349968865416</v>
      </c>
      <c r="CP30" s="106">
        <f>Assumptions!$E$16*(1-Assumptions!$E$23)^7</f>
        <v>4310.6349968865416</v>
      </c>
      <c r="CQ30" s="106">
        <f>Assumptions!$E$16*(1-Assumptions!$E$23)^7</f>
        <v>4310.6349968865416</v>
      </c>
      <c r="CR30" s="106">
        <f>Assumptions!$E$16*(1-Assumptions!$E$23)^7</f>
        <v>4310.6349968865416</v>
      </c>
      <c r="CS30" s="106">
        <f>Assumptions!$E$16*(1-Assumptions!$E$23)^7</f>
        <v>4310.6349968865416</v>
      </c>
      <c r="CT30" s="106">
        <f>Assumptions!$E$16*(1-Assumptions!$E$23)^7</f>
        <v>4310.6349968865416</v>
      </c>
      <c r="CU30" s="106">
        <f>Assumptions!$E$16*(1-Assumptions!$E$23)^8</f>
        <v>4289.0818219021094</v>
      </c>
      <c r="CV30" s="106">
        <f>Assumptions!$E$16*(1-Assumptions!$E$23)^8</f>
        <v>4289.0818219021094</v>
      </c>
      <c r="CW30" s="106">
        <f>Assumptions!$E$16*(1-Assumptions!$E$23)^8</f>
        <v>4289.0818219021094</v>
      </c>
      <c r="CX30" s="106">
        <f>Assumptions!$E$16*(1-Assumptions!$E$23)^8</f>
        <v>4289.0818219021094</v>
      </c>
      <c r="CY30" s="106">
        <f>Assumptions!$E$16*(1-Assumptions!$E$23)^8</f>
        <v>4289.0818219021094</v>
      </c>
      <c r="CZ30" s="106">
        <f>Assumptions!$E$16*(1-Assumptions!$E$23)^8</f>
        <v>4289.0818219021094</v>
      </c>
      <c r="DA30" s="106">
        <f>Assumptions!$E$16*(1-Assumptions!$E$23)^8</f>
        <v>4289.0818219021094</v>
      </c>
      <c r="DB30" s="106">
        <f>Assumptions!$E$16*(1-Assumptions!$E$23)^8</f>
        <v>4289.0818219021094</v>
      </c>
      <c r="DC30" s="106">
        <f>Assumptions!$E$16*(1-Assumptions!$E$23)^8</f>
        <v>4289.0818219021094</v>
      </c>
      <c r="DD30" s="106">
        <f>Assumptions!$E$16*(1-Assumptions!$E$23)^8</f>
        <v>4289.0818219021094</v>
      </c>
      <c r="DE30" s="106">
        <f>Assumptions!$E$16*(1-Assumptions!$E$23)^8</f>
        <v>4289.0818219021094</v>
      </c>
      <c r="DF30" s="106">
        <f>Assumptions!$E$16*(1-Assumptions!$E$23)^8</f>
        <v>4289.0818219021094</v>
      </c>
      <c r="DG30" s="106">
        <f>Assumptions!$E$16*(1-Assumptions!$E$23)^9</f>
        <v>4267.6364127925981</v>
      </c>
      <c r="DH30" s="106">
        <f>Assumptions!$E$16*(1-Assumptions!$E$23)^9</f>
        <v>4267.6364127925981</v>
      </c>
      <c r="DI30" s="106">
        <f>Assumptions!$E$16*(1-Assumptions!$E$23)^9</f>
        <v>4267.6364127925981</v>
      </c>
      <c r="DJ30" s="106">
        <f>Assumptions!$E$16*(1-Assumptions!$E$23)^9</f>
        <v>4267.6364127925981</v>
      </c>
      <c r="DK30" s="106">
        <f>Assumptions!$E$16*(1-Assumptions!$E$23)^9</f>
        <v>4267.6364127925981</v>
      </c>
      <c r="DL30" s="106">
        <f>Assumptions!$E$16*(1-Assumptions!$E$23)^9</f>
        <v>4267.6364127925981</v>
      </c>
      <c r="DM30" s="106">
        <f>Assumptions!$E$16*(1-Assumptions!$E$23)^9</f>
        <v>4267.6364127925981</v>
      </c>
      <c r="DN30" s="106">
        <f>Assumptions!$E$16*(1-Assumptions!$E$23)^9</f>
        <v>4267.6364127925981</v>
      </c>
      <c r="DO30" s="106">
        <f>Assumptions!$E$16*(1-Assumptions!$E$23)^9</f>
        <v>4267.6364127925981</v>
      </c>
      <c r="DP30" s="106">
        <f>Assumptions!$E$16*(1-Assumptions!$E$23)^9</f>
        <v>4267.6364127925981</v>
      </c>
      <c r="DQ30" s="106">
        <f>Assumptions!$E$16*(1-Assumptions!$E$23)^9</f>
        <v>4267.6364127925981</v>
      </c>
      <c r="DR30" s="106">
        <f>Assumptions!$E$16*(1-Assumptions!$E$23)^9</f>
        <v>4267.6364127925981</v>
      </c>
      <c r="DS30" s="106">
        <f>Assumptions!$E$16*(1-Assumptions!$E$23)^10</f>
        <v>4246.2982307286356</v>
      </c>
      <c r="DT30" s="106">
        <f>Assumptions!$E$16*(1-Assumptions!$E$23)^10</f>
        <v>4246.2982307286356</v>
      </c>
      <c r="DU30" s="106">
        <f>Assumptions!$E$16*(1-Assumptions!$E$23)^10</f>
        <v>4246.2982307286356</v>
      </c>
      <c r="DV30" s="106">
        <f>Assumptions!$E$16*(1-Assumptions!$E$23)^10</f>
        <v>4246.2982307286356</v>
      </c>
      <c r="DW30" s="106">
        <f>Assumptions!$E$16*(1-Assumptions!$E$23)^10</f>
        <v>4246.2982307286356</v>
      </c>
      <c r="DX30" s="106">
        <f>Assumptions!$E$16*(1-Assumptions!$E$23)^10</f>
        <v>4246.2982307286356</v>
      </c>
      <c r="DY30" s="106">
        <f>Assumptions!$E$16*(1-Assumptions!$E$23)^10</f>
        <v>4246.2982307286356</v>
      </c>
      <c r="DZ30" s="106">
        <f>Assumptions!$E$16*(1-Assumptions!$E$23)^10</f>
        <v>4246.2982307286356</v>
      </c>
      <c r="EA30" s="106">
        <f>Assumptions!$E$16*(1-Assumptions!$E$23)^10</f>
        <v>4246.2982307286356</v>
      </c>
      <c r="EB30" s="106">
        <f>Assumptions!$E$16*(1-Assumptions!$E$23)^10</f>
        <v>4246.2982307286356</v>
      </c>
      <c r="EC30" s="106">
        <f>Assumptions!$E$16*(1-Assumptions!$E$23)^10</f>
        <v>4246.2982307286356</v>
      </c>
      <c r="ED30" s="106">
        <f>Assumptions!$E$16*(1-Assumptions!$E$23)^10</f>
        <v>4246.2982307286356</v>
      </c>
      <c r="EE30" s="106">
        <f>Assumptions!$E$16*(1-Assumptions!$E$23)^11</f>
        <v>4225.0667395749924</v>
      </c>
      <c r="EF30" s="106">
        <f>Assumptions!$E$16*(1-Assumptions!$E$23)^11</f>
        <v>4225.0667395749924</v>
      </c>
      <c r="EG30" s="106">
        <f>Assumptions!$E$16*(1-Assumptions!$E$23)^11</f>
        <v>4225.0667395749924</v>
      </c>
      <c r="EH30" s="106">
        <f>Assumptions!$E$16*(1-Assumptions!$E$23)^11</f>
        <v>4225.0667395749924</v>
      </c>
      <c r="EI30" s="106">
        <f>Assumptions!$E$16*(1-Assumptions!$E$23)^11</f>
        <v>4225.0667395749924</v>
      </c>
      <c r="EJ30" s="106">
        <f>Assumptions!$E$16*(1-Assumptions!$E$23)^11</f>
        <v>4225.0667395749924</v>
      </c>
      <c r="EK30" s="106">
        <f>Assumptions!$E$16*(1-Assumptions!$E$23)^11</f>
        <v>4225.0667395749924</v>
      </c>
      <c r="EL30" s="106">
        <f>Assumptions!$E$16*(1-Assumptions!$E$23)^11</f>
        <v>4225.0667395749924</v>
      </c>
      <c r="EM30" s="106">
        <f>Assumptions!$E$16*(1-Assumptions!$E$23)^11</f>
        <v>4225.0667395749924</v>
      </c>
      <c r="EN30" s="106">
        <f>Assumptions!$E$16*(1-Assumptions!$E$23)^11</f>
        <v>4225.0667395749924</v>
      </c>
      <c r="EO30" s="106">
        <f>Assumptions!$E$16*(1-Assumptions!$E$23)^11</f>
        <v>4225.0667395749924</v>
      </c>
      <c r="EP30" s="106">
        <f>Assumptions!$E$16*(1-Assumptions!$E$23)^11</f>
        <v>4225.0667395749924</v>
      </c>
      <c r="EQ30" s="106">
        <f>Assumptions!$E$16*(1-Assumptions!$E$23)^12</f>
        <v>4203.9414058771181</v>
      </c>
      <c r="ER30" s="106">
        <f>Assumptions!$E$16*(1-Assumptions!$E$23)^12</f>
        <v>4203.9414058771181</v>
      </c>
      <c r="ES30" s="106">
        <f>Assumptions!$E$16*(1-Assumptions!$E$23)^12</f>
        <v>4203.9414058771181</v>
      </c>
      <c r="ET30" s="106">
        <f>Assumptions!$E$16*(1-Assumptions!$E$23)^12</f>
        <v>4203.9414058771181</v>
      </c>
      <c r="EU30" s="106">
        <f>Assumptions!$E$16*(1-Assumptions!$E$23)^12</f>
        <v>4203.9414058771181</v>
      </c>
      <c r="EV30" s="106">
        <f>Assumptions!$E$16*(1-Assumptions!$E$23)^12</f>
        <v>4203.9414058771181</v>
      </c>
      <c r="EW30" s="106">
        <f>Assumptions!$E$16*(1-Assumptions!$E$23)^12</f>
        <v>4203.9414058771181</v>
      </c>
      <c r="EX30" s="106">
        <f>Assumptions!$E$16*(1-Assumptions!$E$23)^12</f>
        <v>4203.9414058771181</v>
      </c>
      <c r="EY30" s="106">
        <f>Assumptions!$E$16*(1-Assumptions!$E$23)^12</f>
        <v>4203.9414058771181</v>
      </c>
      <c r="EZ30" s="106">
        <f>Assumptions!$E$16*(1-Assumptions!$E$23)^12</f>
        <v>4203.9414058771181</v>
      </c>
      <c r="FA30" s="106">
        <f>Assumptions!$E$16*(1-Assumptions!$E$23)^12</f>
        <v>4203.9414058771181</v>
      </c>
      <c r="FB30" s="106">
        <f>Assumptions!$E$16*(1-Assumptions!$E$23)^12</f>
        <v>4203.9414058771181</v>
      </c>
      <c r="FC30" s="106">
        <f>Assumptions!$E$16*(1-Assumptions!$E$23)^13</f>
        <v>4182.9216988477328</v>
      </c>
      <c r="FD30" s="106">
        <f>Assumptions!$E$16*(1-Assumptions!$E$23)^13</f>
        <v>4182.9216988477328</v>
      </c>
      <c r="FE30" s="106">
        <f>Assumptions!$E$16*(1-Assumptions!$E$23)^13</f>
        <v>4182.9216988477328</v>
      </c>
      <c r="FF30" s="106">
        <f>Assumptions!$E$16*(1-Assumptions!$E$23)^13</f>
        <v>4182.9216988477328</v>
      </c>
      <c r="FG30" s="106">
        <f>Assumptions!$E$16*(1-Assumptions!$E$23)^13</f>
        <v>4182.9216988477328</v>
      </c>
      <c r="FH30" s="106">
        <f>Assumptions!$E$16*(1-Assumptions!$E$23)^13</f>
        <v>4182.9216988477328</v>
      </c>
      <c r="FI30" s="106">
        <f>Assumptions!$E$16*(1-Assumptions!$E$23)^13</f>
        <v>4182.9216988477328</v>
      </c>
      <c r="FJ30" s="106">
        <f>Assumptions!$E$16*(1-Assumptions!$E$23)^13</f>
        <v>4182.9216988477328</v>
      </c>
      <c r="FK30" s="106">
        <f>Assumptions!$E$16*(1-Assumptions!$E$23)^13</f>
        <v>4182.9216988477328</v>
      </c>
      <c r="FL30" s="106">
        <f>Assumptions!$E$16*(1-Assumptions!$E$23)^13</f>
        <v>4182.9216988477328</v>
      </c>
      <c r="FM30" s="106">
        <f>Assumptions!$E$16*(1-Assumptions!$E$23)^13</f>
        <v>4182.9216988477328</v>
      </c>
      <c r="FN30" s="106">
        <f>Assumptions!$E$16*(1-Assumptions!$E$23)^13</f>
        <v>4182.9216988477328</v>
      </c>
      <c r="FO30" s="106">
        <f>Assumptions!$E$16*(1-Assumptions!$E$23)^14</f>
        <v>4162.0070903534943</v>
      </c>
      <c r="FP30" s="106">
        <f>Assumptions!$E$16*(1-Assumptions!$E$23)^14</f>
        <v>4162.0070903534943</v>
      </c>
      <c r="FQ30" s="106">
        <f>Assumptions!$E$16*(1-Assumptions!$E$23)^14</f>
        <v>4162.0070903534943</v>
      </c>
      <c r="FR30" s="106">
        <f>Assumptions!$E$16*(1-Assumptions!$E$23)^14</f>
        <v>4162.0070903534943</v>
      </c>
      <c r="FS30" s="106">
        <f>Assumptions!$E$16*(1-Assumptions!$E$23)^14</f>
        <v>4162.0070903534943</v>
      </c>
      <c r="FT30" s="106">
        <f>Assumptions!$E$16*(1-Assumptions!$E$23)^14</f>
        <v>4162.0070903534943</v>
      </c>
      <c r="FU30" s="106">
        <f>Assumptions!$E$16*(1-Assumptions!$E$23)^14</f>
        <v>4162.0070903534943</v>
      </c>
      <c r="FV30" s="106">
        <f>Assumptions!$E$16*(1-Assumptions!$E$23)^14</f>
        <v>4162.0070903534943</v>
      </c>
      <c r="FW30" s="106">
        <f>Assumptions!$E$16*(1-Assumptions!$E$23)^14</f>
        <v>4162.0070903534943</v>
      </c>
      <c r="FX30" s="106">
        <f>Assumptions!$E$16*(1-Assumptions!$E$23)^14</f>
        <v>4162.0070903534943</v>
      </c>
      <c r="FY30" s="106">
        <f>Assumptions!$E$16*(1-Assumptions!$E$23)^14</f>
        <v>4162.0070903534943</v>
      </c>
      <c r="FZ30" s="106">
        <f>Assumptions!$E$16*(1-Assumptions!$E$23)^14</f>
        <v>4162.0070903534943</v>
      </c>
      <c r="GA30" s="106">
        <f>Assumptions!$E$16*(1-Assumptions!$E$23)^15</f>
        <v>4141.197054901726</v>
      </c>
      <c r="GB30" s="106">
        <f>Assumptions!$E$16*(1-Assumptions!$E$23)^15</f>
        <v>4141.197054901726</v>
      </c>
      <c r="GC30" s="106">
        <f>Assumptions!$E$16*(1-Assumptions!$E$23)^15</f>
        <v>4141.197054901726</v>
      </c>
      <c r="GD30" s="106">
        <f>Assumptions!$E$16*(1-Assumptions!$E$23)^15</f>
        <v>4141.197054901726</v>
      </c>
      <c r="GE30" s="106">
        <f>Assumptions!$E$16*(1-Assumptions!$E$23)^15</f>
        <v>4141.197054901726</v>
      </c>
      <c r="GF30" s="106">
        <f>Assumptions!$E$16*(1-Assumptions!$E$23)^15</f>
        <v>4141.197054901726</v>
      </c>
      <c r="GG30" s="106">
        <f>Assumptions!$E$16*(1-Assumptions!$E$23)^15</f>
        <v>4141.197054901726</v>
      </c>
      <c r="GH30" s="106">
        <f>Assumptions!$E$16*(1-Assumptions!$E$23)^15</f>
        <v>4141.197054901726</v>
      </c>
      <c r="GI30" s="106">
        <f>Assumptions!$E$16*(1-Assumptions!$E$23)^15</f>
        <v>4141.197054901726</v>
      </c>
      <c r="GJ30" s="106">
        <f>Assumptions!$E$16*(1-Assumptions!$E$23)^15</f>
        <v>4141.197054901726</v>
      </c>
      <c r="GK30" s="106">
        <f>Assumptions!$E$16*(1-Assumptions!$E$23)^15</f>
        <v>4141.197054901726</v>
      </c>
      <c r="GL30" s="106">
        <f>Assumptions!$E$16*(1-Assumptions!$E$23)^15</f>
        <v>4141.197054901726</v>
      </c>
      <c r="GM30" s="106">
        <f>Assumptions!$E$16*(1-Assumptions!$E$23)^16</f>
        <v>4120.4910696272173</v>
      </c>
      <c r="GN30" s="106">
        <f>Assumptions!$E$16*(1-Assumptions!$E$23)^16</f>
        <v>4120.4910696272173</v>
      </c>
      <c r="GO30" s="106">
        <f>Assumptions!$E$16*(1-Assumptions!$E$23)^16</f>
        <v>4120.4910696272173</v>
      </c>
      <c r="GP30" s="106">
        <f>Assumptions!$E$16*(1-Assumptions!$E$23)^16</f>
        <v>4120.4910696272173</v>
      </c>
      <c r="GQ30" s="106">
        <f>Assumptions!$E$16*(1-Assumptions!$E$23)^16</f>
        <v>4120.4910696272173</v>
      </c>
      <c r="GR30" s="106">
        <f>Assumptions!$E$16*(1-Assumptions!$E$23)^16</f>
        <v>4120.4910696272173</v>
      </c>
      <c r="GS30" s="106">
        <f>Assumptions!$E$16*(1-Assumptions!$E$23)^16</f>
        <v>4120.4910696272173</v>
      </c>
      <c r="GT30" s="106">
        <f>Assumptions!$E$16*(1-Assumptions!$E$23)^16</f>
        <v>4120.4910696272173</v>
      </c>
      <c r="GU30" s="106">
        <f>Assumptions!$E$16*(1-Assumptions!$E$23)^16</f>
        <v>4120.4910696272173</v>
      </c>
      <c r="GV30" s="106">
        <f>Assumptions!$E$16*(1-Assumptions!$E$23)^16</f>
        <v>4120.4910696272173</v>
      </c>
      <c r="GW30" s="106">
        <f>Assumptions!$E$16*(1-Assumptions!$E$23)^16</f>
        <v>4120.4910696272173</v>
      </c>
      <c r="GX30" s="106">
        <f>Assumptions!$E$16*(1-Assumptions!$E$23)^16</f>
        <v>4120.4910696272173</v>
      </c>
      <c r="GY30" s="106">
        <f>Assumptions!$E$16*(1-Assumptions!$E$23)^17</f>
        <v>4099.8886142790816</v>
      </c>
      <c r="GZ30" s="106">
        <f>Assumptions!$E$16*(1-Assumptions!$E$23)^17</f>
        <v>4099.8886142790816</v>
      </c>
      <c r="HA30" s="106">
        <f>Assumptions!$E$16*(1-Assumptions!$E$23)^17</f>
        <v>4099.8886142790816</v>
      </c>
      <c r="HB30" s="106">
        <f>Assumptions!$E$16*(1-Assumptions!$E$23)^17</f>
        <v>4099.8886142790816</v>
      </c>
      <c r="HC30" s="106">
        <f>Assumptions!$E$16*(1-Assumptions!$E$23)^17</f>
        <v>4099.8886142790816</v>
      </c>
      <c r="HD30" s="106">
        <f>Assumptions!$E$16*(1-Assumptions!$E$23)^17</f>
        <v>4099.8886142790816</v>
      </c>
      <c r="HE30" s="106">
        <f>Assumptions!$E$16*(1-Assumptions!$E$23)^17</f>
        <v>4099.8886142790816</v>
      </c>
      <c r="HF30" s="106">
        <f>Assumptions!$E$16*(1-Assumptions!$E$23)^17</f>
        <v>4099.8886142790816</v>
      </c>
      <c r="HG30" s="106">
        <f>Assumptions!$E$16*(1-Assumptions!$E$23)^17</f>
        <v>4099.8886142790816</v>
      </c>
      <c r="HH30" s="106">
        <f>Assumptions!$E$16*(1-Assumptions!$E$23)^17</f>
        <v>4099.8886142790816</v>
      </c>
      <c r="HI30" s="106">
        <f>Assumptions!$E$16*(1-Assumptions!$E$23)^17</f>
        <v>4099.8886142790816</v>
      </c>
      <c r="HJ30" s="106">
        <f>Assumptions!$E$16*(1-Assumptions!$E$23)^17</f>
        <v>4099.8886142790816</v>
      </c>
      <c r="HK30" s="106">
        <f>Assumptions!$E$16*(1-Assumptions!$E$23)^18</f>
        <v>4079.3891712076861</v>
      </c>
      <c r="HL30" s="106">
        <f>Assumptions!$E$16*(1-Assumptions!$E$23)^18</f>
        <v>4079.3891712076861</v>
      </c>
      <c r="HM30" s="106">
        <f>Assumptions!$E$16*(1-Assumptions!$E$23)^18</f>
        <v>4079.3891712076861</v>
      </c>
      <c r="HN30" s="106">
        <f>Assumptions!$E$16*(1-Assumptions!$E$23)^18</f>
        <v>4079.3891712076861</v>
      </c>
      <c r="HO30" s="106">
        <f>Assumptions!$E$16*(1-Assumptions!$E$23)^18</f>
        <v>4079.3891712076861</v>
      </c>
      <c r="HP30" s="106">
        <f>Assumptions!$E$16*(1-Assumptions!$E$23)^18</f>
        <v>4079.3891712076861</v>
      </c>
      <c r="HQ30" s="106">
        <f>Assumptions!$E$16*(1-Assumptions!$E$23)^18</f>
        <v>4079.3891712076861</v>
      </c>
      <c r="HR30" s="106">
        <f>Assumptions!$E$16*(1-Assumptions!$E$23)^18</f>
        <v>4079.3891712076861</v>
      </c>
      <c r="HS30" s="106">
        <f>Assumptions!$E$16*(1-Assumptions!$E$23)^18</f>
        <v>4079.3891712076861</v>
      </c>
      <c r="HT30" s="106">
        <f>Assumptions!$E$16*(1-Assumptions!$E$23)^18</f>
        <v>4079.3891712076861</v>
      </c>
      <c r="HU30" s="106">
        <f>Assumptions!$E$16*(1-Assumptions!$E$23)^18</f>
        <v>4079.3891712076861</v>
      </c>
      <c r="HV30" s="106">
        <f>Assumptions!$E$16*(1-Assumptions!$E$23)^18</f>
        <v>4079.3891712076861</v>
      </c>
      <c r="HW30" s="106">
        <f>Assumptions!$E$16*(1-Assumptions!$E$23)^19</f>
        <v>4058.9922253516474</v>
      </c>
      <c r="HX30" s="106">
        <f>Assumptions!$E$16*(1-Assumptions!$E$23)^19</f>
        <v>4058.9922253516474</v>
      </c>
      <c r="HY30" s="106">
        <f>Assumptions!$E$16*(1-Assumptions!$E$23)^19</f>
        <v>4058.9922253516474</v>
      </c>
      <c r="HZ30" s="106">
        <f>Assumptions!$E$16*(1-Assumptions!$E$23)^19</f>
        <v>4058.9922253516474</v>
      </c>
      <c r="IA30" s="106">
        <f>Assumptions!$E$16*(1-Assumptions!$E$23)^19</f>
        <v>4058.9922253516474</v>
      </c>
      <c r="IB30" s="106">
        <f>Assumptions!$E$16*(1-Assumptions!$E$23)^19</f>
        <v>4058.9922253516474</v>
      </c>
      <c r="IC30" s="106">
        <f>Assumptions!$E$16*(1-Assumptions!$E$23)^19</f>
        <v>4058.9922253516474</v>
      </c>
      <c r="ID30" s="106">
        <f>Assumptions!$E$16*(1-Assumptions!$E$23)^19</f>
        <v>4058.9922253516474</v>
      </c>
      <c r="IE30" s="106">
        <f>Assumptions!$E$16*(1-Assumptions!$E$23)^19</f>
        <v>4058.9922253516474</v>
      </c>
      <c r="IF30" s="106">
        <f>Assumptions!$E$16*(1-Assumptions!$E$23)^19</f>
        <v>4058.9922253516474</v>
      </c>
      <c r="IG30" s="106">
        <f>Assumptions!$E$16*(1-Assumptions!$E$23)^19</f>
        <v>4058.9922253516474</v>
      </c>
      <c r="IH30" s="106">
        <f>Assumptions!$E$16*(1-Assumptions!$E$23)^19</f>
        <v>4058.9922253516474</v>
      </c>
      <c r="II30" s="106">
        <f>Assumptions!$E$16*(1-Assumptions!$E$23)^20</f>
        <v>4038.6972642248893</v>
      </c>
      <c r="IJ30" s="106">
        <f>Assumptions!$E$16*(1-Assumptions!$E$23)^20</f>
        <v>4038.6972642248893</v>
      </c>
      <c r="IK30" s="106">
        <f>Assumptions!$E$16*(1-Assumptions!$E$23)^20</f>
        <v>4038.6972642248893</v>
      </c>
      <c r="IL30" s="106">
        <f>Assumptions!$E$16*(1-Assumptions!$E$23)^20</f>
        <v>4038.6972642248893</v>
      </c>
      <c r="IM30" s="106">
        <f>Assumptions!$E$16*(1-Assumptions!$E$23)^20</f>
        <v>4038.6972642248893</v>
      </c>
      <c r="IN30" s="106">
        <f>Assumptions!$E$16*(1-Assumptions!$E$23)^20</f>
        <v>4038.6972642248893</v>
      </c>
      <c r="IO30" s="106">
        <f>Assumptions!$E$16*(1-Assumptions!$E$23)^20</f>
        <v>4038.6972642248893</v>
      </c>
      <c r="IP30" s="106">
        <f>Assumptions!$E$16*(1-Assumptions!$E$23)^20</f>
        <v>4038.6972642248893</v>
      </c>
      <c r="IQ30" s="106">
        <f>Assumptions!$E$16*(1-Assumptions!$E$23)^20</f>
        <v>4038.6972642248893</v>
      </c>
      <c r="IR30" s="106">
        <f>Assumptions!$E$16*(1-Assumptions!$E$23)^20</f>
        <v>4038.6972642248893</v>
      </c>
      <c r="IS30" s="106">
        <f>Assumptions!$E$16*(1-Assumptions!$E$23)^20</f>
        <v>4038.6972642248893</v>
      </c>
      <c r="IT30" s="106">
        <f>Assumptions!$E$16*(1-Assumptions!$E$23)^20</f>
        <v>4038.6972642248893</v>
      </c>
      <c r="IU30" s="106">
        <f>Assumptions!$E$16*(1-Assumptions!$E$23)^21</f>
        <v>4018.5037779037648</v>
      </c>
      <c r="IV30" s="106">
        <f>Assumptions!$E$16*(1-Assumptions!$E$23)^21</f>
        <v>4018.5037779037648</v>
      </c>
      <c r="IW30" s="106">
        <f>Assumptions!$E$16*(1-Assumptions!$E$23)^21</f>
        <v>4018.5037779037648</v>
      </c>
      <c r="IX30" s="106">
        <f>Assumptions!$E$16*(1-Assumptions!$E$23)^21</f>
        <v>4018.5037779037648</v>
      </c>
      <c r="IY30" s="106">
        <f>Assumptions!$E$16*(1-Assumptions!$E$23)^21</f>
        <v>4018.5037779037648</v>
      </c>
      <c r="IZ30" s="106">
        <f>Assumptions!$E$16*(1-Assumptions!$E$23)^21</f>
        <v>4018.5037779037648</v>
      </c>
      <c r="JA30" s="106">
        <f>Assumptions!$E$16*(1-Assumptions!$E$23)^21</f>
        <v>4018.5037779037648</v>
      </c>
      <c r="JB30" s="106">
        <f>Assumptions!$E$16*(1-Assumptions!$E$23)^21</f>
        <v>4018.5037779037648</v>
      </c>
      <c r="JC30" s="106">
        <f>Assumptions!$E$16*(1-Assumptions!$E$23)^21</f>
        <v>4018.5037779037648</v>
      </c>
      <c r="JD30" s="106">
        <f>Assumptions!$E$16*(1-Assumptions!$E$23)^21</f>
        <v>4018.5037779037648</v>
      </c>
      <c r="JE30" s="106">
        <f>Assumptions!$E$16*(1-Assumptions!$E$23)^21</f>
        <v>4018.5037779037648</v>
      </c>
      <c r="JF30" s="106">
        <f>Assumptions!$E$16*(1-Assumptions!$E$23)^21</f>
        <v>4018.5037779037648</v>
      </c>
      <c r="JG30" s="106">
        <f>Assumptions!$E$16*(1-Assumptions!$E$23)^22</f>
        <v>3998.4112590142463</v>
      </c>
      <c r="JH30" s="106">
        <f>Assumptions!$E$16*(1-Assumptions!$E$23)^22</f>
        <v>3998.4112590142463</v>
      </c>
      <c r="JI30" s="106">
        <f>Assumptions!$E$16*(1-Assumptions!$E$23)^22</f>
        <v>3998.4112590142463</v>
      </c>
      <c r="JJ30" s="106">
        <f>Assumptions!$E$16*(1-Assumptions!$E$23)^22</f>
        <v>3998.4112590142463</v>
      </c>
      <c r="JK30" s="106">
        <f>Assumptions!$E$16*(1-Assumptions!$E$23)^22</f>
        <v>3998.4112590142463</v>
      </c>
      <c r="JL30" s="106">
        <f>Assumptions!$E$16*(1-Assumptions!$E$23)^22</f>
        <v>3998.4112590142463</v>
      </c>
      <c r="JM30" s="106">
        <f>Assumptions!$E$16*(1-Assumptions!$E$23)^22</f>
        <v>3998.4112590142463</v>
      </c>
      <c r="JN30" s="106">
        <f>Assumptions!$E$16*(1-Assumptions!$E$23)^22</f>
        <v>3998.4112590142463</v>
      </c>
      <c r="JO30" s="106">
        <f>Assumptions!$E$16*(1-Assumptions!$E$23)^22</f>
        <v>3998.4112590142463</v>
      </c>
      <c r="JP30" s="106">
        <f>Assumptions!$E$16*(1-Assumptions!$E$23)^22</f>
        <v>3998.4112590142463</v>
      </c>
      <c r="JQ30" s="106">
        <f>Assumptions!$E$16*(1-Assumptions!$E$23)^22</f>
        <v>3998.4112590142463</v>
      </c>
      <c r="JR30" s="106">
        <f>Assumptions!$E$16*(1-Assumptions!$E$23)^22</f>
        <v>3998.4112590142463</v>
      </c>
      <c r="JS30" s="106">
        <f>Assumptions!$E$16*(1-Assumptions!$E$23)^23</f>
        <v>3978.4192027191748</v>
      </c>
      <c r="JT30" s="106">
        <f>Assumptions!$E$16*(1-Assumptions!$E$23)^23</f>
        <v>3978.4192027191748</v>
      </c>
      <c r="JU30" s="106">
        <f>Assumptions!$E$16*(1-Assumptions!$E$23)^23</f>
        <v>3978.4192027191748</v>
      </c>
      <c r="JV30" s="106">
        <f>Assumptions!$E$16*(1-Assumptions!$E$23)^23</f>
        <v>3978.4192027191748</v>
      </c>
      <c r="JW30" s="106">
        <f>Assumptions!$E$16*(1-Assumptions!$E$23)^23</f>
        <v>3978.4192027191748</v>
      </c>
      <c r="JX30" s="106">
        <f>Assumptions!$E$16*(1-Assumptions!$E$23)^23</f>
        <v>3978.4192027191748</v>
      </c>
      <c r="JY30" s="106">
        <f>Assumptions!$E$16*(1-Assumptions!$E$23)^23</f>
        <v>3978.4192027191748</v>
      </c>
      <c r="JZ30" s="106">
        <f>Assumptions!$E$16*(1-Assumptions!$E$23)^23</f>
        <v>3978.4192027191748</v>
      </c>
      <c r="KA30" s="106">
        <f>Assumptions!$E$16*(1-Assumptions!$E$23)^23</f>
        <v>3978.4192027191748</v>
      </c>
      <c r="KB30" s="106">
        <f>Assumptions!$E$16*(1-Assumptions!$E$23)^23</f>
        <v>3978.4192027191748</v>
      </c>
      <c r="KC30" s="106">
        <f>Assumptions!$E$16*(1-Assumptions!$E$23)^23</f>
        <v>3978.4192027191748</v>
      </c>
      <c r="KD30" s="106">
        <f>Assumptions!$E$16*(1-Assumptions!$E$23)^23</f>
        <v>3978.4192027191748</v>
      </c>
      <c r="KE30" s="106">
        <f>Assumptions!$E$16*(1-Assumptions!$E$23)^24</f>
        <v>3958.5271067055792</v>
      </c>
      <c r="KF30" s="106">
        <f>Assumptions!$E$16*(1-Assumptions!$E$23)^24</f>
        <v>3958.5271067055792</v>
      </c>
      <c r="KG30" s="106">
        <f>Assumptions!$E$16*(1-Assumptions!$E$23)^24</f>
        <v>3958.5271067055792</v>
      </c>
      <c r="KH30" s="106">
        <f>Assumptions!$E$16*(1-Assumptions!$E$23)^24</f>
        <v>3958.5271067055792</v>
      </c>
      <c r="KI30" s="106">
        <f>Assumptions!$E$16*(1-Assumptions!$E$23)^24</f>
        <v>3958.5271067055792</v>
      </c>
      <c r="KJ30" s="106">
        <f>Assumptions!$E$16*(1-Assumptions!$E$23)^24</f>
        <v>3958.5271067055792</v>
      </c>
      <c r="KK30" s="106">
        <f>Assumptions!$E$16*(1-Assumptions!$E$23)^24</f>
        <v>3958.5271067055792</v>
      </c>
      <c r="KL30" s="106">
        <f>Assumptions!$E$16*(1-Assumptions!$E$23)^24</f>
        <v>3958.5271067055792</v>
      </c>
      <c r="KM30" s="106">
        <f>Assumptions!$E$16*(1-Assumptions!$E$23)^24</f>
        <v>3958.5271067055792</v>
      </c>
      <c r="KN30" s="106">
        <f>Assumptions!$E$16*(1-Assumptions!$E$23)^24</f>
        <v>3958.5271067055792</v>
      </c>
      <c r="KO30" s="106">
        <f>Assumptions!$E$16*(1-Assumptions!$E$23)^24</f>
        <v>3958.5271067055792</v>
      </c>
      <c r="KP30" s="106">
        <f>Assumptions!$E$16*(1-Assumptions!$E$23)^24</f>
        <v>3958.5271067055792</v>
      </c>
    </row>
    <row r="31" spans="1:302" ht="16" customHeight="1" x14ac:dyDescent="0.2">
      <c r="A31" s="104" t="s">
        <v>441</v>
      </c>
      <c r="B31" s="105" t="s">
        <v>10</v>
      </c>
      <c r="C31" s="107">
        <f>Assumptions!$E$40</f>
        <v>45</v>
      </c>
      <c r="D31" s="107">
        <f>Assumptions!$E$40</f>
        <v>45</v>
      </c>
      <c r="E31" s="107">
        <f>Assumptions!$E$40</f>
        <v>45</v>
      </c>
      <c r="F31" s="107">
        <f>Assumptions!$E$40</f>
        <v>45</v>
      </c>
      <c r="G31" s="107">
        <f>Assumptions!$E$40</f>
        <v>45</v>
      </c>
      <c r="H31" s="107">
        <f>Assumptions!$E$40</f>
        <v>45</v>
      </c>
      <c r="I31" s="107">
        <f>Assumptions!$E$40</f>
        <v>45</v>
      </c>
      <c r="J31" s="107">
        <f>Assumptions!$E$40</f>
        <v>45</v>
      </c>
      <c r="K31" s="107">
        <f>Assumptions!$E$40</f>
        <v>45</v>
      </c>
      <c r="L31" s="107">
        <f>Assumptions!$E$40</f>
        <v>45</v>
      </c>
      <c r="M31" s="107">
        <f>Assumptions!$E$40</f>
        <v>45</v>
      </c>
      <c r="N31" s="107">
        <f>Assumptions!$E$40</f>
        <v>45</v>
      </c>
      <c r="O31" s="107">
        <f>Assumptions!$E$40</f>
        <v>45</v>
      </c>
      <c r="P31" s="107">
        <f>Assumptions!$E$40</f>
        <v>45</v>
      </c>
      <c r="Q31" s="107">
        <f>Assumptions!$E$40</f>
        <v>45</v>
      </c>
      <c r="R31" s="107">
        <f>Assumptions!$E$40</f>
        <v>45</v>
      </c>
      <c r="S31" s="107">
        <f>Assumptions!$E$40</f>
        <v>45</v>
      </c>
      <c r="T31" s="107">
        <f>Assumptions!$E$40</f>
        <v>45</v>
      </c>
      <c r="U31" s="107">
        <f>Assumptions!$E$40</f>
        <v>45</v>
      </c>
      <c r="V31" s="107">
        <f>Assumptions!$E$40</f>
        <v>45</v>
      </c>
      <c r="W31" s="107">
        <f>Assumptions!$E$40</f>
        <v>45</v>
      </c>
      <c r="X31" s="107">
        <f>Assumptions!$E$40</f>
        <v>45</v>
      </c>
      <c r="Y31" s="107">
        <f>Assumptions!$E$40</f>
        <v>45</v>
      </c>
      <c r="Z31" s="107">
        <f>Assumptions!$E$40</f>
        <v>45</v>
      </c>
      <c r="AA31" s="107">
        <f>Assumptions!$E$40</f>
        <v>45</v>
      </c>
      <c r="AB31" s="107">
        <f>Assumptions!$E$40</f>
        <v>45</v>
      </c>
      <c r="AC31" s="107">
        <f>Assumptions!$E$40</f>
        <v>45</v>
      </c>
      <c r="AD31" s="107">
        <f>Assumptions!$E$40</f>
        <v>45</v>
      </c>
      <c r="AE31" s="107">
        <f>Assumptions!$E$40</f>
        <v>45</v>
      </c>
      <c r="AF31" s="107">
        <f>Assumptions!$E$40</f>
        <v>45</v>
      </c>
      <c r="AG31" s="107">
        <f>Assumptions!$E$40</f>
        <v>45</v>
      </c>
      <c r="AH31" s="107">
        <f>Assumptions!$E$40</f>
        <v>45</v>
      </c>
      <c r="AI31" s="107">
        <f>Assumptions!$E$40</f>
        <v>45</v>
      </c>
      <c r="AJ31" s="107">
        <f>Assumptions!$E$40</f>
        <v>45</v>
      </c>
      <c r="AK31" s="107">
        <f>Assumptions!$E$40</f>
        <v>45</v>
      </c>
      <c r="AL31" s="107">
        <f>Assumptions!$E$40</f>
        <v>45</v>
      </c>
      <c r="AM31" s="107">
        <f>Assumptions!$E$40</f>
        <v>45</v>
      </c>
      <c r="AN31" s="107">
        <f>Assumptions!$E$40</f>
        <v>45</v>
      </c>
      <c r="AO31" s="107">
        <f>Assumptions!$E$40</f>
        <v>45</v>
      </c>
      <c r="AP31" s="107">
        <f>Assumptions!$E$40</f>
        <v>45</v>
      </c>
      <c r="AQ31" s="107">
        <f>Assumptions!$E$40</f>
        <v>45</v>
      </c>
      <c r="AR31" s="107">
        <f>Assumptions!$E$40</f>
        <v>45</v>
      </c>
      <c r="AS31" s="107">
        <f>Assumptions!$E$40</f>
        <v>45</v>
      </c>
      <c r="AT31" s="107">
        <f>Assumptions!$E$40</f>
        <v>45</v>
      </c>
      <c r="AU31" s="107">
        <f>Assumptions!$E$40</f>
        <v>45</v>
      </c>
      <c r="AV31" s="107">
        <f>Assumptions!$E$40</f>
        <v>45</v>
      </c>
      <c r="AW31" s="107">
        <f>Assumptions!$E$40</f>
        <v>45</v>
      </c>
      <c r="AX31" s="107">
        <f>Assumptions!$E$40</f>
        <v>45</v>
      </c>
      <c r="AY31" s="107">
        <f>Assumptions!$E$40</f>
        <v>45</v>
      </c>
      <c r="AZ31" s="107">
        <f>Assumptions!$E$40</f>
        <v>45</v>
      </c>
      <c r="BA31" s="107">
        <f>Assumptions!$E$40</f>
        <v>45</v>
      </c>
      <c r="BB31" s="107">
        <f>Assumptions!$E$40</f>
        <v>45</v>
      </c>
      <c r="BC31" s="107">
        <f>Assumptions!$E$40</f>
        <v>45</v>
      </c>
      <c r="BD31" s="107">
        <f>Assumptions!$E$40</f>
        <v>45</v>
      </c>
      <c r="BE31" s="107">
        <f>Assumptions!$E$40</f>
        <v>45</v>
      </c>
      <c r="BF31" s="107">
        <f>Assumptions!$E$40</f>
        <v>45</v>
      </c>
      <c r="BG31" s="107">
        <f>Assumptions!$E$40</f>
        <v>45</v>
      </c>
      <c r="BH31" s="107">
        <f>Assumptions!$E$40</f>
        <v>45</v>
      </c>
      <c r="BI31" s="107">
        <f>Assumptions!$E$40</f>
        <v>45</v>
      </c>
      <c r="BJ31" s="107">
        <f>Assumptions!$E$40</f>
        <v>45</v>
      </c>
      <c r="BK31" s="107">
        <f>Assumptions!$E$40</f>
        <v>45</v>
      </c>
      <c r="BL31" s="107">
        <f>Assumptions!$E$40</f>
        <v>45</v>
      </c>
      <c r="BM31" s="107">
        <f>Assumptions!$E$40</f>
        <v>45</v>
      </c>
      <c r="BN31" s="107">
        <f>Assumptions!$E$40</f>
        <v>45</v>
      </c>
      <c r="BO31" s="107">
        <f>Assumptions!$E$40</f>
        <v>45</v>
      </c>
      <c r="BP31" s="107">
        <f>Assumptions!$E$40</f>
        <v>45</v>
      </c>
      <c r="BQ31" s="107">
        <f>Assumptions!$E$40</f>
        <v>45</v>
      </c>
      <c r="BR31" s="107">
        <f>Assumptions!$E$40</f>
        <v>45</v>
      </c>
      <c r="BS31" s="107">
        <f>Assumptions!$E$40</f>
        <v>45</v>
      </c>
      <c r="BT31" s="107">
        <f>Assumptions!$E$40</f>
        <v>45</v>
      </c>
      <c r="BU31" s="107">
        <f>Assumptions!$E$40</f>
        <v>45</v>
      </c>
      <c r="BV31" s="107">
        <f>Assumptions!$E$40</f>
        <v>45</v>
      </c>
      <c r="BW31" s="107">
        <f>Assumptions!$E$40</f>
        <v>45</v>
      </c>
      <c r="BX31" s="107">
        <f>Assumptions!$E$40</f>
        <v>45</v>
      </c>
      <c r="BY31" s="107">
        <f>Assumptions!$E$40</f>
        <v>45</v>
      </c>
      <c r="BZ31" s="107">
        <f>Assumptions!$E$40</f>
        <v>45</v>
      </c>
      <c r="CA31" s="107">
        <f>Assumptions!$E$40</f>
        <v>45</v>
      </c>
      <c r="CB31" s="107">
        <f>Assumptions!$E$40</f>
        <v>45</v>
      </c>
      <c r="CC31" s="107">
        <f>Assumptions!$E$40</f>
        <v>45</v>
      </c>
      <c r="CD31" s="107">
        <f>Assumptions!$E$40</f>
        <v>45</v>
      </c>
      <c r="CE31" s="107">
        <f>Assumptions!$E$40</f>
        <v>45</v>
      </c>
      <c r="CF31" s="107">
        <f>Assumptions!$E$40</f>
        <v>45</v>
      </c>
      <c r="CG31" s="107">
        <f>Assumptions!$E$40</f>
        <v>45</v>
      </c>
      <c r="CH31" s="107">
        <f>Assumptions!$E$40</f>
        <v>45</v>
      </c>
      <c r="CI31" s="107">
        <f>Assumptions!$E$40</f>
        <v>45</v>
      </c>
      <c r="CJ31" s="107">
        <f>Assumptions!$E$40</f>
        <v>45</v>
      </c>
      <c r="CK31" s="107">
        <f>Assumptions!$E$40</f>
        <v>45</v>
      </c>
      <c r="CL31" s="107">
        <f>Assumptions!$E$40</f>
        <v>45</v>
      </c>
      <c r="CM31" s="107">
        <f>Assumptions!$E$40</f>
        <v>45</v>
      </c>
      <c r="CN31" s="107">
        <f>Assumptions!$E$40</f>
        <v>45</v>
      </c>
      <c r="CO31" s="107">
        <f>Assumptions!$E$40</f>
        <v>45</v>
      </c>
      <c r="CP31" s="107">
        <f>Assumptions!$E$40</f>
        <v>45</v>
      </c>
      <c r="CQ31" s="107">
        <f>Assumptions!$E$40</f>
        <v>45</v>
      </c>
      <c r="CR31" s="107">
        <f>Assumptions!$E$40</f>
        <v>45</v>
      </c>
      <c r="CS31" s="107">
        <f>Assumptions!$E$40</f>
        <v>45</v>
      </c>
      <c r="CT31" s="107">
        <f>Assumptions!$E$40</f>
        <v>45</v>
      </c>
      <c r="CU31" s="107">
        <f>Assumptions!$E$40</f>
        <v>45</v>
      </c>
      <c r="CV31" s="107">
        <f>Assumptions!$E$40</f>
        <v>45</v>
      </c>
      <c r="CW31" s="107">
        <f>Assumptions!$E$40</f>
        <v>45</v>
      </c>
      <c r="CX31" s="107">
        <f>Assumptions!$E$40</f>
        <v>45</v>
      </c>
      <c r="CY31" s="107">
        <f>Assumptions!$E$40</f>
        <v>45</v>
      </c>
      <c r="CZ31" s="107">
        <f>Assumptions!$E$40</f>
        <v>45</v>
      </c>
      <c r="DA31" s="107">
        <f>Assumptions!$E$40</f>
        <v>45</v>
      </c>
      <c r="DB31" s="107">
        <f>Assumptions!$E$40</f>
        <v>45</v>
      </c>
      <c r="DC31" s="107">
        <f>Assumptions!$E$40</f>
        <v>45</v>
      </c>
      <c r="DD31" s="107">
        <f>Assumptions!$E$40</f>
        <v>45</v>
      </c>
      <c r="DE31" s="107">
        <f>Assumptions!$E$40</f>
        <v>45</v>
      </c>
      <c r="DF31" s="107">
        <f>Assumptions!$E$40</f>
        <v>45</v>
      </c>
      <c r="DG31" s="107">
        <f>Assumptions!$E$40</f>
        <v>45</v>
      </c>
      <c r="DH31" s="107">
        <f>Assumptions!$E$40</f>
        <v>45</v>
      </c>
      <c r="DI31" s="107">
        <f>Assumptions!$E$40</f>
        <v>45</v>
      </c>
      <c r="DJ31" s="107">
        <f>Assumptions!$E$40</f>
        <v>45</v>
      </c>
      <c r="DK31" s="107">
        <f>Assumptions!$E$40</f>
        <v>45</v>
      </c>
      <c r="DL31" s="107">
        <f>Assumptions!$E$40</f>
        <v>45</v>
      </c>
      <c r="DM31" s="107">
        <f>Assumptions!$E$40</f>
        <v>45</v>
      </c>
      <c r="DN31" s="107">
        <f>Assumptions!$E$40</f>
        <v>45</v>
      </c>
      <c r="DO31" s="107">
        <f>Assumptions!$E$40</f>
        <v>45</v>
      </c>
      <c r="DP31" s="107">
        <f>Assumptions!$E$40</f>
        <v>45</v>
      </c>
      <c r="DQ31" s="107">
        <f>Assumptions!$E$40</f>
        <v>45</v>
      </c>
      <c r="DR31" s="107">
        <f>Assumptions!$E$40</f>
        <v>45</v>
      </c>
      <c r="DS31" s="107">
        <f>Simulation!$J$127</f>
        <v>0</v>
      </c>
      <c r="DT31" s="107">
        <f>Simulation!$J$128</f>
        <v>0</v>
      </c>
      <c r="DU31" s="107">
        <f>Simulation!$J$129</f>
        <v>0</v>
      </c>
      <c r="DV31" s="107">
        <f>Simulation!$J$130</f>
        <v>0</v>
      </c>
      <c r="DW31" s="107">
        <f>Simulation!$J$131</f>
        <v>0</v>
      </c>
      <c r="DX31" s="107">
        <f>Simulation!$J$132</f>
        <v>0</v>
      </c>
      <c r="DY31" s="107">
        <f>Simulation!$J$133</f>
        <v>0</v>
      </c>
      <c r="DZ31" s="107">
        <f>Simulation!$J$134</f>
        <v>0</v>
      </c>
      <c r="EA31" s="107">
        <f>Simulation!$J$135</f>
        <v>0</v>
      </c>
      <c r="EB31" s="107">
        <f>Simulation!$J$136</f>
        <v>0</v>
      </c>
      <c r="EC31" s="107">
        <f>Simulation!$J$137</f>
        <v>0</v>
      </c>
      <c r="ED31" s="107">
        <f>Simulation!$J$138</f>
        <v>0</v>
      </c>
      <c r="EE31" s="107">
        <f>Simulation!$J$139</f>
        <v>0</v>
      </c>
      <c r="EF31" s="107">
        <f>Simulation!$J$140</f>
        <v>0</v>
      </c>
      <c r="EG31" s="107">
        <f>Simulation!$J$141</f>
        <v>0</v>
      </c>
      <c r="EH31" s="107">
        <f>Simulation!$J$142</f>
        <v>0</v>
      </c>
      <c r="EI31" s="107">
        <f>Simulation!$J$143</f>
        <v>0</v>
      </c>
      <c r="EJ31" s="107">
        <f>Simulation!$J$144</f>
        <v>0</v>
      </c>
      <c r="EK31" s="107">
        <f>Simulation!$J$145</f>
        <v>0</v>
      </c>
      <c r="EL31" s="107">
        <f>Simulation!$J$146</f>
        <v>0</v>
      </c>
      <c r="EM31" s="107">
        <f>Simulation!$J$147</f>
        <v>0</v>
      </c>
      <c r="EN31" s="107">
        <f>Simulation!$J$148</f>
        <v>0</v>
      </c>
      <c r="EO31" s="107">
        <f>Simulation!$J$149</f>
        <v>0</v>
      </c>
      <c r="EP31" s="107">
        <f>Simulation!$J$150</f>
        <v>0</v>
      </c>
      <c r="EQ31" s="107">
        <f>Simulation!$J$151</f>
        <v>0</v>
      </c>
      <c r="ER31" s="107">
        <f>Simulation!$J$152</f>
        <v>0</v>
      </c>
      <c r="ES31" s="107">
        <f>Simulation!$J$153</f>
        <v>0</v>
      </c>
      <c r="ET31" s="107">
        <f>Simulation!$J$154</f>
        <v>0</v>
      </c>
      <c r="EU31" s="107">
        <f>Simulation!$J$155</f>
        <v>0</v>
      </c>
      <c r="EV31" s="107">
        <f>Simulation!$J$156</f>
        <v>0</v>
      </c>
      <c r="EW31" s="107">
        <f>Simulation!$J$157</f>
        <v>0</v>
      </c>
      <c r="EX31" s="107">
        <f>Simulation!$J$158</f>
        <v>0</v>
      </c>
      <c r="EY31" s="107">
        <f>Simulation!$J$159</f>
        <v>0</v>
      </c>
      <c r="EZ31" s="107">
        <f>Simulation!$J$160</f>
        <v>0</v>
      </c>
      <c r="FA31" s="107">
        <f>Simulation!$J$161</f>
        <v>0</v>
      </c>
      <c r="FB31" s="107">
        <f>Simulation!$J$162</f>
        <v>0</v>
      </c>
      <c r="FC31" s="107">
        <f>Simulation!$J$163</f>
        <v>0</v>
      </c>
      <c r="FD31" s="107">
        <f>Simulation!$J$164</f>
        <v>0</v>
      </c>
      <c r="FE31" s="107">
        <f>Simulation!$J$165</f>
        <v>0</v>
      </c>
      <c r="FF31" s="107">
        <f>Simulation!$J$166</f>
        <v>0</v>
      </c>
      <c r="FG31" s="107">
        <f>Simulation!$J$167</f>
        <v>0</v>
      </c>
      <c r="FH31" s="107">
        <f>Simulation!$J$168</f>
        <v>0</v>
      </c>
      <c r="FI31" s="107">
        <f>Simulation!$J$169</f>
        <v>0</v>
      </c>
      <c r="FJ31" s="107">
        <f>Simulation!$J$170</f>
        <v>0</v>
      </c>
      <c r="FK31" s="107">
        <f>Simulation!$J$171</f>
        <v>0</v>
      </c>
      <c r="FL31" s="107">
        <f>Simulation!$J$172</f>
        <v>0</v>
      </c>
      <c r="FM31" s="107">
        <f>Simulation!$J$173</f>
        <v>0</v>
      </c>
      <c r="FN31" s="107">
        <f>Simulation!$J$174</f>
        <v>0</v>
      </c>
      <c r="FO31" s="107">
        <f>Simulation!$J$175</f>
        <v>0</v>
      </c>
      <c r="FP31" s="107">
        <f>Simulation!$J$176</f>
        <v>0</v>
      </c>
      <c r="FQ31" s="107">
        <f>Simulation!$J$177</f>
        <v>0</v>
      </c>
      <c r="FR31" s="107">
        <f>Simulation!$J$178</f>
        <v>0</v>
      </c>
      <c r="FS31" s="107">
        <f>Simulation!$J$179</f>
        <v>0</v>
      </c>
      <c r="FT31" s="107">
        <f>Simulation!$J$180</f>
        <v>0</v>
      </c>
      <c r="FU31" s="107">
        <f>Simulation!$J$181</f>
        <v>0</v>
      </c>
      <c r="FV31" s="107">
        <f>Simulation!$J$182</f>
        <v>0</v>
      </c>
      <c r="FW31" s="107">
        <f>Simulation!$J$183</f>
        <v>0</v>
      </c>
      <c r="FX31" s="107">
        <f>Simulation!$J$184</f>
        <v>0</v>
      </c>
      <c r="FY31" s="107">
        <f>Simulation!$J$185</f>
        <v>0</v>
      </c>
      <c r="FZ31" s="107">
        <f>Simulation!$J$186</f>
        <v>0</v>
      </c>
      <c r="GA31" s="107">
        <f>Simulation!$J$187</f>
        <v>0</v>
      </c>
      <c r="GB31" s="107">
        <f>Simulation!$J$188</f>
        <v>0</v>
      </c>
      <c r="GC31" s="107">
        <f>Simulation!$J$189</f>
        <v>0</v>
      </c>
      <c r="GD31" s="107">
        <f>Simulation!$J$190</f>
        <v>0</v>
      </c>
      <c r="GE31" s="107">
        <f>Simulation!$J$191</f>
        <v>0</v>
      </c>
      <c r="GF31" s="107">
        <f>Simulation!$J$192</f>
        <v>0</v>
      </c>
      <c r="GG31" s="107">
        <f>Simulation!$J$193</f>
        <v>0</v>
      </c>
      <c r="GH31" s="107">
        <f>Simulation!$J$194</f>
        <v>0</v>
      </c>
      <c r="GI31" s="107">
        <f>Simulation!$J$195</f>
        <v>0</v>
      </c>
      <c r="GJ31" s="107">
        <f>Simulation!$J$196</f>
        <v>0</v>
      </c>
      <c r="GK31" s="107">
        <f>Simulation!$J$197</f>
        <v>0</v>
      </c>
      <c r="GL31" s="107">
        <f>Simulation!$J$198</f>
        <v>0</v>
      </c>
      <c r="GM31" s="107">
        <f>Simulation!$J$199</f>
        <v>0</v>
      </c>
      <c r="GN31" s="107">
        <f>Simulation!$J$200</f>
        <v>0</v>
      </c>
      <c r="GO31" s="107">
        <f>Simulation!$J$201</f>
        <v>0</v>
      </c>
      <c r="GP31" s="107">
        <f>Simulation!$J$202</f>
        <v>0</v>
      </c>
      <c r="GQ31" s="107">
        <f>Simulation!$J$203</f>
        <v>0</v>
      </c>
      <c r="GR31" s="107">
        <f>Simulation!$J$204</f>
        <v>0</v>
      </c>
      <c r="GS31" s="107">
        <f>Simulation!$J$205</f>
        <v>0</v>
      </c>
      <c r="GT31" s="107">
        <f>Simulation!$J$206</f>
        <v>0</v>
      </c>
      <c r="GU31" s="107">
        <f>Simulation!$J$207</f>
        <v>0</v>
      </c>
      <c r="GV31" s="107">
        <f>Simulation!$J$208</f>
        <v>0</v>
      </c>
      <c r="GW31" s="107">
        <f>Simulation!$J$209</f>
        <v>0</v>
      </c>
      <c r="GX31" s="107">
        <f>Simulation!$J$210</f>
        <v>0</v>
      </c>
      <c r="GY31" s="107">
        <f>Simulation!$J$211</f>
        <v>0</v>
      </c>
      <c r="GZ31" s="107">
        <f>Simulation!$J$212</f>
        <v>0</v>
      </c>
      <c r="HA31" s="107">
        <f>Simulation!$J$213</f>
        <v>0</v>
      </c>
      <c r="HB31" s="107">
        <f>Simulation!$J$214</f>
        <v>0</v>
      </c>
      <c r="HC31" s="107">
        <f>Simulation!$J$215</f>
        <v>0</v>
      </c>
      <c r="HD31" s="107">
        <f>Simulation!$J$216</f>
        <v>0</v>
      </c>
      <c r="HE31" s="107">
        <f>Simulation!$J$217</f>
        <v>0</v>
      </c>
      <c r="HF31" s="107">
        <f>Simulation!$J$218</f>
        <v>0</v>
      </c>
      <c r="HG31" s="107">
        <f>Simulation!$J$219</f>
        <v>0</v>
      </c>
      <c r="HH31" s="107">
        <f>Simulation!$J$220</f>
        <v>0</v>
      </c>
      <c r="HI31" s="107">
        <f>Simulation!$J$221</f>
        <v>0</v>
      </c>
      <c r="HJ31" s="107">
        <f>Simulation!$J$222</f>
        <v>0</v>
      </c>
      <c r="HK31" s="107">
        <f>Simulation!$J$223</f>
        <v>0</v>
      </c>
      <c r="HL31" s="107">
        <f>Simulation!$J$224</f>
        <v>0</v>
      </c>
      <c r="HM31" s="107">
        <f>Simulation!$J$225</f>
        <v>0</v>
      </c>
      <c r="HN31" s="107">
        <f>Simulation!$J$226</f>
        <v>0</v>
      </c>
      <c r="HO31" s="107">
        <f>Simulation!$J$227</f>
        <v>0</v>
      </c>
      <c r="HP31" s="107">
        <f>Simulation!$J$228</f>
        <v>0</v>
      </c>
      <c r="HQ31" s="107">
        <f>Simulation!$J$229</f>
        <v>0</v>
      </c>
      <c r="HR31" s="107">
        <f>Simulation!$J$230</f>
        <v>0</v>
      </c>
      <c r="HS31" s="107">
        <f>Simulation!$J$231</f>
        <v>0</v>
      </c>
      <c r="HT31" s="107">
        <f>Simulation!$J$232</f>
        <v>0</v>
      </c>
      <c r="HU31" s="107">
        <f>Simulation!$J$233</f>
        <v>0</v>
      </c>
      <c r="HV31" s="107">
        <f>Simulation!$J$234</f>
        <v>0</v>
      </c>
      <c r="HW31" s="107">
        <f>Simulation!$J$235</f>
        <v>0</v>
      </c>
      <c r="HX31" s="107">
        <f>Simulation!$J$236</f>
        <v>0</v>
      </c>
      <c r="HY31" s="107">
        <f>Simulation!$J$237</f>
        <v>0</v>
      </c>
      <c r="HZ31" s="107">
        <f>Simulation!$J$238</f>
        <v>0</v>
      </c>
      <c r="IA31" s="107">
        <f>Simulation!$J$239</f>
        <v>0</v>
      </c>
      <c r="IB31" s="107">
        <f>Simulation!$J$240</f>
        <v>0</v>
      </c>
      <c r="IC31" s="107">
        <f>Simulation!$J$241</f>
        <v>0</v>
      </c>
      <c r="ID31" s="107">
        <f>Simulation!$J$242</f>
        <v>0</v>
      </c>
      <c r="IE31" s="107">
        <f>Simulation!$J$243</f>
        <v>0</v>
      </c>
      <c r="IF31" s="107">
        <f>Simulation!$J$244</f>
        <v>0</v>
      </c>
      <c r="IG31" s="107">
        <f>Simulation!$J$245</f>
        <v>0</v>
      </c>
      <c r="IH31" s="107">
        <f>Simulation!$J$246</f>
        <v>0</v>
      </c>
      <c r="II31" s="107">
        <f>Simulation!$J$247</f>
        <v>0</v>
      </c>
      <c r="IJ31" s="107">
        <f>Simulation!$J$248</f>
        <v>0</v>
      </c>
      <c r="IK31" s="107">
        <f>Simulation!$J$249</f>
        <v>0</v>
      </c>
      <c r="IL31" s="107">
        <f>Simulation!$J$250</f>
        <v>0</v>
      </c>
      <c r="IM31" s="107">
        <f>Simulation!$J$251</f>
        <v>0</v>
      </c>
      <c r="IN31" s="107">
        <f>Simulation!$J$252</f>
        <v>0</v>
      </c>
      <c r="IO31" s="107">
        <f>Simulation!$J$253</f>
        <v>0</v>
      </c>
      <c r="IP31" s="107">
        <f>Simulation!$J$254</f>
        <v>0</v>
      </c>
      <c r="IQ31" s="107">
        <f>Simulation!$J$255</f>
        <v>0</v>
      </c>
      <c r="IR31" s="107">
        <f>Simulation!$J$256</f>
        <v>0</v>
      </c>
      <c r="IS31" s="107">
        <f>Simulation!$J$257</f>
        <v>0</v>
      </c>
      <c r="IT31" s="107">
        <f>Simulation!$J$258</f>
        <v>0</v>
      </c>
      <c r="IU31" s="107">
        <f>Simulation!$J$259</f>
        <v>0</v>
      </c>
      <c r="IV31" s="107">
        <f>Simulation!$J$260</f>
        <v>0</v>
      </c>
      <c r="IW31" s="107">
        <f>Simulation!$J$261</f>
        <v>0</v>
      </c>
      <c r="IX31" s="107">
        <f>Simulation!$J$262</f>
        <v>0</v>
      </c>
      <c r="IY31" s="107">
        <f>Simulation!$J$263</f>
        <v>0</v>
      </c>
      <c r="IZ31" s="107">
        <f>Simulation!$J$264</f>
        <v>0</v>
      </c>
      <c r="JA31" s="107">
        <f>Simulation!$J$265</f>
        <v>0</v>
      </c>
      <c r="JB31" s="107">
        <f>Simulation!$J$266</f>
        <v>0</v>
      </c>
      <c r="JC31" s="107">
        <f>Simulation!$J$267</f>
        <v>0</v>
      </c>
      <c r="JD31" s="107">
        <f>Simulation!$J$268</f>
        <v>0</v>
      </c>
      <c r="JE31" s="107">
        <f>Simulation!$J$269</f>
        <v>0</v>
      </c>
      <c r="JF31" s="107">
        <f>Simulation!$J$270</f>
        <v>0</v>
      </c>
      <c r="JG31" s="107">
        <f>Simulation!$J$271</f>
        <v>0</v>
      </c>
      <c r="JH31" s="107">
        <f>Simulation!$J$272</f>
        <v>0</v>
      </c>
      <c r="JI31" s="107">
        <f>Simulation!$J$273</f>
        <v>0</v>
      </c>
      <c r="JJ31" s="107">
        <f>Simulation!$J$274</f>
        <v>0</v>
      </c>
      <c r="JK31" s="107">
        <f>Simulation!$J$275</f>
        <v>0</v>
      </c>
      <c r="JL31" s="107">
        <f>Simulation!$J$276</f>
        <v>0</v>
      </c>
      <c r="JM31" s="107">
        <f>Simulation!$J$277</f>
        <v>0</v>
      </c>
      <c r="JN31" s="107">
        <f>Simulation!$J$278</f>
        <v>0</v>
      </c>
      <c r="JO31" s="107">
        <f>Simulation!$J$279</f>
        <v>0</v>
      </c>
      <c r="JP31" s="107">
        <f>Simulation!$J$280</f>
        <v>0</v>
      </c>
      <c r="JQ31" s="107">
        <f>Simulation!$J$281</f>
        <v>0</v>
      </c>
      <c r="JR31" s="107">
        <f>Simulation!$J$282</f>
        <v>0</v>
      </c>
      <c r="JS31" s="107">
        <f>Simulation!$J$283</f>
        <v>0</v>
      </c>
      <c r="JT31" s="107">
        <f>Simulation!$J$284</f>
        <v>0</v>
      </c>
      <c r="JU31" s="107">
        <f>Simulation!$J$285</f>
        <v>0</v>
      </c>
      <c r="JV31" s="107">
        <f>Simulation!$J$286</f>
        <v>0</v>
      </c>
      <c r="JW31" s="107">
        <f>Simulation!$J$287</f>
        <v>0</v>
      </c>
      <c r="JX31" s="107">
        <f>Simulation!$J$288</f>
        <v>0</v>
      </c>
      <c r="JY31" s="107">
        <f>Simulation!$J$289</f>
        <v>0</v>
      </c>
      <c r="JZ31" s="107">
        <f>Simulation!$J$290</f>
        <v>0</v>
      </c>
      <c r="KA31" s="107">
        <f>Simulation!$J$291</f>
        <v>0</v>
      </c>
      <c r="KB31" s="107">
        <f>Simulation!$J$292</f>
        <v>0</v>
      </c>
      <c r="KC31" s="107">
        <f>Simulation!$J$293</f>
        <v>0</v>
      </c>
      <c r="KD31" s="107">
        <f>Simulation!$J$294</f>
        <v>0</v>
      </c>
      <c r="KE31" s="107">
        <f>Simulation!$J$295</f>
        <v>0</v>
      </c>
      <c r="KF31" s="107">
        <f>Simulation!$J$296</f>
        <v>0</v>
      </c>
      <c r="KG31" s="107">
        <f>Simulation!$J$297</f>
        <v>0</v>
      </c>
      <c r="KH31" s="107">
        <f>Simulation!$J$298</f>
        <v>0</v>
      </c>
      <c r="KI31" s="107">
        <f>Simulation!$J$299</f>
        <v>0</v>
      </c>
      <c r="KJ31" s="107">
        <f>Simulation!$J$300</f>
        <v>0</v>
      </c>
      <c r="KK31" s="107">
        <f>Simulation!$J$301</f>
        <v>0</v>
      </c>
      <c r="KL31" s="107">
        <f>Simulation!$J$302</f>
        <v>0</v>
      </c>
      <c r="KM31" s="107">
        <f>Simulation!$J$303</f>
        <v>0</v>
      </c>
      <c r="KN31" s="107">
        <f>Simulation!$J$304</f>
        <v>0</v>
      </c>
      <c r="KO31" s="107">
        <f>Simulation!$J$305</f>
        <v>0</v>
      </c>
      <c r="KP31" s="107">
        <f>Simulation!$J$306</f>
        <v>0</v>
      </c>
    </row>
    <row r="32" spans="1:302" ht="16" customHeight="1" x14ac:dyDescent="0.2">
      <c r="A32" s="115" t="s">
        <v>442</v>
      </c>
      <c r="B32" s="116" t="s">
        <v>215</v>
      </c>
      <c r="C32" s="117">
        <f t="shared" ref="C32:BN32" si="50">C30*C31/1000</f>
        <v>200.90567249999995</v>
      </c>
      <c r="D32" s="117">
        <f t="shared" si="50"/>
        <v>200.90567249999995</v>
      </c>
      <c r="E32" s="117">
        <f t="shared" si="50"/>
        <v>200.90567249999995</v>
      </c>
      <c r="F32" s="117">
        <f t="shared" si="50"/>
        <v>200.90567249999995</v>
      </c>
      <c r="G32" s="117">
        <f t="shared" si="50"/>
        <v>200.90567249999995</v>
      </c>
      <c r="H32" s="117">
        <f t="shared" si="50"/>
        <v>200.90567249999995</v>
      </c>
      <c r="I32" s="117">
        <f t="shared" si="50"/>
        <v>200.90567249999995</v>
      </c>
      <c r="J32" s="117">
        <f t="shared" si="50"/>
        <v>200.90567249999995</v>
      </c>
      <c r="K32" s="117">
        <f t="shared" si="50"/>
        <v>200.90567249999995</v>
      </c>
      <c r="L32" s="117">
        <f t="shared" si="50"/>
        <v>200.90567249999995</v>
      </c>
      <c r="M32" s="117">
        <f t="shared" si="50"/>
        <v>200.90567249999995</v>
      </c>
      <c r="N32" s="117">
        <f t="shared" si="50"/>
        <v>200.90567249999995</v>
      </c>
      <c r="O32" s="117">
        <f t="shared" si="50"/>
        <v>199.90114413749995</v>
      </c>
      <c r="P32" s="117">
        <f t="shared" si="50"/>
        <v>199.90114413749995</v>
      </c>
      <c r="Q32" s="117">
        <f t="shared" si="50"/>
        <v>199.90114413749995</v>
      </c>
      <c r="R32" s="117">
        <f t="shared" si="50"/>
        <v>199.90114413749995</v>
      </c>
      <c r="S32" s="117">
        <f t="shared" si="50"/>
        <v>199.90114413749995</v>
      </c>
      <c r="T32" s="117">
        <f t="shared" si="50"/>
        <v>199.90114413749995</v>
      </c>
      <c r="U32" s="117">
        <f t="shared" si="50"/>
        <v>199.90114413749995</v>
      </c>
      <c r="V32" s="117">
        <f t="shared" si="50"/>
        <v>199.90114413749995</v>
      </c>
      <c r="W32" s="117">
        <f t="shared" si="50"/>
        <v>199.90114413749995</v>
      </c>
      <c r="X32" s="117">
        <f t="shared" si="50"/>
        <v>199.90114413749995</v>
      </c>
      <c r="Y32" s="117">
        <f t="shared" si="50"/>
        <v>199.90114413749995</v>
      </c>
      <c r="Z32" s="117">
        <f t="shared" si="50"/>
        <v>199.90114413749995</v>
      </c>
      <c r="AA32" s="117">
        <f t="shared" si="50"/>
        <v>198.90163841681249</v>
      </c>
      <c r="AB32" s="117">
        <f t="shared" si="50"/>
        <v>198.90163841681249</v>
      </c>
      <c r="AC32" s="117">
        <f t="shared" si="50"/>
        <v>198.90163841681249</v>
      </c>
      <c r="AD32" s="117">
        <f t="shared" si="50"/>
        <v>198.90163841681249</v>
      </c>
      <c r="AE32" s="117">
        <f t="shared" si="50"/>
        <v>198.90163841681249</v>
      </c>
      <c r="AF32" s="117">
        <f t="shared" si="50"/>
        <v>198.90163841681249</v>
      </c>
      <c r="AG32" s="117">
        <f t="shared" si="50"/>
        <v>198.90163841681249</v>
      </c>
      <c r="AH32" s="117">
        <f t="shared" si="50"/>
        <v>198.90163841681249</v>
      </c>
      <c r="AI32" s="117">
        <f t="shared" si="50"/>
        <v>198.90163841681249</v>
      </c>
      <c r="AJ32" s="117">
        <f t="shared" si="50"/>
        <v>198.90163841681249</v>
      </c>
      <c r="AK32" s="117">
        <f t="shared" si="50"/>
        <v>198.90163841681249</v>
      </c>
      <c r="AL32" s="117">
        <f t="shared" si="50"/>
        <v>198.90163841681249</v>
      </c>
      <c r="AM32" s="117">
        <f t="shared" si="50"/>
        <v>197.90713022472838</v>
      </c>
      <c r="AN32" s="117">
        <f t="shared" si="50"/>
        <v>197.90713022472838</v>
      </c>
      <c r="AO32" s="117">
        <f t="shared" si="50"/>
        <v>197.90713022472838</v>
      </c>
      <c r="AP32" s="117">
        <f t="shared" si="50"/>
        <v>197.90713022472838</v>
      </c>
      <c r="AQ32" s="117">
        <f t="shared" si="50"/>
        <v>197.90713022472838</v>
      </c>
      <c r="AR32" s="117">
        <f t="shared" si="50"/>
        <v>197.90713022472838</v>
      </c>
      <c r="AS32" s="117">
        <f t="shared" si="50"/>
        <v>197.90713022472838</v>
      </c>
      <c r="AT32" s="117">
        <f t="shared" si="50"/>
        <v>197.90713022472838</v>
      </c>
      <c r="AU32" s="117">
        <f t="shared" si="50"/>
        <v>197.90713022472838</v>
      </c>
      <c r="AV32" s="117">
        <f t="shared" si="50"/>
        <v>197.90713022472838</v>
      </c>
      <c r="AW32" s="117">
        <f t="shared" si="50"/>
        <v>197.90713022472838</v>
      </c>
      <c r="AX32" s="117">
        <f t="shared" si="50"/>
        <v>197.90713022472838</v>
      </c>
      <c r="AY32" s="117">
        <f t="shared" si="50"/>
        <v>196.91759457360476</v>
      </c>
      <c r="AZ32" s="117">
        <f t="shared" si="50"/>
        <v>196.91759457360476</v>
      </c>
      <c r="BA32" s="117">
        <f t="shared" si="50"/>
        <v>196.91759457360476</v>
      </c>
      <c r="BB32" s="117">
        <f t="shared" si="50"/>
        <v>196.91759457360476</v>
      </c>
      <c r="BC32" s="117">
        <f t="shared" si="50"/>
        <v>196.91759457360476</v>
      </c>
      <c r="BD32" s="117">
        <f t="shared" si="50"/>
        <v>196.91759457360476</v>
      </c>
      <c r="BE32" s="117">
        <f t="shared" si="50"/>
        <v>196.91759457360476</v>
      </c>
      <c r="BF32" s="117">
        <f t="shared" si="50"/>
        <v>196.91759457360476</v>
      </c>
      <c r="BG32" s="117">
        <f t="shared" si="50"/>
        <v>196.91759457360476</v>
      </c>
      <c r="BH32" s="117">
        <f t="shared" si="50"/>
        <v>196.91759457360476</v>
      </c>
      <c r="BI32" s="117">
        <f t="shared" si="50"/>
        <v>196.91759457360476</v>
      </c>
      <c r="BJ32" s="117">
        <f t="shared" si="50"/>
        <v>196.91759457360476</v>
      </c>
      <c r="BK32" s="117">
        <f t="shared" si="50"/>
        <v>195.93300660073675</v>
      </c>
      <c r="BL32" s="117">
        <f t="shared" si="50"/>
        <v>195.93300660073675</v>
      </c>
      <c r="BM32" s="117">
        <f t="shared" si="50"/>
        <v>195.93300660073675</v>
      </c>
      <c r="BN32" s="117">
        <f t="shared" si="50"/>
        <v>195.93300660073675</v>
      </c>
      <c r="BO32" s="117">
        <f t="shared" ref="BO32:DZ32" si="51">BO30*BO31/1000</f>
        <v>195.93300660073675</v>
      </c>
      <c r="BP32" s="117">
        <f t="shared" si="51"/>
        <v>195.93300660073675</v>
      </c>
      <c r="BQ32" s="117">
        <f t="shared" si="51"/>
        <v>195.93300660073675</v>
      </c>
      <c r="BR32" s="117">
        <f t="shared" si="51"/>
        <v>195.93300660073675</v>
      </c>
      <c r="BS32" s="117">
        <f t="shared" si="51"/>
        <v>195.93300660073675</v>
      </c>
      <c r="BT32" s="117">
        <f t="shared" si="51"/>
        <v>195.93300660073675</v>
      </c>
      <c r="BU32" s="117">
        <f t="shared" si="51"/>
        <v>195.93300660073675</v>
      </c>
      <c r="BV32" s="117">
        <f t="shared" si="51"/>
        <v>195.93300660073675</v>
      </c>
      <c r="BW32" s="117">
        <f t="shared" si="51"/>
        <v>194.95334156773308</v>
      </c>
      <c r="BX32" s="117">
        <f t="shared" si="51"/>
        <v>194.95334156773308</v>
      </c>
      <c r="BY32" s="117">
        <f t="shared" si="51"/>
        <v>194.95334156773308</v>
      </c>
      <c r="BZ32" s="117">
        <f t="shared" si="51"/>
        <v>194.95334156773308</v>
      </c>
      <c r="CA32" s="117">
        <f t="shared" si="51"/>
        <v>194.95334156773308</v>
      </c>
      <c r="CB32" s="117">
        <f t="shared" si="51"/>
        <v>194.95334156773308</v>
      </c>
      <c r="CC32" s="117">
        <f t="shared" si="51"/>
        <v>194.95334156773308</v>
      </c>
      <c r="CD32" s="117">
        <f t="shared" si="51"/>
        <v>194.95334156773308</v>
      </c>
      <c r="CE32" s="117">
        <f t="shared" si="51"/>
        <v>194.95334156773308</v>
      </c>
      <c r="CF32" s="117">
        <f t="shared" si="51"/>
        <v>194.95334156773308</v>
      </c>
      <c r="CG32" s="117">
        <f t="shared" si="51"/>
        <v>194.95334156773308</v>
      </c>
      <c r="CH32" s="117">
        <f t="shared" si="51"/>
        <v>194.95334156773308</v>
      </c>
      <c r="CI32" s="117">
        <f t="shared" si="51"/>
        <v>193.97857485989437</v>
      </c>
      <c r="CJ32" s="117">
        <f t="shared" si="51"/>
        <v>193.97857485989437</v>
      </c>
      <c r="CK32" s="117">
        <f t="shared" si="51"/>
        <v>193.97857485989437</v>
      </c>
      <c r="CL32" s="117">
        <f t="shared" si="51"/>
        <v>193.97857485989437</v>
      </c>
      <c r="CM32" s="117">
        <f t="shared" si="51"/>
        <v>193.97857485989437</v>
      </c>
      <c r="CN32" s="117">
        <f t="shared" si="51"/>
        <v>193.97857485989437</v>
      </c>
      <c r="CO32" s="117">
        <f t="shared" si="51"/>
        <v>193.97857485989437</v>
      </c>
      <c r="CP32" s="117">
        <f t="shared" si="51"/>
        <v>193.97857485989437</v>
      </c>
      <c r="CQ32" s="117">
        <f t="shared" si="51"/>
        <v>193.97857485989437</v>
      </c>
      <c r="CR32" s="117">
        <f t="shared" si="51"/>
        <v>193.97857485989437</v>
      </c>
      <c r="CS32" s="117">
        <f t="shared" si="51"/>
        <v>193.97857485989437</v>
      </c>
      <c r="CT32" s="117">
        <f t="shared" si="51"/>
        <v>193.97857485989437</v>
      </c>
      <c r="CU32" s="117">
        <f t="shared" si="51"/>
        <v>193.0086819855949</v>
      </c>
      <c r="CV32" s="117">
        <f t="shared" si="51"/>
        <v>193.0086819855949</v>
      </c>
      <c r="CW32" s="117">
        <f t="shared" si="51"/>
        <v>193.0086819855949</v>
      </c>
      <c r="CX32" s="117">
        <f t="shared" si="51"/>
        <v>193.0086819855949</v>
      </c>
      <c r="CY32" s="117">
        <f t="shared" si="51"/>
        <v>193.0086819855949</v>
      </c>
      <c r="CZ32" s="117">
        <f t="shared" si="51"/>
        <v>193.0086819855949</v>
      </c>
      <c r="DA32" s="117">
        <f t="shared" si="51"/>
        <v>193.0086819855949</v>
      </c>
      <c r="DB32" s="117">
        <f t="shared" si="51"/>
        <v>193.0086819855949</v>
      </c>
      <c r="DC32" s="117">
        <f t="shared" si="51"/>
        <v>193.0086819855949</v>
      </c>
      <c r="DD32" s="117">
        <f t="shared" si="51"/>
        <v>193.0086819855949</v>
      </c>
      <c r="DE32" s="117">
        <f t="shared" si="51"/>
        <v>193.0086819855949</v>
      </c>
      <c r="DF32" s="117">
        <f t="shared" si="51"/>
        <v>193.0086819855949</v>
      </c>
      <c r="DG32" s="117">
        <f t="shared" si="51"/>
        <v>192.0436385756669</v>
      </c>
      <c r="DH32" s="117">
        <f t="shared" si="51"/>
        <v>192.0436385756669</v>
      </c>
      <c r="DI32" s="117">
        <f t="shared" si="51"/>
        <v>192.0436385756669</v>
      </c>
      <c r="DJ32" s="117">
        <f t="shared" si="51"/>
        <v>192.0436385756669</v>
      </c>
      <c r="DK32" s="117">
        <f t="shared" si="51"/>
        <v>192.0436385756669</v>
      </c>
      <c r="DL32" s="117">
        <f t="shared" si="51"/>
        <v>192.0436385756669</v>
      </c>
      <c r="DM32" s="117">
        <f t="shared" si="51"/>
        <v>192.0436385756669</v>
      </c>
      <c r="DN32" s="117">
        <f t="shared" si="51"/>
        <v>192.0436385756669</v>
      </c>
      <c r="DO32" s="117">
        <f t="shared" si="51"/>
        <v>192.0436385756669</v>
      </c>
      <c r="DP32" s="117">
        <f t="shared" si="51"/>
        <v>192.0436385756669</v>
      </c>
      <c r="DQ32" s="117">
        <f t="shared" si="51"/>
        <v>192.0436385756669</v>
      </c>
      <c r="DR32" s="117">
        <f t="shared" si="51"/>
        <v>192.0436385756669</v>
      </c>
      <c r="DS32" s="117">
        <f t="shared" si="51"/>
        <v>0</v>
      </c>
      <c r="DT32" s="117">
        <f t="shared" si="51"/>
        <v>0</v>
      </c>
      <c r="DU32" s="117">
        <f t="shared" si="51"/>
        <v>0</v>
      </c>
      <c r="DV32" s="117">
        <f t="shared" si="51"/>
        <v>0</v>
      </c>
      <c r="DW32" s="117">
        <f t="shared" si="51"/>
        <v>0</v>
      </c>
      <c r="DX32" s="117">
        <f t="shared" si="51"/>
        <v>0</v>
      </c>
      <c r="DY32" s="117">
        <f t="shared" si="51"/>
        <v>0</v>
      </c>
      <c r="DZ32" s="117">
        <f t="shared" si="51"/>
        <v>0</v>
      </c>
      <c r="EA32" s="117">
        <f t="shared" ref="EA32:GL32" si="52">EA30*EA31/1000</f>
        <v>0</v>
      </c>
      <c r="EB32" s="117">
        <f t="shared" si="52"/>
        <v>0</v>
      </c>
      <c r="EC32" s="117">
        <f t="shared" si="52"/>
        <v>0</v>
      </c>
      <c r="ED32" s="117">
        <f t="shared" si="52"/>
        <v>0</v>
      </c>
      <c r="EE32" s="117">
        <f t="shared" si="52"/>
        <v>0</v>
      </c>
      <c r="EF32" s="117">
        <f t="shared" si="52"/>
        <v>0</v>
      </c>
      <c r="EG32" s="117">
        <f t="shared" si="52"/>
        <v>0</v>
      </c>
      <c r="EH32" s="117">
        <f t="shared" si="52"/>
        <v>0</v>
      </c>
      <c r="EI32" s="117">
        <f t="shared" si="52"/>
        <v>0</v>
      </c>
      <c r="EJ32" s="117">
        <f t="shared" si="52"/>
        <v>0</v>
      </c>
      <c r="EK32" s="117">
        <f t="shared" si="52"/>
        <v>0</v>
      </c>
      <c r="EL32" s="117">
        <f t="shared" si="52"/>
        <v>0</v>
      </c>
      <c r="EM32" s="117">
        <f t="shared" si="52"/>
        <v>0</v>
      </c>
      <c r="EN32" s="117">
        <f t="shared" si="52"/>
        <v>0</v>
      </c>
      <c r="EO32" s="117">
        <f t="shared" si="52"/>
        <v>0</v>
      </c>
      <c r="EP32" s="117">
        <f t="shared" si="52"/>
        <v>0</v>
      </c>
      <c r="EQ32" s="117">
        <f t="shared" si="52"/>
        <v>0</v>
      </c>
      <c r="ER32" s="117">
        <f t="shared" si="52"/>
        <v>0</v>
      </c>
      <c r="ES32" s="117">
        <f t="shared" si="52"/>
        <v>0</v>
      </c>
      <c r="ET32" s="117">
        <f t="shared" si="52"/>
        <v>0</v>
      </c>
      <c r="EU32" s="117">
        <f t="shared" si="52"/>
        <v>0</v>
      </c>
      <c r="EV32" s="117">
        <f t="shared" si="52"/>
        <v>0</v>
      </c>
      <c r="EW32" s="117">
        <f t="shared" si="52"/>
        <v>0</v>
      </c>
      <c r="EX32" s="117">
        <f t="shared" si="52"/>
        <v>0</v>
      </c>
      <c r="EY32" s="117">
        <f t="shared" si="52"/>
        <v>0</v>
      </c>
      <c r="EZ32" s="117">
        <f t="shared" si="52"/>
        <v>0</v>
      </c>
      <c r="FA32" s="117">
        <f t="shared" si="52"/>
        <v>0</v>
      </c>
      <c r="FB32" s="117">
        <f t="shared" si="52"/>
        <v>0</v>
      </c>
      <c r="FC32" s="117">
        <f t="shared" si="52"/>
        <v>0</v>
      </c>
      <c r="FD32" s="117">
        <f t="shared" si="52"/>
        <v>0</v>
      </c>
      <c r="FE32" s="117">
        <f t="shared" si="52"/>
        <v>0</v>
      </c>
      <c r="FF32" s="117">
        <f t="shared" si="52"/>
        <v>0</v>
      </c>
      <c r="FG32" s="117">
        <f t="shared" si="52"/>
        <v>0</v>
      </c>
      <c r="FH32" s="117">
        <f t="shared" si="52"/>
        <v>0</v>
      </c>
      <c r="FI32" s="117">
        <f t="shared" si="52"/>
        <v>0</v>
      </c>
      <c r="FJ32" s="117">
        <f t="shared" si="52"/>
        <v>0</v>
      </c>
      <c r="FK32" s="117">
        <f t="shared" si="52"/>
        <v>0</v>
      </c>
      <c r="FL32" s="117">
        <f t="shared" si="52"/>
        <v>0</v>
      </c>
      <c r="FM32" s="117">
        <f t="shared" si="52"/>
        <v>0</v>
      </c>
      <c r="FN32" s="117">
        <f t="shared" si="52"/>
        <v>0</v>
      </c>
      <c r="FO32" s="117">
        <f t="shared" si="52"/>
        <v>0</v>
      </c>
      <c r="FP32" s="117">
        <f t="shared" si="52"/>
        <v>0</v>
      </c>
      <c r="FQ32" s="117">
        <f t="shared" si="52"/>
        <v>0</v>
      </c>
      <c r="FR32" s="117">
        <f t="shared" si="52"/>
        <v>0</v>
      </c>
      <c r="FS32" s="117">
        <f t="shared" si="52"/>
        <v>0</v>
      </c>
      <c r="FT32" s="117">
        <f t="shared" si="52"/>
        <v>0</v>
      </c>
      <c r="FU32" s="117">
        <f t="shared" si="52"/>
        <v>0</v>
      </c>
      <c r="FV32" s="117">
        <f t="shared" si="52"/>
        <v>0</v>
      </c>
      <c r="FW32" s="117">
        <f t="shared" si="52"/>
        <v>0</v>
      </c>
      <c r="FX32" s="117">
        <f t="shared" si="52"/>
        <v>0</v>
      </c>
      <c r="FY32" s="117">
        <f t="shared" si="52"/>
        <v>0</v>
      </c>
      <c r="FZ32" s="117">
        <f t="shared" si="52"/>
        <v>0</v>
      </c>
      <c r="GA32" s="117">
        <f t="shared" si="52"/>
        <v>0</v>
      </c>
      <c r="GB32" s="117">
        <f t="shared" si="52"/>
        <v>0</v>
      </c>
      <c r="GC32" s="117">
        <f t="shared" si="52"/>
        <v>0</v>
      </c>
      <c r="GD32" s="117">
        <f t="shared" si="52"/>
        <v>0</v>
      </c>
      <c r="GE32" s="117">
        <f t="shared" si="52"/>
        <v>0</v>
      </c>
      <c r="GF32" s="117">
        <f t="shared" si="52"/>
        <v>0</v>
      </c>
      <c r="GG32" s="117">
        <f t="shared" si="52"/>
        <v>0</v>
      </c>
      <c r="GH32" s="117">
        <f t="shared" si="52"/>
        <v>0</v>
      </c>
      <c r="GI32" s="117">
        <f t="shared" si="52"/>
        <v>0</v>
      </c>
      <c r="GJ32" s="117">
        <f t="shared" si="52"/>
        <v>0</v>
      </c>
      <c r="GK32" s="117">
        <f t="shared" si="52"/>
        <v>0</v>
      </c>
      <c r="GL32" s="117">
        <f t="shared" si="52"/>
        <v>0</v>
      </c>
      <c r="GM32" s="117">
        <f t="shared" ref="GM32:IX32" si="53">GM30*GM31/1000</f>
        <v>0</v>
      </c>
      <c r="GN32" s="117">
        <f t="shared" si="53"/>
        <v>0</v>
      </c>
      <c r="GO32" s="117">
        <f t="shared" si="53"/>
        <v>0</v>
      </c>
      <c r="GP32" s="117">
        <f t="shared" si="53"/>
        <v>0</v>
      </c>
      <c r="GQ32" s="117">
        <f t="shared" si="53"/>
        <v>0</v>
      </c>
      <c r="GR32" s="117">
        <f t="shared" si="53"/>
        <v>0</v>
      </c>
      <c r="GS32" s="117">
        <f t="shared" si="53"/>
        <v>0</v>
      </c>
      <c r="GT32" s="117">
        <f t="shared" si="53"/>
        <v>0</v>
      </c>
      <c r="GU32" s="117">
        <f t="shared" si="53"/>
        <v>0</v>
      </c>
      <c r="GV32" s="117">
        <f t="shared" si="53"/>
        <v>0</v>
      </c>
      <c r="GW32" s="117">
        <f t="shared" si="53"/>
        <v>0</v>
      </c>
      <c r="GX32" s="117">
        <f t="shared" si="53"/>
        <v>0</v>
      </c>
      <c r="GY32" s="117">
        <f t="shared" si="53"/>
        <v>0</v>
      </c>
      <c r="GZ32" s="117">
        <f t="shared" si="53"/>
        <v>0</v>
      </c>
      <c r="HA32" s="117">
        <f t="shared" si="53"/>
        <v>0</v>
      </c>
      <c r="HB32" s="117">
        <f t="shared" si="53"/>
        <v>0</v>
      </c>
      <c r="HC32" s="117">
        <f t="shared" si="53"/>
        <v>0</v>
      </c>
      <c r="HD32" s="117">
        <f t="shared" si="53"/>
        <v>0</v>
      </c>
      <c r="HE32" s="117">
        <f t="shared" si="53"/>
        <v>0</v>
      </c>
      <c r="HF32" s="117">
        <f t="shared" si="53"/>
        <v>0</v>
      </c>
      <c r="HG32" s="117">
        <f t="shared" si="53"/>
        <v>0</v>
      </c>
      <c r="HH32" s="117">
        <f t="shared" si="53"/>
        <v>0</v>
      </c>
      <c r="HI32" s="117">
        <f t="shared" si="53"/>
        <v>0</v>
      </c>
      <c r="HJ32" s="117">
        <f t="shared" si="53"/>
        <v>0</v>
      </c>
      <c r="HK32" s="117">
        <f t="shared" si="53"/>
        <v>0</v>
      </c>
      <c r="HL32" s="117">
        <f t="shared" si="53"/>
        <v>0</v>
      </c>
      <c r="HM32" s="117">
        <f t="shared" si="53"/>
        <v>0</v>
      </c>
      <c r="HN32" s="117">
        <f t="shared" si="53"/>
        <v>0</v>
      </c>
      <c r="HO32" s="117">
        <f t="shared" si="53"/>
        <v>0</v>
      </c>
      <c r="HP32" s="117">
        <f t="shared" si="53"/>
        <v>0</v>
      </c>
      <c r="HQ32" s="117">
        <f t="shared" si="53"/>
        <v>0</v>
      </c>
      <c r="HR32" s="117">
        <f t="shared" si="53"/>
        <v>0</v>
      </c>
      <c r="HS32" s="117">
        <f t="shared" si="53"/>
        <v>0</v>
      </c>
      <c r="HT32" s="117">
        <f t="shared" si="53"/>
        <v>0</v>
      </c>
      <c r="HU32" s="117">
        <f t="shared" si="53"/>
        <v>0</v>
      </c>
      <c r="HV32" s="117">
        <f t="shared" si="53"/>
        <v>0</v>
      </c>
      <c r="HW32" s="117">
        <f t="shared" si="53"/>
        <v>0</v>
      </c>
      <c r="HX32" s="117">
        <f t="shared" si="53"/>
        <v>0</v>
      </c>
      <c r="HY32" s="117">
        <f t="shared" si="53"/>
        <v>0</v>
      </c>
      <c r="HZ32" s="117">
        <f t="shared" si="53"/>
        <v>0</v>
      </c>
      <c r="IA32" s="117">
        <f t="shared" si="53"/>
        <v>0</v>
      </c>
      <c r="IB32" s="117">
        <f t="shared" si="53"/>
        <v>0</v>
      </c>
      <c r="IC32" s="117">
        <f t="shared" si="53"/>
        <v>0</v>
      </c>
      <c r="ID32" s="117">
        <f t="shared" si="53"/>
        <v>0</v>
      </c>
      <c r="IE32" s="117">
        <f t="shared" si="53"/>
        <v>0</v>
      </c>
      <c r="IF32" s="117">
        <f t="shared" si="53"/>
        <v>0</v>
      </c>
      <c r="IG32" s="117">
        <f t="shared" si="53"/>
        <v>0</v>
      </c>
      <c r="IH32" s="117">
        <f t="shared" si="53"/>
        <v>0</v>
      </c>
      <c r="II32" s="117">
        <f t="shared" si="53"/>
        <v>0</v>
      </c>
      <c r="IJ32" s="117">
        <f t="shared" si="53"/>
        <v>0</v>
      </c>
      <c r="IK32" s="117">
        <f t="shared" si="53"/>
        <v>0</v>
      </c>
      <c r="IL32" s="117">
        <f t="shared" si="53"/>
        <v>0</v>
      </c>
      <c r="IM32" s="117">
        <f t="shared" si="53"/>
        <v>0</v>
      </c>
      <c r="IN32" s="117">
        <f t="shared" si="53"/>
        <v>0</v>
      </c>
      <c r="IO32" s="117">
        <f t="shared" si="53"/>
        <v>0</v>
      </c>
      <c r="IP32" s="117">
        <f t="shared" si="53"/>
        <v>0</v>
      </c>
      <c r="IQ32" s="117">
        <f t="shared" si="53"/>
        <v>0</v>
      </c>
      <c r="IR32" s="117">
        <f t="shared" si="53"/>
        <v>0</v>
      </c>
      <c r="IS32" s="117">
        <f t="shared" si="53"/>
        <v>0</v>
      </c>
      <c r="IT32" s="117">
        <f t="shared" si="53"/>
        <v>0</v>
      </c>
      <c r="IU32" s="117">
        <f t="shared" si="53"/>
        <v>0</v>
      </c>
      <c r="IV32" s="117">
        <f t="shared" si="53"/>
        <v>0</v>
      </c>
      <c r="IW32" s="117">
        <f t="shared" si="53"/>
        <v>0</v>
      </c>
      <c r="IX32" s="117">
        <f t="shared" si="53"/>
        <v>0</v>
      </c>
      <c r="IY32" s="117">
        <f t="shared" ref="IY32:KP32" si="54">IY30*IY31/1000</f>
        <v>0</v>
      </c>
      <c r="IZ32" s="117">
        <f t="shared" si="54"/>
        <v>0</v>
      </c>
      <c r="JA32" s="117">
        <f t="shared" si="54"/>
        <v>0</v>
      </c>
      <c r="JB32" s="117">
        <f t="shared" si="54"/>
        <v>0</v>
      </c>
      <c r="JC32" s="117">
        <f t="shared" si="54"/>
        <v>0</v>
      </c>
      <c r="JD32" s="117">
        <f t="shared" si="54"/>
        <v>0</v>
      </c>
      <c r="JE32" s="117">
        <f t="shared" si="54"/>
        <v>0</v>
      </c>
      <c r="JF32" s="117">
        <f t="shared" si="54"/>
        <v>0</v>
      </c>
      <c r="JG32" s="117">
        <f t="shared" si="54"/>
        <v>0</v>
      </c>
      <c r="JH32" s="117">
        <f t="shared" si="54"/>
        <v>0</v>
      </c>
      <c r="JI32" s="117">
        <f t="shared" si="54"/>
        <v>0</v>
      </c>
      <c r="JJ32" s="117">
        <f t="shared" si="54"/>
        <v>0</v>
      </c>
      <c r="JK32" s="117">
        <f t="shared" si="54"/>
        <v>0</v>
      </c>
      <c r="JL32" s="117">
        <f t="shared" si="54"/>
        <v>0</v>
      </c>
      <c r="JM32" s="117">
        <f t="shared" si="54"/>
        <v>0</v>
      </c>
      <c r="JN32" s="117">
        <f t="shared" si="54"/>
        <v>0</v>
      </c>
      <c r="JO32" s="117">
        <f t="shared" si="54"/>
        <v>0</v>
      </c>
      <c r="JP32" s="117">
        <f t="shared" si="54"/>
        <v>0</v>
      </c>
      <c r="JQ32" s="117">
        <f t="shared" si="54"/>
        <v>0</v>
      </c>
      <c r="JR32" s="117">
        <f t="shared" si="54"/>
        <v>0</v>
      </c>
      <c r="JS32" s="117">
        <f t="shared" si="54"/>
        <v>0</v>
      </c>
      <c r="JT32" s="117">
        <f t="shared" si="54"/>
        <v>0</v>
      </c>
      <c r="JU32" s="117">
        <f t="shared" si="54"/>
        <v>0</v>
      </c>
      <c r="JV32" s="117">
        <f t="shared" si="54"/>
        <v>0</v>
      </c>
      <c r="JW32" s="117">
        <f t="shared" si="54"/>
        <v>0</v>
      </c>
      <c r="JX32" s="117">
        <f t="shared" si="54"/>
        <v>0</v>
      </c>
      <c r="JY32" s="117">
        <f t="shared" si="54"/>
        <v>0</v>
      </c>
      <c r="JZ32" s="117">
        <f t="shared" si="54"/>
        <v>0</v>
      </c>
      <c r="KA32" s="117">
        <f t="shared" si="54"/>
        <v>0</v>
      </c>
      <c r="KB32" s="117">
        <f t="shared" si="54"/>
        <v>0</v>
      </c>
      <c r="KC32" s="117">
        <f t="shared" si="54"/>
        <v>0</v>
      </c>
      <c r="KD32" s="117">
        <f t="shared" si="54"/>
        <v>0</v>
      </c>
      <c r="KE32" s="117">
        <f t="shared" si="54"/>
        <v>0</v>
      </c>
      <c r="KF32" s="117">
        <f t="shared" si="54"/>
        <v>0</v>
      </c>
      <c r="KG32" s="117">
        <f t="shared" si="54"/>
        <v>0</v>
      </c>
      <c r="KH32" s="117">
        <f t="shared" si="54"/>
        <v>0</v>
      </c>
      <c r="KI32" s="117">
        <f t="shared" si="54"/>
        <v>0</v>
      </c>
      <c r="KJ32" s="117">
        <f t="shared" si="54"/>
        <v>0</v>
      </c>
      <c r="KK32" s="117">
        <f t="shared" si="54"/>
        <v>0</v>
      </c>
      <c r="KL32" s="117">
        <f t="shared" si="54"/>
        <v>0</v>
      </c>
      <c r="KM32" s="117">
        <f t="shared" si="54"/>
        <v>0</v>
      </c>
      <c r="KN32" s="117">
        <f t="shared" si="54"/>
        <v>0</v>
      </c>
      <c r="KO32" s="117">
        <f t="shared" si="54"/>
        <v>0</v>
      </c>
      <c r="KP32" s="117">
        <f t="shared" si="54"/>
        <v>0</v>
      </c>
    </row>
    <row r="33" spans="1:302" ht="16" customHeight="1" x14ac:dyDescent="0.2">
      <c r="A33" s="104" t="s">
        <v>443</v>
      </c>
      <c r="B33" s="105" t="s">
        <v>215</v>
      </c>
      <c r="C33" s="106">
        <f>-Assumptions!$E$35*(1+Assumptions!$E$36)^0/12</f>
        <v>-34.5</v>
      </c>
      <c r="D33" s="106">
        <f>-Assumptions!$E$35*(1+Assumptions!$E$36)^0/12</f>
        <v>-34.5</v>
      </c>
      <c r="E33" s="106">
        <f>-Assumptions!$E$35*(1+Assumptions!$E$36)^0/12</f>
        <v>-34.5</v>
      </c>
      <c r="F33" s="106">
        <f>-Assumptions!$E$35*(1+Assumptions!$E$36)^0/12</f>
        <v>-34.5</v>
      </c>
      <c r="G33" s="106">
        <f>-Assumptions!$E$35*(1+Assumptions!$E$36)^0/12</f>
        <v>-34.5</v>
      </c>
      <c r="H33" s="106">
        <f>-Assumptions!$E$35*(1+Assumptions!$E$36)^0/12</f>
        <v>-34.5</v>
      </c>
      <c r="I33" s="106">
        <f>-Assumptions!$E$35*(1+Assumptions!$E$36)^0/12</f>
        <v>-34.5</v>
      </c>
      <c r="J33" s="106">
        <f>-Assumptions!$E$35*(1+Assumptions!$E$36)^0/12</f>
        <v>-34.5</v>
      </c>
      <c r="K33" s="106">
        <f>-Assumptions!$E$35*(1+Assumptions!$E$36)^0/12</f>
        <v>-34.5</v>
      </c>
      <c r="L33" s="106">
        <f>-Assumptions!$E$35*(1+Assumptions!$E$36)^0/12</f>
        <v>-34.5</v>
      </c>
      <c r="M33" s="106">
        <f>-Assumptions!$E$35*(1+Assumptions!$E$36)^0/12</f>
        <v>-34.5</v>
      </c>
      <c r="N33" s="106">
        <f>-Assumptions!$E$35*(1+Assumptions!$E$36)^0/12</f>
        <v>-34.5</v>
      </c>
      <c r="O33" s="106">
        <f>-Assumptions!$E$35*(1+Assumptions!$E$36)^1/12</f>
        <v>-35.190000000000005</v>
      </c>
      <c r="P33" s="106">
        <f>-Assumptions!$E$35*(1+Assumptions!$E$36)^1/12</f>
        <v>-35.190000000000005</v>
      </c>
      <c r="Q33" s="106">
        <f>-Assumptions!$E$35*(1+Assumptions!$E$36)^1/12</f>
        <v>-35.190000000000005</v>
      </c>
      <c r="R33" s="106">
        <f>-Assumptions!$E$35*(1+Assumptions!$E$36)^1/12</f>
        <v>-35.190000000000005</v>
      </c>
      <c r="S33" s="106">
        <f>-Assumptions!$E$35*(1+Assumptions!$E$36)^1/12</f>
        <v>-35.190000000000005</v>
      </c>
      <c r="T33" s="106">
        <f>-Assumptions!$E$35*(1+Assumptions!$E$36)^1/12</f>
        <v>-35.190000000000005</v>
      </c>
      <c r="U33" s="106">
        <f>-Assumptions!$E$35*(1+Assumptions!$E$36)^1/12</f>
        <v>-35.190000000000005</v>
      </c>
      <c r="V33" s="106">
        <f>-Assumptions!$E$35*(1+Assumptions!$E$36)^1/12</f>
        <v>-35.190000000000005</v>
      </c>
      <c r="W33" s="106">
        <f>-Assumptions!$E$35*(1+Assumptions!$E$36)^1/12</f>
        <v>-35.190000000000005</v>
      </c>
      <c r="X33" s="106">
        <f>-Assumptions!$E$35*(1+Assumptions!$E$36)^1/12</f>
        <v>-35.190000000000005</v>
      </c>
      <c r="Y33" s="106">
        <f>-Assumptions!$E$35*(1+Assumptions!$E$36)^1/12</f>
        <v>-35.190000000000005</v>
      </c>
      <c r="Z33" s="106">
        <f>-Assumptions!$E$35*(1+Assumptions!$E$36)^1/12</f>
        <v>-35.190000000000005</v>
      </c>
      <c r="AA33" s="106">
        <f>-Assumptions!$E$35*(1+Assumptions!$E$36)^2/12</f>
        <v>-35.893799999999999</v>
      </c>
      <c r="AB33" s="106">
        <f>-Assumptions!$E$35*(1+Assumptions!$E$36)^2/12</f>
        <v>-35.893799999999999</v>
      </c>
      <c r="AC33" s="106">
        <f>-Assumptions!$E$35*(1+Assumptions!$E$36)^2/12</f>
        <v>-35.893799999999999</v>
      </c>
      <c r="AD33" s="106">
        <f>-Assumptions!$E$35*(1+Assumptions!$E$36)^2/12</f>
        <v>-35.893799999999999</v>
      </c>
      <c r="AE33" s="106">
        <f>-Assumptions!$E$35*(1+Assumptions!$E$36)^2/12</f>
        <v>-35.893799999999999</v>
      </c>
      <c r="AF33" s="106">
        <f>-Assumptions!$E$35*(1+Assumptions!$E$36)^2/12</f>
        <v>-35.893799999999999</v>
      </c>
      <c r="AG33" s="106">
        <f>-Assumptions!$E$35*(1+Assumptions!$E$36)^2/12</f>
        <v>-35.893799999999999</v>
      </c>
      <c r="AH33" s="106">
        <f>-Assumptions!$E$35*(1+Assumptions!$E$36)^2/12</f>
        <v>-35.893799999999999</v>
      </c>
      <c r="AI33" s="106">
        <f>-Assumptions!$E$35*(1+Assumptions!$E$36)^2/12</f>
        <v>-35.893799999999999</v>
      </c>
      <c r="AJ33" s="106">
        <f>-Assumptions!$E$35*(1+Assumptions!$E$36)^2/12</f>
        <v>-35.893799999999999</v>
      </c>
      <c r="AK33" s="106">
        <f>-Assumptions!$E$35*(1+Assumptions!$E$36)^2/12</f>
        <v>-35.893799999999999</v>
      </c>
      <c r="AL33" s="106">
        <f>-Assumptions!$E$35*(1+Assumptions!$E$36)^2/12</f>
        <v>-35.893799999999999</v>
      </c>
      <c r="AM33" s="106">
        <f>-Assumptions!$E$35*(1+Assumptions!$E$36)^3/12</f>
        <v>-36.611675999999996</v>
      </c>
      <c r="AN33" s="106">
        <f>-Assumptions!$E$35*(1+Assumptions!$E$36)^3/12</f>
        <v>-36.611675999999996</v>
      </c>
      <c r="AO33" s="106">
        <f>-Assumptions!$E$35*(1+Assumptions!$E$36)^3/12</f>
        <v>-36.611675999999996</v>
      </c>
      <c r="AP33" s="106">
        <f>-Assumptions!$E$35*(1+Assumptions!$E$36)^3/12</f>
        <v>-36.611675999999996</v>
      </c>
      <c r="AQ33" s="106">
        <f>-Assumptions!$E$35*(1+Assumptions!$E$36)^3/12</f>
        <v>-36.611675999999996</v>
      </c>
      <c r="AR33" s="106">
        <f>-Assumptions!$E$35*(1+Assumptions!$E$36)^3/12</f>
        <v>-36.611675999999996</v>
      </c>
      <c r="AS33" s="106">
        <f>-Assumptions!$E$35*(1+Assumptions!$E$36)^3/12</f>
        <v>-36.611675999999996</v>
      </c>
      <c r="AT33" s="106">
        <f>-Assumptions!$E$35*(1+Assumptions!$E$36)^3/12</f>
        <v>-36.611675999999996</v>
      </c>
      <c r="AU33" s="106">
        <f>-Assumptions!$E$35*(1+Assumptions!$E$36)^3/12</f>
        <v>-36.611675999999996</v>
      </c>
      <c r="AV33" s="106">
        <f>-Assumptions!$E$35*(1+Assumptions!$E$36)^3/12</f>
        <v>-36.611675999999996</v>
      </c>
      <c r="AW33" s="106">
        <f>-Assumptions!$E$35*(1+Assumptions!$E$36)^3/12</f>
        <v>-36.611675999999996</v>
      </c>
      <c r="AX33" s="106">
        <f>-Assumptions!$E$35*(1+Assumptions!$E$36)^3/12</f>
        <v>-36.611675999999996</v>
      </c>
      <c r="AY33" s="106">
        <f>-Assumptions!$E$35*(1+Assumptions!$E$36)^4/12</f>
        <v>-37.343909519999997</v>
      </c>
      <c r="AZ33" s="106">
        <f>-Assumptions!$E$35*(1+Assumptions!$E$36)^4/12</f>
        <v>-37.343909519999997</v>
      </c>
      <c r="BA33" s="106">
        <f>-Assumptions!$E$35*(1+Assumptions!$E$36)^4/12</f>
        <v>-37.343909519999997</v>
      </c>
      <c r="BB33" s="106">
        <f>-Assumptions!$E$35*(1+Assumptions!$E$36)^4/12</f>
        <v>-37.343909519999997</v>
      </c>
      <c r="BC33" s="106">
        <f>-Assumptions!$E$35*(1+Assumptions!$E$36)^4/12</f>
        <v>-37.343909519999997</v>
      </c>
      <c r="BD33" s="106">
        <f>-Assumptions!$E$35*(1+Assumptions!$E$36)^4/12</f>
        <v>-37.343909519999997</v>
      </c>
      <c r="BE33" s="106">
        <f>-Assumptions!$E$35*(1+Assumptions!$E$36)^4/12</f>
        <v>-37.343909519999997</v>
      </c>
      <c r="BF33" s="106">
        <f>-Assumptions!$E$35*(1+Assumptions!$E$36)^4/12</f>
        <v>-37.343909519999997</v>
      </c>
      <c r="BG33" s="106">
        <f>-Assumptions!$E$35*(1+Assumptions!$E$36)^4/12</f>
        <v>-37.343909519999997</v>
      </c>
      <c r="BH33" s="106">
        <f>-Assumptions!$E$35*(1+Assumptions!$E$36)^4/12</f>
        <v>-37.343909519999997</v>
      </c>
      <c r="BI33" s="106">
        <f>-Assumptions!$E$35*(1+Assumptions!$E$36)^4/12</f>
        <v>-37.343909519999997</v>
      </c>
      <c r="BJ33" s="106">
        <f>-Assumptions!$E$35*(1+Assumptions!$E$36)^4/12</f>
        <v>-37.343909519999997</v>
      </c>
      <c r="BK33" s="106">
        <f>-Assumptions!$E$35*(1+Assumptions!$E$36)^5/12</f>
        <v>-38.090787710400001</v>
      </c>
      <c r="BL33" s="106">
        <f>-Assumptions!$E$35*(1+Assumptions!$E$36)^5/12</f>
        <v>-38.090787710400001</v>
      </c>
      <c r="BM33" s="106">
        <f>-Assumptions!$E$35*(1+Assumptions!$E$36)^5/12</f>
        <v>-38.090787710400001</v>
      </c>
      <c r="BN33" s="106">
        <f>-Assumptions!$E$35*(1+Assumptions!$E$36)^5/12</f>
        <v>-38.090787710400001</v>
      </c>
      <c r="BO33" s="106">
        <f>-Assumptions!$E$35*(1+Assumptions!$E$36)^5/12</f>
        <v>-38.090787710400001</v>
      </c>
      <c r="BP33" s="106">
        <f>-Assumptions!$E$35*(1+Assumptions!$E$36)^5/12</f>
        <v>-38.090787710400001</v>
      </c>
      <c r="BQ33" s="106">
        <f>-Assumptions!$E$35*(1+Assumptions!$E$36)^5/12</f>
        <v>-38.090787710400001</v>
      </c>
      <c r="BR33" s="106">
        <f>-Assumptions!$E$35*(1+Assumptions!$E$36)^5/12</f>
        <v>-38.090787710400001</v>
      </c>
      <c r="BS33" s="106">
        <f>-Assumptions!$E$35*(1+Assumptions!$E$36)^5/12</f>
        <v>-38.090787710400001</v>
      </c>
      <c r="BT33" s="106">
        <f>-Assumptions!$E$35*(1+Assumptions!$E$36)^5/12</f>
        <v>-38.090787710400001</v>
      </c>
      <c r="BU33" s="106">
        <f>-Assumptions!$E$35*(1+Assumptions!$E$36)^5/12</f>
        <v>-38.090787710400001</v>
      </c>
      <c r="BV33" s="106">
        <f>-Assumptions!$E$35*(1+Assumptions!$E$36)^5/12</f>
        <v>-38.090787710400001</v>
      </c>
      <c r="BW33" s="106">
        <f>-Assumptions!$E$35*(1+Assumptions!$E$36)^6/12</f>
        <v>-38.852603464608002</v>
      </c>
      <c r="BX33" s="106">
        <f>-Assumptions!$E$35*(1+Assumptions!$E$36)^6/12</f>
        <v>-38.852603464608002</v>
      </c>
      <c r="BY33" s="106">
        <f>-Assumptions!$E$35*(1+Assumptions!$E$36)^6/12</f>
        <v>-38.852603464608002</v>
      </c>
      <c r="BZ33" s="106">
        <f>-Assumptions!$E$35*(1+Assumptions!$E$36)^6/12</f>
        <v>-38.852603464608002</v>
      </c>
      <c r="CA33" s="106">
        <f>-Assumptions!$E$35*(1+Assumptions!$E$36)^6/12</f>
        <v>-38.852603464608002</v>
      </c>
      <c r="CB33" s="106">
        <f>-Assumptions!$E$35*(1+Assumptions!$E$36)^6/12</f>
        <v>-38.852603464608002</v>
      </c>
      <c r="CC33" s="106">
        <f>-Assumptions!$E$35*(1+Assumptions!$E$36)^6/12</f>
        <v>-38.852603464608002</v>
      </c>
      <c r="CD33" s="106">
        <f>-Assumptions!$E$35*(1+Assumptions!$E$36)^6/12</f>
        <v>-38.852603464608002</v>
      </c>
      <c r="CE33" s="106">
        <f>-Assumptions!$E$35*(1+Assumptions!$E$36)^6/12</f>
        <v>-38.852603464608002</v>
      </c>
      <c r="CF33" s="106">
        <f>-Assumptions!$E$35*(1+Assumptions!$E$36)^6/12</f>
        <v>-38.852603464608002</v>
      </c>
      <c r="CG33" s="106">
        <f>-Assumptions!$E$35*(1+Assumptions!$E$36)^6/12</f>
        <v>-38.852603464608002</v>
      </c>
      <c r="CH33" s="106">
        <f>-Assumptions!$E$35*(1+Assumptions!$E$36)^6/12</f>
        <v>-38.852603464608002</v>
      </c>
      <c r="CI33" s="106">
        <f>-Assumptions!$E$35*(1+Assumptions!$E$36)^7/12</f>
        <v>-39.629655533900156</v>
      </c>
      <c r="CJ33" s="106">
        <f>-Assumptions!$E$35*(1+Assumptions!$E$36)^7/12</f>
        <v>-39.629655533900156</v>
      </c>
      <c r="CK33" s="106">
        <f>-Assumptions!$E$35*(1+Assumptions!$E$36)^7/12</f>
        <v>-39.629655533900156</v>
      </c>
      <c r="CL33" s="106">
        <f>-Assumptions!$E$35*(1+Assumptions!$E$36)^7/12</f>
        <v>-39.629655533900156</v>
      </c>
      <c r="CM33" s="106">
        <f>-Assumptions!$E$35*(1+Assumptions!$E$36)^7/12</f>
        <v>-39.629655533900156</v>
      </c>
      <c r="CN33" s="106">
        <f>-Assumptions!$E$35*(1+Assumptions!$E$36)^7/12</f>
        <v>-39.629655533900156</v>
      </c>
      <c r="CO33" s="106">
        <f>-Assumptions!$E$35*(1+Assumptions!$E$36)^7/12</f>
        <v>-39.629655533900156</v>
      </c>
      <c r="CP33" s="106">
        <f>-Assumptions!$E$35*(1+Assumptions!$E$36)^7/12</f>
        <v>-39.629655533900156</v>
      </c>
      <c r="CQ33" s="106">
        <f>-Assumptions!$E$35*(1+Assumptions!$E$36)^7/12</f>
        <v>-39.629655533900156</v>
      </c>
      <c r="CR33" s="106">
        <f>-Assumptions!$E$35*(1+Assumptions!$E$36)^7/12</f>
        <v>-39.629655533900156</v>
      </c>
      <c r="CS33" s="106">
        <f>-Assumptions!$E$35*(1+Assumptions!$E$36)^7/12</f>
        <v>-39.629655533900156</v>
      </c>
      <c r="CT33" s="106">
        <f>-Assumptions!$E$35*(1+Assumptions!$E$36)^7/12</f>
        <v>-39.629655533900156</v>
      </c>
      <c r="CU33" s="106">
        <f>-Assumptions!$E$35*(1+Assumptions!$E$36)^8/12</f>
        <v>-40.422248644578161</v>
      </c>
      <c r="CV33" s="106">
        <f>-Assumptions!$E$35*(1+Assumptions!$E$36)^8/12</f>
        <v>-40.422248644578161</v>
      </c>
      <c r="CW33" s="106">
        <f>-Assumptions!$E$35*(1+Assumptions!$E$36)^8/12</f>
        <v>-40.422248644578161</v>
      </c>
      <c r="CX33" s="106">
        <f>-Assumptions!$E$35*(1+Assumptions!$E$36)^8/12</f>
        <v>-40.422248644578161</v>
      </c>
      <c r="CY33" s="106">
        <f>-Assumptions!$E$35*(1+Assumptions!$E$36)^8/12</f>
        <v>-40.422248644578161</v>
      </c>
      <c r="CZ33" s="106">
        <f>-Assumptions!$E$35*(1+Assumptions!$E$36)^8/12</f>
        <v>-40.422248644578161</v>
      </c>
      <c r="DA33" s="106">
        <f>-Assumptions!$E$35*(1+Assumptions!$E$36)^8/12</f>
        <v>-40.422248644578161</v>
      </c>
      <c r="DB33" s="106">
        <f>-Assumptions!$E$35*(1+Assumptions!$E$36)^8/12</f>
        <v>-40.422248644578161</v>
      </c>
      <c r="DC33" s="106">
        <f>-Assumptions!$E$35*(1+Assumptions!$E$36)^8/12</f>
        <v>-40.422248644578161</v>
      </c>
      <c r="DD33" s="106">
        <f>-Assumptions!$E$35*(1+Assumptions!$E$36)^8/12</f>
        <v>-40.422248644578161</v>
      </c>
      <c r="DE33" s="106">
        <f>-Assumptions!$E$35*(1+Assumptions!$E$36)^8/12</f>
        <v>-40.422248644578161</v>
      </c>
      <c r="DF33" s="106">
        <f>-Assumptions!$E$35*(1+Assumptions!$E$36)^8/12</f>
        <v>-40.422248644578161</v>
      </c>
      <c r="DG33" s="106">
        <f>-Assumptions!$E$35*(1+Assumptions!$E$36)^9/12</f>
        <v>-41.230693617469726</v>
      </c>
      <c r="DH33" s="106">
        <f>-Assumptions!$E$35*(1+Assumptions!$E$36)^9/12</f>
        <v>-41.230693617469726</v>
      </c>
      <c r="DI33" s="106">
        <f>-Assumptions!$E$35*(1+Assumptions!$E$36)^9/12</f>
        <v>-41.230693617469726</v>
      </c>
      <c r="DJ33" s="106">
        <f>-Assumptions!$E$35*(1+Assumptions!$E$36)^9/12</f>
        <v>-41.230693617469726</v>
      </c>
      <c r="DK33" s="106">
        <f>-Assumptions!$E$35*(1+Assumptions!$E$36)^9/12</f>
        <v>-41.230693617469726</v>
      </c>
      <c r="DL33" s="106">
        <f>-Assumptions!$E$35*(1+Assumptions!$E$36)^9/12</f>
        <v>-41.230693617469726</v>
      </c>
      <c r="DM33" s="106">
        <f>-Assumptions!$E$35*(1+Assumptions!$E$36)^9/12</f>
        <v>-41.230693617469726</v>
      </c>
      <c r="DN33" s="106">
        <f>-Assumptions!$E$35*(1+Assumptions!$E$36)^9/12</f>
        <v>-41.230693617469726</v>
      </c>
      <c r="DO33" s="106">
        <f>-Assumptions!$E$35*(1+Assumptions!$E$36)^9/12</f>
        <v>-41.230693617469726</v>
      </c>
      <c r="DP33" s="106">
        <f>-Assumptions!$E$35*(1+Assumptions!$E$36)^9/12</f>
        <v>-41.230693617469726</v>
      </c>
      <c r="DQ33" s="106">
        <f>-Assumptions!$E$35*(1+Assumptions!$E$36)^9/12</f>
        <v>-41.230693617469726</v>
      </c>
      <c r="DR33" s="106">
        <f>-Assumptions!$E$35*(1+Assumptions!$E$36)^9/12</f>
        <v>-41.230693617469726</v>
      </c>
      <c r="DS33" s="106">
        <f>-Assumptions!$E$35*(1+Assumptions!$E$36)^10/12</f>
        <v>-42.055307489819121</v>
      </c>
      <c r="DT33" s="106">
        <f>-Assumptions!$E$35*(1+Assumptions!$E$36)^10/12</f>
        <v>-42.055307489819121</v>
      </c>
      <c r="DU33" s="106">
        <f>-Assumptions!$E$35*(1+Assumptions!$E$36)^10/12</f>
        <v>-42.055307489819121</v>
      </c>
      <c r="DV33" s="106">
        <f>-Assumptions!$E$35*(1+Assumptions!$E$36)^10/12</f>
        <v>-42.055307489819121</v>
      </c>
      <c r="DW33" s="106">
        <f>-Assumptions!$E$35*(1+Assumptions!$E$36)^10/12</f>
        <v>-42.055307489819121</v>
      </c>
      <c r="DX33" s="106">
        <f>-Assumptions!$E$35*(1+Assumptions!$E$36)^10/12</f>
        <v>-42.055307489819121</v>
      </c>
      <c r="DY33" s="106">
        <f>-Assumptions!$E$35*(1+Assumptions!$E$36)^10/12</f>
        <v>-42.055307489819121</v>
      </c>
      <c r="DZ33" s="106">
        <f>-Assumptions!$E$35*(1+Assumptions!$E$36)^10/12</f>
        <v>-42.055307489819121</v>
      </c>
      <c r="EA33" s="106">
        <f>-Assumptions!$E$35*(1+Assumptions!$E$36)^10/12</f>
        <v>-42.055307489819121</v>
      </c>
      <c r="EB33" s="106">
        <f>-Assumptions!$E$35*(1+Assumptions!$E$36)^10/12</f>
        <v>-42.055307489819121</v>
      </c>
      <c r="EC33" s="106">
        <f>-Assumptions!$E$35*(1+Assumptions!$E$36)^10/12</f>
        <v>-42.055307489819121</v>
      </c>
      <c r="ED33" s="106">
        <f>-Assumptions!$E$35*(1+Assumptions!$E$36)^10/12</f>
        <v>-42.055307489819121</v>
      </c>
      <c r="EE33" s="106">
        <f>-Assumptions!$E$35*(1+Assumptions!$E$36)^11/12</f>
        <v>-42.896413639615496</v>
      </c>
      <c r="EF33" s="106">
        <f>-Assumptions!$E$35*(1+Assumptions!$E$36)^11/12</f>
        <v>-42.896413639615496</v>
      </c>
      <c r="EG33" s="106">
        <f>-Assumptions!$E$35*(1+Assumptions!$E$36)^11/12</f>
        <v>-42.896413639615496</v>
      </c>
      <c r="EH33" s="106">
        <f>-Assumptions!$E$35*(1+Assumptions!$E$36)^11/12</f>
        <v>-42.896413639615496</v>
      </c>
      <c r="EI33" s="106">
        <f>-Assumptions!$E$35*(1+Assumptions!$E$36)^11/12</f>
        <v>-42.896413639615496</v>
      </c>
      <c r="EJ33" s="106">
        <f>-Assumptions!$E$35*(1+Assumptions!$E$36)^11/12</f>
        <v>-42.896413639615496</v>
      </c>
      <c r="EK33" s="106">
        <f>-Assumptions!$E$35*(1+Assumptions!$E$36)^11/12</f>
        <v>-42.896413639615496</v>
      </c>
      <c r="EL33" s="106">
        <f>-Assumptions!$E$35*(1+Assumptions!$E$36)^11/12</f>
        <v>-42.896413639615496</v>
      </c>
      <c r="EM33" s="106">
        <f>-Assumptions!$E$35*(1+Assumptions!$E$36)^11/12</f>
        <v>-42.896413639615496</v>
      </c>
      <c r="EN33" s="106">
        <f>-Assumptions!$E$35*(1+Assumptions!$E$36)^11/12</f>
        <v>-42.896413639615496</v>
      </c>
      <c r="EO33" s="106">
        <f>-Assumptions!$E$35*(1+Assumptions!$E$36)^11/12</f>
        <v>-42.896413639615496</v>
      </c>
      <c r="EP33" s="106">
        <f>-Assumptions!$E$35*(1+Assumptions!$E$36)^11/12</f>
        <v>-42.896413639615496</v>
      </c>
      <c r="EQ33" s="106">
        <f>-Assumptions!$E$35*(1+Assumptions!$E$36)^12/12</f>
        <v>-43.754341912407817</v>
      </c>
      <c r="ER33" s="106">
        <f>-Assumptions!$E$35*(1+Assumptions!$E$36)^12/12</f>
        <v>-43.754341912407817</v>
      </c>
      <c r="ES33" s="106">
        <f>-Assumptions!$E$35*(1+Assumptions!$E$36)^12/12</f>
        <v>-43.754341912407817</v>
      </c>
      <c r="ET33" s="106">
        <f>-Assumptions!$E$35*(1+Assumptions!$E$36)^12/12</f>
        <v>-43.754341912407817</v>
      </c>
      <c r="EU33" s="106">
        <f>-Assumptions!$E$35*(1+Assumptions!$E$36)^12/12</f>
        <v>-43.754341912407817</v>
      </c>
      <c r="EV33" s="106">
        <f>-Assumptions!$E$35*(1+Assumptions!$E$36)^12/12</f>
        <v>-43.754341912407817</v>
      </c>
      <c r="EW33" s="106">
        <f>-Assumptions!$E$35*(1+Assumptions!$E$36)^12/12</f>
        <v>-43.754341912407817</v>
      </c>
      <c r="EX33" s="106">
        <f>-Assumptions!$E$35*(1+Assumptions!$E$36)^12/12</f>
        <v>-43.754341912407817</v>
      </c>
      <c r="EY33" s="106">
        <f>-Assumptions!$E$35*(1+Assumptions!$E$36)^12/12</f>
        <v>-43.754341912407817</v>
      </c>
      <c r="EZ33" s="106">
        <f>-Assumptions!$E$35*(1+Assumptions!$E$36)^12/12</f>
        <v>-43.754341912407817</v>
      </c>
      <c r="FA33" s="106">
        <f>-Assumptions!$E$35*(1+Assumptions!$E$36)^12/12</f>
        <v>-43.754341912407817</v>
      </c>
      <c r="FB33" s="106">
        <f>-Assumptions!$E$35*(1+Assumptions!$E$36)^12/12</f>
        <v>-43.754341912407817</v>
      </c>
      <c r="FC33" s="106">
        <f>-Assumptions!$E$35*(1+Assumptions!$E$36)^13/12</f>
        <v>-44.629428750655961</v>
      </c>
      <c r="FD33" s="106">
        <f>-Assumptions!$E$35*(1+Assumptions!$E$36)^13/12</f>
        <v>-44.629428750655961</v>
      </c>
      <c r="FE33" s="106">
        <f>-Assumptions!$E$35*(1+Assumptions!$E$36)^13/12</f>
        <v>-44.629428750655961</v>
      </c>
      <c r="FF33" s="106">
        <f>-Assumptions!$E$35*(1+Assumptions!$E$36)^13/12</f>
        <v>-44.629428750655961</v>
      </c>
      <c r="FG33" s="106">
        <f>-Assumptions!$E$35*(1+Assumptions!$E$36)^13/12</f>
        <v>-44.629428750655961</v>
      </c>
      <c r="FH33" s="106">
        <f>-Assumptions!$E$35*(1+Assumptions!$E$36)^13/12</f>
        <v>-44.629428750655961</v>
      </c>
      <c r="FI33" s="106">
        <f>-Assumptions!$E$35*(1+Assumptions!$E$36)^13/12</f>
        <v>-44.629428750655961</v>
      </c>
      <c r="FJ33" s="106">
        <f>-Assumptions!$E$35*(1+Assumptions!$E$36)^13/12</f>
        <v>-44.629428750655961</v>
      </c>
      <c r="FK33" s="106">
        <f>-Assumptions!$E$35*(1+Assumptions!$E$36)^13/12</f>
        <v>-44.629428750655961</v>
      </c>
      <c r="FL33" s="106">
        <f>-Assumptions!$E$35*(1+Assumptions!$E$36)^13/12</f>
        <v>-44.629428750655961</v>
      </c>
      <c r="FM33" s="106">
        <f>-Assumptions!$E$35*(1+Assumptions!$E$36)^13/12</f>
        <v>-44.629428750655961</v>
      </c>
      <c r="FN33" s="106">
        <f>-Assumptions!$E$35*(1+Assumptions!$E$36)^13/12</f>
        <v>-44.629428750655961</v>
      </c>
      <c r="FO33" s="106">
        <f>-Assumptions!$E$35*(1+Assumptions!$E$36)^14/12</f>
        <v>-45.52201732566909</v>
      </c>
      <c r="FP33" s="106">
        <f>-Assumptions!$E$35*(1+Assumptions!$E$36)^14/12</f>
        <v>-45.52201732566909</v>
      </c>
      <c r="FQ33" s="106">
        <f>-Assumptions!$E$35*(1+Assumptions!$E$36)^14/12</f>
        <v>-45.52201732566909</v>
      </c>
      <c r="FR33" s="106">
        <f>-Assumptions!$E$35*(1+Assumptions!$E$36)^14/12</f>
        <v>-45.52201732566909</v>
      </c>
      <c r="FS33" s="106">
        <f>-Assumptions!$E$35*(1+Assumptions!$E$36)^14/12</f>
        <v>-45.52201732566909</v>
      </c>
      <c r="FT33" s="106">
        <f>-Assumptions!$E$35*(1+Assumptions!$E$36)^14/12</f>
        <v>-45.52201732566909</v>
      </c>
      <c r="FU33" s="106">
        <f>-Assumptions!$E$35*(1+Assumptions!$E$36)^14/12</f>
        <v>-45.52201732566909</v>
      </c>
      <c r="FV33" s="106">
        <f>-Assumptions!$E$35*(1+Assumptions!$E$36)^14/12</f>
        <v>-45.52201732566909</v>
      </c>
      <c r="FW33" s="106">
        <f>-Assumptions!$E$35*(1+Assumptions!$E$36)^14/12</f>
        <v>-45.52201732566909</v>
      </c>
      <c r="FX33" s="106">
        <f>-Assumptions!$E$35*(1+Assumptions!$E$36)^14/12</f>
        <v>-45.52201732566909</v>
      </c>
      <c r="FY33" s="106">
        <f>-Assumptions!$E$35*(1+Assumptions!$E$36)^14/12</f>
        <v>-45.52201732566909</v>
      </c>
      <c r="FZ33" s="106">
        <f>-Assumptions!$E$35*(1+Assumptions!$E$36)^14/12</f>
        <v>-45.52201732566909</v>
      </c>
      <c r="GA33" s="106">
        <f>-Assumptions!$E$35*(1+Assumptions!$E$36)^15/12</f>
        <v>-46.432457672182458</v>
      </c>
      <c r="GB33" s="106">
        <f>-Assumptions!$E$35*(1+Assumptions!$E$36)^15/12</f>
        <v>-46.432457672182458</v>
      </c>
      <c r="GC33" s="106">
        <f>-Assumptions!$E$35*(1+Assumptions!$E$36)^15/12</f>
        <v>-46.432457672182458</v>
      </c>
      <c r="GD33" s="106">
        <f>-Assumptions!$E$35*(1+Assumptions!$E$36)^15/12</f>
        <v>-46.432457672182458</v>
      </c>
      <c r="GE33" s="106">
        <f>-Assumptions!$E$35*(1+Assumptions!$E$36)^15/12</f>
        <v>-46.432457672182458</v>
      </c>
      <c r="GF33" s="106">
        <f>-Assumptions!$E$35*(1+Assumptions!$E$36)^15/12</f>
        <v>-46.432457672182458</v>
      </c>
      <c r="GG33" s="106">
        <f>-Assumptions!$E$35*(1+Assumptions!$E$36)^15/12</f>
        <v>-46.432457672182458</v>
      </c>
      <c r="GH33" s="106">
        <f>-Assumptions!$E$35*(1+Assumptions!$E$36)^15/12</f>
        <v>-46.432457672182458</v>
      </c>
      <c r="GI33" s="106">
        <f>-Assumptions!$E$35*(1+Assumptions!$E$36)^15/12</f>
        <v>-46.432457672182458</v>
      </c>
      <c r="GJ33" s="106">
        <f>-Assumptions!$E$35*(1+Assumptions!$E$36)^15/12</f>
        <v>-46.432457672182458</v>
      </c>
      <c r="GK33" s="106">
        <f>-Assumptions!$E$35*(1+Assumptions!$E$36)^15/12</f>
        <v>-46.432457672182458</v>
      </c>
      <c r="GL33" s="106">
        <f>-Assumptions!$E$35*(1+Assumptions!$E$36)^15/12</f>
        <v>-46.432457672182458</v>
      </c>
      <c r="GM33" s="106">
        <f>-Assumptions!$E$35*(1+Assumptions!$E$36)^16/12</f>
        <v>-47.361106825626116</v>
      </c>
      <c r="GN33" s="106">
        <f>-Assumptions!$E$35*(1+Assumptions!$E$36)^16/12</f>
        <v>-47.361106825626116</v>
      </c>
      <c r="GO33" s="106">
        <f>-Assumptions!$E$35*(1+Assumptions!$E$36)^16/12</f>
        <v>-47.361106825626116</v>
      </c>
      <c r="GP33" s="106">
        <f>-Assumptions!$E$35*(1+Assumptions!$E$36)^16/12</f>
        <v>-47.361106825626116</v>
      </c>
      <c r="GQ33" s="106">
        <f>-Assumptions!$E$35*(1+Assumptions!$E$36)^16/12</f>
        <v>-47.361106825626116</v>
      </c>
      <c r="GR33" s="106">
        <f>-Assumptions!$E$35*(1+Assumptions!$E$36)^16/12</f>
        <v>-47.361106825626116</v>
      </c>
      <c r="GS33" s="106">
        <f>-Assumptions!$E$35*(1+Assumptions!$E$36)^16/12</f>
        <v>-47.361106825626116</v>
      </c>
      <c r="GT33" s="106">
        <f>-Assumptions!$E$35*(1+Assumptions!$E$36)^16/12</f>
        <v>-47.361106825626116</v>
      </c>
      <c r="GU33" s="106">
        <f>-Assumptions!$E$35*(1+Assumptions!$E$36)^16/12</f>
        <v>-47.361106825626116</v>
      </c>
      <c r="GV33" s="106">
        <f>-Assumptions!$E$35*(1+Assumptions!$E$36)^16/12</f>
        <v>-47.361106825626116</v>
      </c>
      <c r="GW33" s="106">
        <f>-Assumptions!$E$35*(1+Assumptions!$E$36)^16/12</f>
        <v>-47.361106825626116</v>
      </c>
      <c r="GX33" s="106">
        <f>-Assumptions!$E$35*(1+Assumptions!$E$36)^16/12</f>
        <v>-47.361106825626116</v>
      </c>
      <c r="GY33" s="106">
        <f>-Assumptions!$E$35*(1+Assumptions!$E$36)^17/12</f>
        <v>-48.308328962138638</v>
      </c>
      <c r="GZ33" s="106">
        <f>-Assumptions!$E$35*(1+Assumptions!$E$36)^17/12</f>
        <v>-48.308328962138638</v>
      </c>
      <c r="HA33" s="106">
        <f>-Assumptions!$E$35*(1+Assumptions!$E$36)^17/12</f>
        <v>-48.308328962138638</v>
      </c>
      <c r="HB33" s="106">
        <f>-Assumptions!$E$35*(1+Assumptions!$E$36)^17/12</f>
        <v>-48.308328962138638</v>
      </c>
      <c r="HC33" s="106">
        <f>-Assumptions!$E$35*(1+Assumptions!$E$36)^17/12</f>
        <v>-48.308328962138638</v>
      </c>
      <c r="HD33" s="106">
        <f>-Assumptions!$E$35*(1+Assumptions!$E$36)^17/12</f>
        <v>-48.308328962138638</v>
      </c>
      <c r="HE33" s="106">
        <f>-Assumptions!$E$35*(1+Assumptions!$E$36)^17/12</f>
        <v>-48.308328962138638</v>
      </c>
      <c r="HF33" s="106">
        <f>-Assumptions!$E$35*(1+Assumptions!$E$36)^17/12</f>
        <v>-48.308328962138638</v>
      </c>
      <c r="HG33" s="106">
        <f>-Assumptions!$E$35*(1+Assumptions!$E$36)^17/12</f>
        <v>-48.308328962138638</v>
      </c>
      <c r="HH33" s="106">
        <f>-Assumptions!$E$35*(1+Assumptions!$E$36)^17/12</f>
        <v>-48.308328962138638</v>
      </c>
      <c r="HI33" s="106">
        <f>-Assumptions!$E$35*(1+Assumptions!$E$36)^17/12</f>
        <v>-48.308328962138638</v>
      </c>
      <c r="HJ33" s="106">
        <f>-Assumptions!$E$35*(1+Assumptions!$E$36)^17/12</f>
        <v>-48.308328962138638</v>
      </c>
      <c r="HK33" s="106">
        <f>-Assumptions!$E$35*(1+Assumptions!$E$36)^18/12</f>
        <v>-49.274495541381413</v>
      </c>
      <c r="HL33" s="106">
        <f>-Assumptions!$E$35*(1+Assumptions!$E$36)^18/12</f>
        <v>-49.274495541381413</v>
      </c>
      <c r="HM33" s="106">
        <f>-Assumptions!$E$35*(1+Assumptions!$E$36)^18/12</f>
        <v>-49.274495541381413</v>
      </c>
      <c r="HN33" s="106">
        <f>-Assumptions!$E$35*(1+Assumptions!$E$36)^18/12</f>
        <v>-49.274495541381413</v>
      </c>
      <c r="HO33" s="106">
        <f>-Assumptions!$E$35*(1+Assumptions!$E$36)^18/12</f>
        <v>-49.274495541381413</v>
      </c>
      <c r="HP33" s="106">
        <f>-Assumptions!$E$35*(1+Assumptions!$E$36)^18/12</f>
        <v>-49.274495541381413</v>
      </c>
      <c r="HQ33" s="106">
        <f>-Assumptions!$E$35*(1+Assumptions!$E$36)^18/12</f>
        <v>-49.274495541381413</v>
      </c>
      <c r="HR33" s="106">
        <f>-Assumptions!$E$35*(1+Assumptions!$E$36)^18/12</f>
        <v>-49.274495541381413</v>
      </c>
      <c r="HS33" s="106">
        <f>-Assumptions!$E$35*(1+Assumptions!$E$36)^18/12</f>
        <v>-49.274495541381413</v>
      </c>
      <c r="HT33" s="106">
        <f>-Assumptions!$E$35*(1+Assumptions!$E$36)^18/12</f>
        <v>-49.274495541381413</v>
      </c>
      <c r="HU33" s="106">
        <f>-Assumptions!$E$35*(1+Assumptions!$E$36)^18/12</f>
        <v>-49.274495541381413</v>
      </c>
      <c r="HV33" s="106">
        <f>-Assumptions!$E$35*(1+Assumptions!$E$36)^18/12</f>
        <v>-49.274495541381413</v>
      </c>
      <c r="HW33" s="106">
        <f>-Assumptions!$E$35*(1+Assumptions!$E$36)^19/12</f>
        <v>-50.259985452209037</v>
      </c>
      <c r="HX33" s="106">
        <f>-Assumptions!$E$35*(1+Assumptions!$E$36)^19/12</f>
        <v>-50.259985452209037</v>
      </c>
      <c r="HY33" s="106">
        <f>-Assumptions!$E$35*(1+Assumptions!$E$36)^19/12</f>
        <v>-50.259985452209037</v>
      </c>
      <c r="HZ33" s="106">
        <f>-Assumptions!$E$35*(1+Assumptions!$E$36)^19/12</f>
        <v>-50.259985452209037</v>
      </c>
      <c r="IA33" s="106">
        <f>-Assumptions!$E$35*(1+Assumptions!$E$36)^19/12</f>
        <v>-50.259985452209037</v>
      </c>
      <c r="IB33" s="106">
        <f>-Assumptions!$E$35*(1+Assumptions!$E$36)^19/12</f>
        <v>-50.259985452209037</v>
      </c>
      <c r="IC33" s="106">
        <f>-Assumptions!$E$35*(1+Assumptions!$E$36)^19/12</f>
        <v>-50.259985452209037</v>
      </c>
      <c r="ID33" s="106">
        <f>-Assumptions!$E$35*(1+Assumptions!$E$36)^19/12</f>
        <v>-50.259985452209037</v>
      </c>
      <c r="IE33" s="106">
        <f>-Assumptions!$E$35*(1+Assumptions!$E$36)^19/12</f>
        <v>-50.259985452209037</v>
      </c>
      <c r="IF33" s="106">
        <f>-Assumptions!$E$35*(1+Assumptions!$E$36)^19/12</f>
        <v>-50.259985452209037</v>
      </c>
      <c r="IG33" s="106">
        <f>-Assumptions!$E$35*(1+Assumptions!$E$36)^19/12</f>
        <v>-50.259985452209037</v>
      </c>
      <c r="IH33" s="106">
        <f>-Assumptions!$E$35*(1+Assumptions!$E$36)^19/12</f>
        <v>-50.259985452209037</v>
      </c>
      <c r="II33" s="106">
        <f>-Assumptions!$E$35*(1+Assumptions!$E$36)^20/12</f>
        <v>-51.265185161253221</v>
      </c>
      <c r="IJ33" s="106">
        <f>-Assumptions!$E$35*(1+Assumptions!$E$36)^20/12</f>
        <v>-51.265185161253221</v>
      </c>
      <c r="IK33" s="106">
        <f>-Assumptions!$E$35*(1+Assumptions!$E$36)^20/12</f>
        <v>-51.265185161253221</v>
      </c>
      <c r="IL33" s="106">
        <f>-Assumptions!$E$35*(1+Assumptions!$E$36)^20/12</f>
        <v>-51.265185161253221</v>
      </c>
      <c r="IM33" s="106">
        <f>-Assumptions!$E$35*(1+Assumptions!$E$36)^20/12</f>
        <v>-51.265185161253221</v>
      </c>
      <c r="IN33" s="106">
        <f>-Assumptions!$E$35*(1+Assumptions!$E$36)^20/12</f>
        <v>-51.265185161253221</v>
      </c>
      <c r="IO33" s="106">
        <f>-Assumptions!$E$35*(1+Assumptions!$E$36)^20/12</f>
        <v>-51.265185161253221</v>
      </c>
      <c r="IP33" s="106">
        <f>-Assumptions!$E$35*(1+Assumptions!$E$36)^20/12</f>
        <v>-51.265185161253221</v>
      </c>
      <c r="IQ33" s="106">
        <f>-Assumptions!$E$35*(1+Assumptions!$E$36)^20/12</f>
        <v>-51.265185161253221</v>
      </c>
      <c r="IR33" s="106">
        <f>-Assumptions!$E$35*(1+Assumptions!$E$36)^20/12</f>
        <v>-51.265185161253221</v>
      </c>
      <c r="IS33" s="106">
        <f>-Assumptions!$E$35*(1+Assumptions!$E$36)^20/12</f>
        <v>-51.265185161253221</v>
      </c>
      <c r="IT33" s="106">
        <f>-Assumptions!$E$35*(1+Assumptions!$E$36)^20/12</f>
        <v>-51.265185161253221</v>
      </c>
      <c r="IU33" s="106">
        <f>-Assumptions!$E$35*(1+Assumptions!$E$36)^21/12</f>
        <v>-52.290488864478277</v>
      </c>
      <c r="IV33" s="106">
        <f>-Assumptions!$E$35*(1+Assumptions!$E$36)^21/12</f>
        <v>-52.290488864478277</v>
      </c>
      <c r="IW33" s="106">
        <f>-Assumptions!$E$35*(1+Assumptions!$E$36)^21/12</f>
        <v>-52.290488864478277</v>
      </c>
      <c r="IX33" s="106">
        <f>-Assumptions!$E$35*(1+Assumptions!$E$36)^21/12</f>
        <v>-52.290488864478277</v>
      </c>
      <c r="IY33" s="106">
        <f>-Assumptions!$E$35*(1+Assumptions!$E$36)^21/12</f>
        <v>-52.290488864478277</v>
      </c>
      <c r="IZ33" s="106">
        <f>-Assumptions!$E$35*(1+Assumptions!$E$36)^21/12</f>
        <v>-52.290488864478277</v>
      </c>
      <c r="JA33" s="106">
        <f>-Assumptions!$E$35*(1+Assumptions!$E$36)^21/12</f>
        <v>-52.290488864478277</v>
      </c>
      <c r="JB33" s="106">
        <f>-Assumptions!$E$35*(1+Assumptions!$E$36)^21/12</f>
        <v>-52.290488864478277</v>
      </c>
      <c r="JC33" s="106">
        <f>-Assumptions!$E$35*(1+Assumptions!$E$36)^21/12</f>
        <v>-52.290488864478277</v>
      </c>
      <c r="JD33" s="106">
        <f>-Assumptions!$E$35*(1+Assumptions!$E$36)^21/12</f>
        <v>-52.290488864478277</v>
      </c>
      <c r="JE33" s="106">
        <f>-Assumptions!$E$35*(1+Assumptions!$E$36)^21/12</f>
        <v>-52.290488864478277</v>
      </c>
      <c r="JF33" s="106">
        <f>-Assumptions!$E$35*(1+Assumptions!$E$36)^21/12</f>
        <v>-52.290488864478277</v>
      </c>
      <c r="JG33" s="106">
        <f>-Assumptions!$E$35*(1+Assumptions!$E$36)^22/12</f>
        <v>-53.336298641767854</v>
      </c>
      <c r="JH33" s="106">
        <f>-Assumptions!$E$35*(1+Assumptions!$E$36)^22/12</f>
        <v>-53.336298641767854</v>
      </c>
      <c r="JI33" s="106">
        <f>-Assumptions!$E$35*(1+Assumptions!$E$36)^22/12</f>
        <v>-53.336298641767854</v>
      </c>
      <c r="JJ33" s="106">
        <f>-Assumptions!$E$35*(1+Assumptions!$E$36)^22/12</f>
        <v>-53.336298641767854</v>
      </c>
      <c r="JK33" s="106">
        <f>-Assumptions!$E$35*(1+Assumptions!$E$36)^22/12</f>
        <v>-53.336298641767854</v>
      </c>
      <c r="JL33" s="106">
        <f>-Assumptions!$E$35*(1+Assumptions!$E$36)^22/12</f>
        <v>-53.336298641767854</v>
      </c>
      <c r="JM33" s="106">
        <f>-Assumptions!$E$35*(1+Assumptions!$E$36)^22/12</f>
        <v>-53.336298641767854</v>
      </c>
      <c r="JN33" s="106">
        <f>-Assumptions!$E$35*(1+Assumptions!$E$36)^22/12</f>
        <v>-53.336298641767854</v>
      </c>
      <c r="JO33" s="106">
        <f>-Assumptions!$E$35*(1+Assumptions!$E$36)^22/12</f>
        <v>-53.336298641767854</v>
      </c>
      <c r="JP33" s="106">
        <f>-Assumptions!$E$35*(1+Assumptions!$E$36)^22/12</f>
        <v>-53.336298641767854</v>
      </c>
      <c r="JQ33" s="106">
        <f>-Assumptions!$E$35*(1+Assumptions!$E$36)^22/12</f>
        <v>-53.336298641767854</v>
      </c>
      <c r="JR33" s="106">
        <f>-Assumptions!$E$35*(1+Assumptions!$E$36)^22/12</f>
        <v>-53.336298641767854</v>
      </c>
      <c r="JS33" s="106">
        <f>-Assumptions!$E$35*(1+Assumptions!$E$36)^23/12</f>
        <v>-54.403024614603197</v>
      </c>
      <c r="JT33" s="106">
        <f>-Assumptions!$E$35*(1+Assumptions!$E$36)^23/12</f>
        <v>-54.403024614603197</v>
      </c>
      <c r="JU33" s="106">
        <f>-Assumptions!$E$35*(1+Assumptions!$E$36)^23/12</f>
        <v>-54.403024614603197</v>
      </c>
      <c r="JV33" s="106">
        <f>-Assumptions!$E$35*(1+Assumptions!$E$36)^23/12</f>
        <v>-54.403024614603197</v>
      </c>
      <c r="JW33" s="106">
        <f>-Assumptions!$E$35*(1+Assumptions!$E$36)^23/12</f>
        <v>-54.403024614603197</v>
      </c>
      <c r="JX33" s="106">
        <f>-Assumptions!$E$35*(1+Assumptions!$E$36)^23/12</f>
        <v>-54.403024614603197</v>
      </c>
      <c r="JY33" s="106">
        <f>-Assumptions!$E$35*(1+Assumptions!$E$36)^23/12</f>
        <v>-54.403024614603197</v>
      </c>
      <c r="JZ33" s="106">
        <f>-Assumptions!$E$35*(1+Assumptions!$E$36)^23/12</f>
        <v>-54.403024614603197</v>
      </c>
      <c r="KA33" s="106">
        <f>-Assumptions!$E$35*(1+Assumptions!$E$36)^23/12</f>
        <v>-54.403024614603197</v>
      </c>
      <c r="KB33" s="106">
        <f>-Assumptions!$E$35*(1+Assumptions!$E$36)^23/12</f>
        <v>-54.403024614603197</v>
      </c>
      <c r="KC33" s="106">
        <f>-Assumptions!$E$35*(1+Assumptions!$E$36)^23/12</f>
        <v>-54.403024614603197</v>
      </c>
      <c r="KD33" s="106">
        <f>-Assumptions!$E$35*(1+Assumptions!$E$36)^23/12</f>
        <v>-54.403024614603197</v>
      </c>
      <c r="KE33" s="106">
        <f>-Assumptions!$E$35*(1+Assumptions!$E$36)^24/12</f>
        <v>-55.491085106895262</v>
      </c>
      <c r="KF33" s="106">
        <f>-Assumptions!$E$35*(1+Assumptions!$E$36)^24/12</f>
        <v>-55.491085106895262</v>
      </c>
      <c r="KG33" s="106">
        <f>-Assumptions!$E$35*(1+Assumptions!$E$36)^24/12</f>
        <v>-55.491085106895262</v>
      </c>
      <c r="KH33" s="106">
        <f>-Assumptions!$E$35*(1+Assumptions!$E$36)^24/12</f>
        <v>-55.491085106895262</v>
      </c>
      <c r="KI33" s="106">
        <f>-Assumptions!$E$35*(1+Assumptions!$E$36)^24/12</f>
        <v>-55.491085106895262</v>
      </c>
      <c r="KJ33" s="106">
        <f>-Assumptions!$E$35*(1+Assumptions!$E$36)^24/12</f>
        <v>-55.491085106895262</v>
      </c>
      <c r="KK33" s="106">
        <f>-Assumptions!$E$35*(1+Assumptions!$E$36)^24/12</f>
        <v>-55.491085106895262</v>
      </c>
      <c r="KL33" s="106">
        <f>-Assumptions!$E$35*(1+Assumptions!$E$36)^24/12</f>
        <v>-55.491085106895262</v>
      </c>
      <c r="KM33" s="106">
        <f>-Assumptions!$E$35*(1+Assumptions!$E$36)^24/12</f>
        <v>-55.491085106895262</v>
      </c>
      <c r="KN33" s="106">
        <f>-Assumptions!$E$35*(1+Assumptions!$E$36)^24/12</f>
        <v>-55.491085106895262</v>
      </c>
      <c r="KO33" s="106">
        <f>-Assumptions!$E$35*(1+Assumptions!$E$36)^24/12</f>
        <v>-55.491085106895262</v>
      </c>
      <c r="KP33" s="106">
        <f>-Assumptions!$E$35*(1+Assumptions!$E$36)^24/12</f>
        <v>-55.491085106895262</v>
      </c>
    </row>
    <row r="34" spans="1:302" ht="16" customHeight="1" x14ac:dyDescent="0.2">
      <c r="A34" s="115" t="s">
        <v>444</v>
      </c>
      <c r="B34" s="116" t="s">
        <v>215</v>
      </c>
      <c r="C34" s="117">
        <f t="shared" ref="C34:BN34" si="55">C32+C33</f>
        <v>166.40567249999995</v>
      </c>
      <c r="D34" s="117">
        <f t="shared" si="55"/>
        <v>166.40567249999995</v>
      </c>
      <c r="E34" s="117">
        <f t="shared" si="55"/>
        <v>166.40567249999995</v>
      </c>
      <c r="F34" s="117">
        <f t="shared" si="55"/>
        <v>166.40567249999995</v>
      </c>
      <c r="G34" s="117">
        <f t="shared" si="55"/>
        <v>166.40567249999995</v>
      </c>
      <c r="H34" s="117">
        <f t="shared" si="55"/>
        <v>166.40567249999995</v>
      </c>
      <c r="I34" s="117">
        <f t="shared" si="55"/>
        <v>166.40567249999995</v>
      </c>
      <c r="J34" s="117">
        <f t="shared" si="55"/>
        <v>166.40567249999995</v>
      </c>
      <c r="K34" s="117">
        <f t="shared" si="55"/>
        <v>166.40567249999995</v>
      </c>
      <c r="L34" s="117">
        <f t="shared" si="55"/>
        <v>166.40567249999995</v>
      </c>
      <c r="M34" s="117">
        <f t="shared" si="55"/>
        <v>166.40567249999995</v>
      </c>
      <c r="N34" s="117">
        <f t="shared" si="55"/>
        <v>166.40567249999995</v>
      </c>
      <c r="O34" s="117">
        <f t="shared" si="55"/>
        <v>164.71114413749996</v>
      </c>
      <c r="P34" s="117">
        <f t="shared" si="55"/>
        <v>164.71114413749996</v>
      </c>
      <c r="Q34" s="117">
        <f t="shared" si="55"/>
        <v>164.71114413749996</v>
      </c>
      <c r="R34" s="117">
        <f t="shared" si="55"/>
        <v>164.71114413749996</v>
      </c>
      <c r="S34" s="117">
        <f t="shared" si="55"/>
        <v>164.71114413749996</v>
      </c>
      <c r="T34" s="117">
        <f t="shared" si="55"/>
        <v>164.71114413749996</v>
      </c>
      <c r="U34" s="117">
        <f t="shared" si="55"/>
        <v>164.71114413749996</v>
      </c>
      <c r="V34" s="117">
        <f t="shared" si="55"/>
        <v>164.71114413749996</v>
      </c>
      <c r="W34" s="117">
        <f t="shared" si="55"/>
        <v>164.71114413749996</v>
      </c>
      <c r="X34" s="117">
        <f t="shared" si="55"/>
        <v>164.71114413749996</v>
      </c>
      <c r="Y34" s="117">
        <f t="shared" si="55"/>
        <v>164.71114413749996</v>
      </c>
      <c r="Z34" s="117">
        <f t="shared" si="55"/>
        <v>164.71114413749996</v>
      </c>
      <c r="AA34" s="117">
        <f t="shared" si="55"/>
        <v>163.00783841681249</v>
      </c>
      <c r="AB34" s="117">
        <f t="shared" si="55"/>
        <v>163.00783841681249</v>
      </c>
      <c r="AC34" s="117">
        <f t="shared" si="55"/>
        <v>163.00783841681249</v>
      </c>
      <c r="AD34" s="117">
        <f t="shared" si="55"/>
        <v>163.00783841681249</v>
      </c>
      <c r="AE34" s="117">
        <f t="shared" si="55"/>
        <v>163.00783841681249</v>
      </c>
      <c r="AF34" s="117">
        <f t="shared" si="55"/>
        <v>163.00783841681249</v>
      </c>
      <c r="AG34" s="117">
        <f t="shared" si="55"/>
        <v>163.00783841681249</v>
      </c>
      <c r="AH34" s="117">
        <f t="shared" si="55"/>
        <v>163.00783841681249</v>
      </c>
      <c r="AI34" s="117">
        <f t="shared" si="55"/>
        <v>163.00783841681249</v>
      </c>
      <c r="AJ34" s="117">
        <f t="shared" si="55"/>
        <v>163.00783841681249</v>
      </c>
      <c r="AK34" s="117">
        <f t="shared" si="55"/>
        <v>163.00783841681249</v>
      </c>
      <c r="AL34" s="117">
        <f t="shared" si="55"/>
        <v>163.00783841681249</v>
      </c>
      <c r="AM34" s="117">
        <f t="shared" si="55"/>
        <v>161.29545422472839</v>
      </c>
      <c r="AN34" s="117">
        <f t="shared" si="55"/>
        <v>161.29545422472839</v>
      </c>
      <c r="AO34" s="117">
        <f t="shared" si="55"/>
        <v>161.29545422472839</v>
      </c>
      <c r="AP34" s="117">
        <f t="shared" si="55"/>
        <v>161.29545422472839</v>
      </c>
      <c r="AQ34" s="117">
        <f t="shared" si="55"/>
        <v>161.29545422472839</v>
      </c>
      <c r="AR34" s="117">
        <f t="shared" si="55"/>
        <v>161.29545422472839</v>
      </c>
      <c r="AS34" s="117">
        <f t="shared" si="55"/>
        <v>161.29545422472839</v>
      </c>
      <c r="AT34" s="117">
        <f t="shared" si="55"/>
        <v>161.29545422472839</v>
      </c>
      <c r="AU34" s="117">
        <f t="shared" si="55"/>
        <v>161.29545422472839</v>
      </c>
      <c r="AV34" s="117">
        <f t="shared" si="55"/>
        <v>161.29545422472839</v>
      </c>
      <c r="AW34" s="117">
        <f t="shared" si="55"/>
        <v>161.29545422472839</v>
      </c>
      <c r="AX34" s="117">
        <f t="shared" si="55"/>
        <v>161.29545422472839</v>
      </c>
      <c r="AY34" s="117">
        <f t="shared" si="55"/>
        <v>159.57368505360478</v>
      </c>
      <c r="AZ34" s="117">
        <f t="shared" si="55"/>
        <v>159.57368505360478</v>
      </c>
      <c r="BA34" s="117">
        <f t="shared" si="55"/>
        <v>159.57368505360478</v>
      </c>
      <c r="BB34" s="117">
        <f t="shared" si="55"/>
        <v>159.57368505360478</v>
      </c>
      <c r="BC34" s="117">
        <f t="shared" si="55"/>
        <v>159.57368505360478</v>
      </c>
      <c r="BD34" s="117">
        <f t="shared" si="55"/>
        <v>159.57368505360478</v>
      </c>
      <c r="BE34" s="117">
        <f t="shared" si="55"/>
        <v>159.57368505360478</v>
      </c>
      <c r="BF34" s="117">
        <f t="shared" si="55"/>
        <v>159.57368505360478</v>
      </c>
      <c r="BG34" s="117">
        <f t="shared" si="55"/>
        <v>159.57368505360478</v>
      </c>
      <c r="BH34" s="117">
        <f t="shared" si="55"/>
        <v>159.57368505360478</v>
      </c>
      <c r="BI34" s="117">
        <f t="shared" si="55"/>
        <v>159.57368505360478</v>
      </c>
      <c r="BJ34" s="117">
        <f t="shared" si="55"/>
        <v>159.57368505360478</v>
      </c>
      <c r="BK34" s="117">
        <f t="shared" si="55"/>
        <v>157.84221889033674</v>
      </c>
      <c r="BL34" s="117">
        <f t="shared" si="55"/>
        <v>157.84221889033674</v>
      </c>
      <c r="BM34" s="117">
        <f t="shared" si="55"/>
        <v>157.84221889033674</v>
      </c>
      <c r="BN34" s="117">
        <f t="shared" si="55"/>
        <v>157.84221889033674</v>
      </c>
      <c r="BO34" s="117">
        <f t="shared" ref="BO34:DZ34" si="56">BO32+BO33</f>
        <v>157.84221889033674</v>
      </c>
      <c r="BP34" s="117">
        <f t="shared" si="56"/>
        <v>157.84221889033674</v>
      </c>
      <c r="BQ34" s="117">
        <f t="shared" si="56"/>
        <v>157.84221889033674</v>
      </c>
      <c r="BR34" s="117">
        <f t="shared" si="56"/>
        <v>157.84221889033674</v>
      </c>
      <c r="BS34" s="117">
        <f t="shared" si="56"/>
        <v>157.84221889033674</v>
      </c>
      <c r="BT34" s="117">
        <f t="shared" si="56"/>
        <v>157.84221889033674</v>
      </c>
      <c r="BU34" s="117">
        <f t="shared" si="56"/>
        <v>157.84221889033674</v>
      </c>
      <c r="BV34" s="117">
        <f t="shared" si="56"/>
        <v>157.84221889033674</v>
      </c>
      <c r="BW34" s="117">
        <f t="shared" si="56"/>
        <v>156.10073810312508</v>
      </c>
      <c r="BX34" s="117">
        <f t="shared" si="56"/>
        <v>156.10073810312508</v>
      </c>
      <c r="BY34" s="117">
        <f t="shared" si="56"/>
        <v>156.10073810312508</v>
      </c>
      <c r="BZ34" s="117">
        <f t="shared" si="56"/>
        <v>156.10073810312508</v>
      </c>
      <c r="CA34" s="117">
        <f t="shared" si="56"/>
        <v>156.10073810312508</v>
      </c>
      <c r="CB34" s="117">
        <f t="shared" si="56"/>
        <v>156.10073810312508</v>
      </c>
      <c r="CC34" s="117">
        <f t="shared" si="56"/>
        <v>156.10073810312508</v>
      </c>
      <c r="CD34" s="117">
        <f t="shared" si="56"/>
        <v>156.10073810312508</v>
      </c>
      <c r="CE34" s="117">
        <f t="shared" si="56"/>
        <v>156.10073810312508</v>
      </c>
      <c r="CF34" s="117">
        <f t="shared" si="56"/>
        <v>156.10073810312508</v>
      </c>
      <c r="CG34" s="117">
        <f t="shared" si="56"/>
        <v>156.10073810312508</v>
      </c>
      <c r="CH34" s="117">
        <f t="shared" si="56"/>
        <v>156.10073810312508</v>
      </c>
      <c r="CI34" s="117">
        <f t="shared" si="56"/>
        <v>154.34891932599422</v>
      </c>
      <c r="CJ34" s="117">
        <f t="shared" si="56"/>
        <v>154.34891932599422</v>
      </c>
      <c r="CK34" s="117">
        <f t="shared" si="56"/>
        <v>154.34891932599422</v>
      </c>
      <c r="CL34" s="117">
        <f t="shared" si="56"/>
        <v>154.34891932599422</v>
      </c>
      <c r="CM34" s="117">
        <f t="shared" si="56"/>
        <v>154.34891932599422</v>
      </c>
      <c r="CN34" s="117">
        <f t="shared" si="56"/>
        <v>154.34891932599422</v>
      </c>
      <c r="CO34" s="117">
        <f t="shared" si="56"/>
        <v>154.34891932599422</v>
      </c>
      <c r="CP34" s="117">
        <f t="shared" si="56"/>
        <v>154.34891932599422</v>
      </c>
      <c r="CQ34" s="117">
        <f t="shared" si="56"/>
        <v>154.34891932599422</v>
      </c>
      <c r="CR34" s="117">
        <f t="shared" si="56"/>
        <v>154.34891932599422</v>
      </c>
      <c r="CS34" s="117">
        <f t="shared" si="56"/>
        <v>154.34891932599422</v>
      </c>
      <c r="CT34" s="117">
        <f t="shared" si="56"/>
        <v>154.34891932599422</v>
      </c>
      <c r="CU34" s="117">
        <f t="shared" si="56"/>
        <v>152.58643334101674</v>
      </c>
      <c r="CV34" s="117">
        <f t="shared" si="56"/>
        <v>152.58643334101674</v>
      </c>
      <c r="CW34" s="117">
        <f t="shared" si="56"/>
        <v>152.58643334101674</v>
      </c>
      <c r="CX34" s="117">
        <f t="shared" si="56"/>
        <v>152.58643334101674</v>
      </c>
      <c r="CY34" s="117">
        <f t="shared" si="56"/>
        <v>152.58643334101674</v>
      </c>
      <c r="CZ34" s="117">
        <f t="shared" si="56"/>
        <v>152.58643334101674</v>
      </c>
      <c r="DA34" s="117">
        <f t="shared" si="56"/>
        <v>152.58643334101674</v>
      </c>
      <c r="DB34" s="117">
        <f t="shared" si="56"/>
        <v>152.58643334101674</v>
      </c>
      <c r="DC34" s="117">
        <f t="shared" si="56"/>
        <v>152.58643334101674</v>
      </c>
      <c r="DD34" s="117">
        <f t="shared" si="56"/>
        <v>152.58643334101674</v>
      </c>
      <c r="DE34" s="117">
        <f t="shared" si="56"/>
        <v>152.58643334101674</v>
      </c>
      <c r="DF34" s="117">
        <f t="shared" si="56"/>
        <v>152.58643334101674</v>
      </c>
      <c r="DG34" s="117">
        <f t="shared" si="56"/>
        <v>150.81294495819719</v>
      </c>
      <c r="DH34" s="117">
        <f t="shared" si="56"/>
        <v>150.81294495819719</v>
      </c>
      <c r="DI34" s="117">
        <f t="shared" si="56"/>
        <v>150.81294495819719</v>
      </c>
      <c r="DJ34" s="117">
        <f t="shared" si="56"/>
        <v>150.81294495819719</v>
      </c>
      <c r="DK34" s="117">
        <f t="shared" si="56"/>
        <v>150.81294495819719</v>
      </c>
      <c r="DL34" s="117">
        <f t="shared" si="56"/>
        <v>150.81294495819719</v>
      </c>
      <c r="DM34" s="117">
        <f t="shared" si="56"/>
        <v>150.81294495819719</v>
      </c>
      <c r="DN34" s="117">
        <f t="shared" si="56"/>
        <v>150.81294495819719</v>
      </c>
      <c r="DO34" s="117">
        <f t="shared" si="56"/>
        <v>150.81294495819719</v>
      </c>
      <c r="DP34" s="117">
        <f t="shared" si="56"/>
        <v>150.81294495819719</v>
      </c>
      <c r="DQ34" s="117">
        <f t="shared" si="56"/>
        <v>150.81294495819719</v>
      </c>
      <c r="DR34" s="117">
        <f t="shared" si="56"/>
        <v>150.81294495819719</v>
      </c>
      <c r="DS34" s="117">
        <f t="shared" si="56"/>
        <v>-42.055307489819121</v>
      </c>
      <c r="DT34" s="117">
        <f t="shared" si="56"/>
        <v>-42.055307489819121</v>
      </c>
      <c r="DU34" s="117">
        <f t="shared" si="56"/>
        <v>-42.055307489819121</v>
      </c>
      <c r="DV34" s="117">
        <f t="shared" si="56"/>
        <v>-42.055307489819121</v>
      </c>
      <c r="DW34" s="117">
        <f t="shared" si="56"/>
        <v>-42.055307489819121</v>
      </c>
      <c r="DX34" s="117">
        <f t="shared" si="56"/>
        <v>-42.055307489819121</v>
      </c>
      <c r="DY34" s="117">
        <f t="shared" si="56"/>
        <v>-42.055307489819121</v>
      </c>
      <c r="DZ34" s="117">
        <f t="shared" si="56"/>
        <v>-42.055307489819121</v>
      </c>
      <c r="EA34" s="117">
        <f t="shared" ref="EA34:GL34" si="57">EA32+EA33</f>
        <v>-42.055307489819121</v>
      </c>
      <c r="EB34" s="117">
        <f t="shared" si="57"/>
        <v>-42.055307489819121</v>
      </c>
      <c r="EC34" s="117">
        <f t="shared" si="57"/>
        <v>-42.055307489819121</v>
      </c>
      <c r="ED34" s="117">
        <f t="shared" si="57"/>
        <v>-42.055307489819121</v>
      </c>
      <c r="EE34" s="117">
        <f t="shared" si="57"/>
        <v>-42.896413639615496</v>
      </c>
      <c r="EF34" s="117">
        <f t="shared" si="57"/>
        <v>-42.896413639615496</v>
      </c>
      <c r="EG34" s="117">
        <f t="shared" si="57"/>
        <v>-42.896413639615496</v>
      </c>
      <c r="EH34" s="117">
        <f t="shared" si="57"/>
        <v>-42.896413639615496</v>
      </c>
      <c r="EI34" s="117">
        <f t="shared" si="57"/>
        <v>-42.896413639615496</v>
      </c>
      <c r="EJ34" s="117">
        <f t="shared" si="57"/>
        <v>-42.896413639615496</v>
      </c>
      <c r="EK34" s="117">
        <f t="shared" si="57"/>
        <v>-42.896413639615496</v>
      </c>
      <c r="EL34" s="117">
        <f t="shared" si="57"/>
        <v>-42.896413639615496</v>
      </c>
      <c r="EM34" s="117">
        <f t="shared" si="57"/>
        <v>-42.896413639615496</v>
      </c>
      <c r="EN34" s="117">
        <f t="shared" si="57"/>
        <v>-42.896413639615496</v>
      </c>
      <c r="EO34" s="117">
        <f t="shared" si="57"/>
        <v>-42.896413639615496</v>
      </c>
      <c r="EP34" s="117">
        <f t="shared" si="57"/>
        <v>-42.896413639615496</v>
      </c>
      <c r="EQ34" s="117">
        <f t="shared" si="57"/>
        <v>-43.754341912407817</v>
      </c>
      <c r="ER34" s="117">
        <f t="shared" si="57"/>
        <v>-43.754341912407817</v>
      </c>
      <c r="ES34" s="117">
        <f t="shared" si="57"/>
        <v>-43.754341912407817</v>
      </c>
      <c r="ET34" s="117">
        <f t="shared" si="57"/>
        <v>-43.754341912407817</v>
      </c>
      <c r="EU34" s="117">
        <f t="shared" si="57"/>
        <v>-43.754341912407817</v>
      </c>
      <c r="EV34" s="117">
        <f t="shared" si="57"/>
        <v>-43.754341912407817</v>
      </c>
      <c r="EW34" s="117">
        <f t="shared" si="57"/>
        <v>-43.754341912407817</v>
      </c>
      <c r="EX34" s="117">
        <f t="shared" si="57"/>
        <v>-43.754341912407817</v>
      </c>
      <c r="EY34" s="117">
        <f t="shared" si="57"/>
        <v>-43.754341912407817</v>
      </c>
      <c r="EZ34" s="117">
        <f t="shared" si="57"/>
        <v>-43.754341912407817</v>
      </c>
      <c r="FA34" s="117">
        <f t="shared" si="57"/>
        <v>-43.754341912407817</v>
      </c>
      <c r="FB34" s="117">
        <f t="shared" si="57"/>
        <v>-43.754341912407817</v>
      </c>
      <c r="FC34" s="117">
        <f t="shared" si="57"/>
        <v>-44.629428750655961</v>
      </c>
      <c r="FD34" s="117">
        <f t="shared" si="57"/>
        <v>-44.629428750655961</v>
      </c>
      <c r="FE34" s="117">
        <f t="shared" si="57"/>
        <v>-44.629428750655961</v>
      </c>
      <c r="FF34" s="117">
        <f t="shared" si="57"/>
        <v>-44.629428750655961</v>
      </c>
      <c r="FG34" s="117">
        <f t="shared" si="57"/>
        <v>-44.629428750655961</v>
      </c>
      <c r="FH34" s="117">
        <f t="shared" si="57"/>
        <v>-44.629428750655961</v>
      </c>
      <c r="FI34" s="117">
        <f t="shared" si="57"/>
        <v>-44.629428750655961</v>
      </c>
      <c r="FJ34" s="117">
        <f t="shared" si="57"/>
        <v>-44.629428750655961</v>
      </c>
      <c r="FK34" s="117">
        <f t="shared" si="57"/>
        <v>-44.629428750655961</v>
      </c>
      <c r="FL34" s="117">
        <f t="shared" si="57"/>
        <v>-44.629428750655961</v>
      </c>
      <c r="FM34" s="117">
        <f t="shared" si="57"/>
        <v>-44.629428750655961</v>
      </c>
      <c r="FN34" s="117">
        <f t="shared" si="57"/>
        <v>-44.629428750655961</v>
      </c>
      <c r="FO34" s="117">
        <f t="shared" si="57"/>
        <v>-45.52201732566909</v>
      </c>
      <c r="FP34" s="117">
        <f t="shared" si="57"/>
        <v>-45.52201732566909</v>
      </c>
      <c r="FQ34" s="117">
        <f t="shared" si="57"/>
        <v>-45.52201732566909</v>
      </c>
      <c r="FR34" s="117">
        <f t="shared" si="57"/>
        <v>-45.52201732566909</v>
      </c>
      <c r="FS34" s="117">
        <f t="shared" si="57"/>
        <v>-45.52201732566909</v>
      </c>
      <c r="FT34" s="117">
        <f t="shared" si="57"/>
        <v>-45.52201732566909</v>
      </c>
      <c r="FU34" s="117">
        <f t="shared" si="57"/>
        <v>-45.52201732566909</v>
      </c>
      <c r="FV34" s="117">
        <f t="shared" si="57"/>
        <v>-45.52201732566909</v>
      </c>
      <c r="FW34" s="117">
        <f t="shared" si="57"/>
        <v>-45.52201732566909</v>
      </c>
      <c r="FX34" s="117">
        <f t="shared" si="57"/>
        <v>-45.52201732566909</v>
      </c>
      <c r="FY34" s="117">
        <f t="shared" si="57"/>
        <v>-45.52201732566909</v>
      </c>
      <c r="FZ34" s="117">
        <f t="shared" si="57"/>
        <v>-45.52201732566909</v>
      </c>
      <c r="GA34" s="117">
        <f t="shared" si="57"/>
        <v>-46.432457672182458</v>
      </c>
      <c r="GB34" s="117">
        <f t="shared" si="57"/>
        <v>-46.432457672182458</v>
      </c>
      <c r="GC34" s="117">
        <f t="shared" si="57"/>
        <v>-46.432457672182458</v>
      </c>
      <c r="GD34" s="117">
        <f t="shared" si="57"/>
        <v>-46.432457672182458</v>
      </c>
      <c r="GE34" s="117">
        <f t="shared" si="57"/>
        <v>-46.432457672182458</v>
      </c>
      <c r="GF34" s="117">
        <f t="shared" si="57"/>
        <v>-46.432457672182458</v>
      </c>
      <c r="GG34" s="117">
        <f t="shared" si="57"/>
        <v>-46.432457672182458</v>
      </c>
      <c r="GH34" s="117">
        <f t="shared" si="57"/>
        <v>-46.432457672182458</v>
      </c>
      <c r="GI34" s="117">
        <f t="shared" si="57"/>
        <v>-46.432457672182458</v>
      </c>
      <c r="GJ34" s="117">
        <f t="shared" si="57"/>
        <v>-46.432457672182458</v>
      </c>
      <c r="GK34" s="117">
        <f t="shared" si="57"/>
        <v>-46.432457672182458</v>
      </c>
      <c r="GL34" s="117">
        <f t="shared" si="57"/>
        <v>-46.432457672182458</v>
      </c>
      <c r="GM34" s="117">
        <f t="shared" ref="GM34:IX34" si="58">GM32+GM33</f>
        <v>-47.361106825626116</v>
      </c>
      <c r="GN34" s="117">
        <f t="shared" si="58"/>
        <v>-47.361106825626116</v>
      </c>
      <c r="GO34" s="117">
        <f t="shared" si="58"/>
        <v>-47.361106825626116</v>
      </c>
      <c r="GP34" s="117">
        <f t="shared" si="58"/>
        <v>-47.361106825626116</v>
      </c>
      <c r="GQ34" s="117">
        <f t="shared" si="58"/>
        <v>-47.361106825626116</v>
      </c>
      <c r="GR34" s="117">
        <f t="shared" si="58"/>
        <v>-47.361106825626116</v>
      </c>
      <c r="GS34" s="117">
        <f t="shared" si="58"/>
        <v>-47.361106825626116</v>
      </c>
      <c r="GT34" s="117">
        <f t="shared" si="58"/>
        <v>-47.361106825626116</v>
      </c>
      <c r="GU34" s="117">
        <f t="shared" si="58"/>
        <v>-47.361106825626116</v>
      </c>
      <c r="GV34" s="117">
        <f t="shared" si="58"/>
        <v>-47.361106825626116</v>
      </c>
      <c r="GW34" s="117">
        <f t="shared" si="58"/>
        <v>-47.361106825626116</v>
      </c>
      <c r="GX34" s="117">
        <f t="shared" si="58"/>
        <v>-47.361106825626116</v>
      </c>
      <c r="GY34" s="117">
        <f t="shared" si="58"/>
        <v>-48.308328962138638</v>
      </c>
      <c r="GZ34" s="117">
        <f t="shared" si="58"/>
        <v>-48.308328962138638</v>
      </c>
      <c r="HA34" s="117">
        <f t="shared" si="58"/>
        <v>-48.308328962138638</v>
      </c>
      <c r="HB34" s="117">
        <f t="shared" si="58"/>
        <v>-48.308328962138638</v>
      </c>
      <c r="HC34" s="117">
        <f t="shared" si="58"/>
        <v>-48.308328962138638</v>
      </c>
      <c r="HD34" s="117">
        <f t="shared" si="58"/>
        <v>-48.308328962138638</v>
      </c>
      <c r="HE34" s="117">
        <f t="shared" si="58"/>
        <v>-48.308328962138638</v>
      </c>
      <c r="HF34" s="117">
        <f t="shared" si="58"/>
        <v>-48.308328962138638</v>
      </c>
      <c r="HG34" s="117">
        <f t="shared" si="58"/>
        <v>-48.308328962138638</v>
      </c>
      <c r="HH34" s="117">
        <f t="shared" si="58"/>
        <v>-48.308328962138638</v>
      </c>
      <c r="HI34" s="117">
        <f t="shared" si="58"/>
        <v>-48.308328962138638</v>
      </c>
      <c r="HJ34" s="117">
        <f t="shared" si="58"/>
        <v>-48.308328962138638</v>
      </c>
      <c r="HK34" s="117">
        <f t="shared" si="58"/>
        <v>-49.274495541381413</v>
      </c>
      <c r="HL34" s="117">
        <f t="shared" si="58"/>
        <v>-49.274495541381413</v>
      </c>
      <c r="HM34" s="117">
        <f t="shared" si="58"/>
        <v>-49.274495541381413</v>
      </c>
      <c r="HN34" s="117">
        <f t="shared" si="58"/>
        <v>-49.274495541381413</v>
      </c>
      <c r="HO34" s="117">
        <f t="shared" si="58"/>
        <v>-49.274495541381413</v>
      </c>
      <c r="HP34" s="117">
        <f t="shared" si="58"/>
        <v>-49.274495541381413</v>
      </c>
      <c r="HQ34" s="117">
        <f t="shared" si="58"/>
        <v>-49.274495541381413</v>
      </c>
      <c r="HR34" s="117">
        <f t="shared" si="58"/>
        <v>-49.274495541381413</v>
      </c>
      <c r="HS34" s="117">
        <f t="shared" si="58"/>
        <v>-49.274495541381413</v>
      </c>
      <c r="HT34" s="117">
        <f t="shared" si="58"/>
        <v>-49.274495541381413</v>
      </c>
      <c r="HU34" s="117">
        <f t="shared" si="58"/>
        <v>-49.274495541381413</v>
      </c>
      <c r="HV34" s="117">
        <f t="shared" si="58"/>
        <v>-49.274495541381413</v>
      </c>
      <c r="HW34" s="117">
        <f t="shared" si="58"/>
        <v>-50.259985452209037</v>
      </c>
      <c r="HX34" s="117">
        <f t="shared" si="58"/>
        <v>-50.259985452209037</v>
      </c>
      <c r="HY34" s="117">
        <f t="shared" si="58"/>
        <v>-50.259985452209037</v>
      </c>
      <c r="HZ34" s="117">
        <f t="shared" si="58"/>
        <v>-50.259985452209037</v>
      </c>
      <c r="IA34" s="117">
        <f t="shared" si="58"/>
        <v>-50.259985452209037</v>
      </c>
      <c r="IB34" s="117">
        <f t="shared" si="58"/>
        <v>-50.259985452209037</v>
      </c>
      <c r="IC34" s="117">
        <f t="shared" si="58"/>
        <v>-50.259985452209037</v>
      </c>
      <c r="ID34" s="117">
        <f t="shared" si="58"/>
        <v>-50.259985452209037</v>
      </c>
      <c r="IE34" s="117">
        <f t="shared" si="58"/>
        <v>-50.259985452209037</v>
      </c>
      <c r="IF34" s="117">
        <f t="shared" si="58"/>
        <v>-50.259985452209037</v>
      </c>
      <c r="IG34" s="117">
        <f t="shared" si="58"/>
        <v>-50.259985452209037</v>
      </c>
      <c r="IH34" s="117">
        <f t="shared" si="58"/>
        <v>-50.259985452209037</v>
      </c>
      <c r="II34" s="117">
        <f t="shared" si="58"/>
        <v>-51.265185161253221</v>
      </c>
      <c r="IJ34" s="117">
        <f t="shared" si="58"/>
        <v>-51.265185161253221</v>
      </c>
      <c r="IK34" s="117">
        <f t="shared" si="58"/>
        <v>-51.265185161253221</v>
      </c>
      <c r="IL34" s="117">
        <f t="shared" si="58"/>
        <v>-51.265185161253221</v>
      </c>
      <c r="IM34" s="117">
        <f t="shared" si="58"/>
        <v>-51.265185161253221</v>
      </c>
      <c r="IN34" s="117">
        <f t="shared" si="58"/>
        <v>-51.265185161253221</v>
      </c>
      <c r="IO34" s="117">
        <f t="shared" si="58"/>
        <v>-51.265185161253221</v>
      </c>
      <c r="IP34" s="117">
        <f t="shared" si="58"/>
        <v>-51.265185161253221</v>
      </c>
      <c r="IQ34" s="117">
        <f t="shared" si="58"/>
        <v>-51.265185161253221</v>
      </c>
      <c r="IR34" s="117">
        <f t="shared" si="58"/>
        <v>-51.265185161253221</v>
      </c>
      <c r="IS34" s="117">
        <f t="shared" si="58"/>
        <v>-51.265185161253221</v>
      </c>
      <c r="IT34" s="117">
        <f t="shared" si="58"/>
        <v>-51.265185161253221</v>
      </c>
      <c r="IU34" s="117">
        <f t="shared" si="58"/>
        <v>-52.290488864478277</v>
      </c>
      <c r="IV34" s="117">
        <f t="shared" si="58"/>
        <v>-52.290488864478277</v>
      </c>
      <c r="IW34" s="117">
        <f t="shared" si="58"/>
        <v>-52.290488864478277</v>
      </c>
      <c r="IX34" s="117">
        <f t="shared" si="58"/>
        <v>-52.290488864478277</v>
      </c>
      <c r="IY34" s="117">
        <f t="shared" ref="IY34:KP34" si="59">IY32+IY33</f>
        <v>-52.290488864478277</v>
      </c>
      <c r="IZ34" s="117">
        <f t="shared" si="59"/>
        <v>-52.290488864478277</v>
      </c>
      <c r="JA34" s="117">
        <f t="shared" si="59"/>
        <v>-52.290488864478277</v>
      </c>
      <c r="JB34" s="117">
        <f t="shared" si="59"/>
        <v>-52.290488864478277</v>
      </c>
      <c r="JC34" s="117">
        <f t="shared" si="59"/>
        <v>-52.290488864478277</v>
      </c>
      <c r="JD34" s="117">
        <f t="shared" si="59"/>
        <v>-52.290488864478277</v>
      </c>
      <c r="JE34" s="117">
        <f t="shared" si="59"/>
        <v>-52.290488864478277</v>
      </c>
      <c r="JF34" s="117">
        <f t="shared" si="59"/>
        <v>-52.290488864478277</v>
      </c>
      <c r="JG34" s="117">
        <f t="shared" si="59"/>
        <v>-53.336298641767854</v>
      </c>
      <c r="JH34" s="117">
        <f t="shared" si="59"/>
        <v>-53.336298641767854</v>
      </c>
      <c r="JI34" s="117">
        <f t="shared" si="59"/>
        <v>-53.336298641767854</v>
      </c>
      <c r="JJ34" s="117">
        <f t="shared" si="59"/>
        <v>-53.336298641767854</v>
      </c>
      <c r="JK34" s="117">
        <f t="shared" si="59"/>
        <v>-53.336298641767854</v>
      </c>
      <c r="JL34" s="117">
        <f t="shared" si="59"/>
        <v>-53.336298641767854</v>
      </c>
      <c r="JM34" s="117">
        <f t="shared" si="59"/>
        <v>-53.336298641767854</v>
      </c>
      <c r="JN34" s="117">
        <f t="shared" si="59"/>
        <v>-53.336298641767854</v>
      </c>
      <c r="JO34" s="117">
        <f t="shared" si="59"/>
        <v>-53.336298641767854</v>
      </c>
      <c r="JP34" s="117">
        <f t="shared" si="59"/>
        <v>-53.336298641767854</v>
      </c>
      <c r="JQ34" s="117">
        <f t="shared" si="59"/>
        <v>-53.336298641767854</v>
      </c>
      <c r="JR34" s="117">
        <f t="shared" si="59"/>
        <v>-53.336298641767854</v>
      </c>
      <c r="JS34" s="117">
        <f t="shared" si="59"/>
        <v>-54.403024614603197</v>
      </c>
      <c r="JT34" s="117">
        <f t="shared" si="59"/>
        <v>-54.403024614603197</v>
      </c>
      <c r="JU34" s="117">
        <f t="shared" si="59"/>
        <v>-54.403024614603197</v>
      </c>
      <c r="JV34" s="117">
        <f t="shared" si="59"/>
        <v>-54.403024614603197</v>
      </c>
      <c r="JW34" s="117">
        <f t="shared" si="59"/>
        <v>-54.403024614603197</v>
      </c>
      <c r="JX34" s="117">
        <f t="shared" si="59"/>
        <v>-54.403024614603197</v>
      </c>
      <c r="JY34" s="117">
        <f t="shared" si="59"/>
        <v>-54.403024614603197</v>
      </c>
      <c r="JZ34" s="117">
        <f t="shared" si="59"/>
        <v>-54.403024614603197</v>
      </c>
      <c r="KA34" s="117">
        <f t="shared" si="59"/>
        <v>-54.403024614603197</v>
      </c>
      <c r="KB34" s="117">
        <f t="shared" si="59"/>
        <v>-54.403024614603197</v>
      </c>
      <c r="KC34" s="117">
        <f t="shared" si="59"/>
        <v>-54.403024614603197</v>
      </c>
      <c r="KD34" s="117">
        <f t="shared" si="59"/>
        <v>-54.403024614603197</v>
      </c>
      <c r="KE34" s="117">
        <f t="shared" si="59"/>
        <v>-55.491085106895262</v>
      </c>
      <c r="KF34" s="117">
        <f t="shared" si="59"/>
        <v>-55.491085106895262</v>
      </c>
      <c r="KG34" s="117">
        <f t="shared" si="59"/>
        <v>-55.491085106895262</v>
      </c>
      <c r="KH34" s="117">
        <f t="shared" si="59"/>
        <v>-55.491085106895262</v>
      </c>
      <c r="KI34" s="117">
        <f t="shared" si="59"/>
        <v>-55.491085106895262</v>
      </c>
      <c r="KJ34" s="117">
        <f t="shared" si="59"/>
        <v>-55.491085106895262</v>
      </c>
      <c r="KK34" s="117">
        <f t="shared" si="59"/>
        <v>-55.491085106895262</v>
      </c>
      <c r="KL34" s="117">
        <f t="shared" si="59"/>
        <v>-55.491085106895262</v>
      </c>
      <c r="KM34" s="117">
        <f t="shared" si="59"/>
        <v>-55.491085106895262</v>
      </c>
      <c r="KN34" s="117">
        <f t="shared" si="59"/>
        <v>-55.491085106895262</v>
      </c>
      <c r="KO34" s="117">
        <f t="shared" si="59"/>
        <v>-55.491085106895262</v>
      </c>
      <c r="KP34" s="117">
        <f t="shared" si="59"/>
        <v>-55.491085106895262</v>
      </c>
    </row>
    <row r="35" spans="1:302" ht="16" customHeight="1" x14ac:dyDescent="0.2">
      <c r="A35" s="104" t="s">
        <v>445</v>
      </c>
      <c r="B35" s="105" t="s">
        <v>215</v>
      </c>
      <c r="C35" s="106">
        <f>IF(C34&gt;0,-C34*Assumptions!$E$47,0)</f>
        <v>-36.60924794999999</v>
      </c>
      <c r="D35" s="106">
        <f>IF(D34&gt;0,-D34*Assumptions!$E$47,0)</f>
        <v>-36.60924794999999</v>
      </c>
      <c r="E35" s="106">
        <f>IF(E34&gt;0,-E34*Assumptions!$E$47,0)</f>
        <v>-36.60924794999999</v>
      </c>
      <c r="F35" s="106">
        <f>IF(F34&gt;0,-F34*Assumptions!$E$47,0)</f>
        <v>-36.60924794999999</v>
      </c>
      <c r="G35" s="106">
        <f>IF(G34&gt;0,-G34*Assumptions!$E$47,0)</f>
        <v>-36.60924794999999</v>
      </c>
      <c r="H35" s="106">
        <f>IF(H34&gt;0,-H34*Assumptions!$E$47,0)</f>
        <v>-36.60924794999999</v>
      </c>
      <c r="I35" s="106">
        <f>IF(I34&gt;0,-I34*Assumptions!$E$47,0)</f>
        <v>-36.60924794999999</v>
      </c>
      <c r="J35" s="106">
        <f>IF(J34&gt;0,-J34*Assumptions!$E$47,0)</f>
        <v>-36.60924794999999</v>
      </c>
      <c r="K35" s="106">
        <f>IF(K34&gt;0,-K34*Assumptions!$E$47,0)</f>
        <v>-36.60924794999999</v>
      </c>
      <c r="L35" s="106">
        <f>IF(L34&gt;0,-L34*Assumptions!$E$47,0)</f>
        <v>-36.60924794999999</v>
      </c>
      <c r="M35" s="106">
        <f>IF(M34&gt;0,-M34*Assumptions!$E$47,0)</f>
        <v>-36.60924794999999</v>
      </c>
      <c r="N35" s="106">
        <f>IF(N34&gt;0,-N34*Assumptions!$E$47,0)</f>
        <v>-36.60924794999999</v>
      </c>
      <c r="O35" s="106">
        <f>IF(O34&gt;0,-O34*Assumptions!$E$47,0)</f>
        <v>-36.236451710249987</v>
      </c>
      <c r="P35" s="106">
        <f>IF(P34&gt;0,-P34*Assumptions!$E$47,0)</f>
        <v>-36.236451710249987</v>
      </c>
      <c r="Q35" s="106">
        <f>IF(Q34&gt;0,-Q34*Assumptions!$E$47,0)</f>
        <v>-36.236451710249987</v>
      </c>
      <c r="R35" s="106">
        <f>IF(R34&gt;0,-R34*Assumptions!$E$47,0)</f>
        <v>-36.236451710249987</v>
      </c>
      <c r="S35" s="106">
        <f>IF(S34&gt;0,-S34*Assumptions!$E$47,0)</f>
        <v>-36.236451710249987</v>
      </c>
      <c r="T35" s="106">
        <f>IF(T34&gt;0,-T34*Assumptions!$E$47,0)</f>
        <v>-36.236451710249987</v>
      </c>
      <c r="U35" s="106">
        <f>IF(U34&gt;0,-U34*Assumptions!$E$47,0)</f>
        <v>-36.236451710249987</v>
      </c>
      <c r="V35" s="106">
        <f>IF(V34&gt;0,-V34*Assumptions!$E$47,0)</f>
        <v>-36.236451710249987</v>
      </c>
      <c r="W35" s="106">
        <f>IF(W34&gt;0,-W34*Assumptions!$E$47,0)</f>
        <v>-36.236451710249987</v>
      </c>
      <c r="X35" s="106">
        <f>IF(X34&gt;0,-X34*Assumptions!$E$47,0)</f>
        <v>-36.236451710249987</v>
      </c>
      <c r="Y35" s="106">
        <f>IF(Y34&gt;0,-Y34*Assumptions!$E$47,0)</f>
        <v>-36.236451710249987</v>
      </c>
      <c r="Z35" s="106">
        <f>IF(Z34&gt;0,-Z34*Assumptions!$E$47,0)</f>
        <v>-36.236451710249987</v>
      </c>
      <c r="AA35" s="106">
        <f>IF(AA34&gt;0,-AA34*Assumptions!$E$47,0)</f>
        <v>-35.861724451698748</v>
      </c>
      <c r="AB35" s="106">
        <f>IF(AB34&gt;0,-AB34*Assumptions!$E$47,0)</f>
        <v>-35.861724451698748</v>
      </c>
      <c r="AC35" s="106">
        <f>IF(AC34&gt;0,-AC34*Assumptions!$E$47,0)</f>
        <v>-35.861724451698748</v>
      </c>
      <c r="AD35" s="106">
        <f>IF(AD34&gt;0,-AD34*Assumptions!$E$47,0)</f>
        <v>-35.861724451698748</v>
      </c>
      <c r="AE35" s="106">
        <f>IF(AE34&gt;0,-AE34*Assumptions!$E$47,0)</f>
        <v>-35.861724451698748</v>
      </c>
      <c r="AF35" s="106">
        <f>IF(AF34&gt;0,-AF34*Assumptions!$E$47,0)</f>
        <v>-35.861724451698748</v>
      </c>
      <c r="AG35" s="106">
        <f>IF(AG34&gt;0,-AG34*Assumptions!$E$47,0)</f>
        <v>-35.861724451698748</v>
      </c>
      <c r="AH35" s="106">
        <f>IF(AH34&gt;0,-AH34*Assumptions!$E$47,0)</f>
        <v>-35.861724451698748</v>
      </c>
      <c r="AI35" s="106">
        <f>IF(AI34&gt;0,-AI34*Assumptions!$E$47,0)</f>
        <v>-35.861724451698748</v>
      </c>
      <c r="AJ35" s="106">
        <f>IF(AJ34&gt;0,-AJ34*Assumptions!$E$47,0)</f>
        <v>-35.861724451698748</v>
      </c>
      <c r="AK35" s="106">
        <f>IF(AK34&gt;0,-AK34*Assumptions!$E$47,0)</f>
        <v>-35.861724451698748</v>
      </c>
      <c r="AL35" s="106">
        <f>IF(AL34&gt;0,-AL34*Assumptions!$E$47,0)</f>
        <v>-35.861724451698748</v>
      </c>
      <c r="AM35" s="106">
        <f>IF(AM34&gt;0,-AM34*Assumptions!$E$47,0)</f>
        <v>-35.484999929440242</v>
      </c>
      <c r="AN35" s="106">
        <f>IF(AN34&gt;0,-AN34*Assumptions!$E$47,0)</f>
        <v>-35.484999929440242</v>
      </c>
      <c r="AO35" s="106">
        <f>IF(AO34&gt;0,-AO34*Assumptions!$E$47,0)</f>
        <v>-35.484999929440242</v>
      </c>
      <c r="AP35" s="106">
        <f>IF(AP34&gt;0,-AP34*Assumptions!$E$47,0)</f>
        <v>-35.484999929440242</v>
      </c>
      <c r="AQ35" s="106">
        <f>IF(AQ34&gt;0,-AQ34*Assumptions!$E$47,0)</f>
        <v>-35.484999929440242</v>
      </c>
      <c r="AR35" s="106">
        <f>IF(AR34&gt;0,-AR34*Assumptions!$E$47,0)</f>
        <v>-35.484999929440242</v>
      </c>
      <c r="AS35" s="106">
        <f>IF(AS34&gt;0,-AS34*Assumptions!$E$47,0)</f>
        <v>-35.484999929440242</v>
      </c>
      <c r="AT35" s="106">
        <f>IF(AT34&gt;0,-AT34*Assumptions!$E$47,0)</f>
        <v>-35.484999929440242</v>
      </c>
      <c r="AU35" s="106">
        <f>IF(AU34&gt;0,-AU34*Assumptions!$E$47,0)</f>
        <v>-35.484999929440242</v>
      </c>
      <c r="AV35" s="106">
        <f>IF(AV34&gt;0,-AV34*Assumptions!$E$47,0)</f>
        <v>-35.484999929440242</v>
      </c>
      <c r="AW35" s="106">
        <f>IF(AW34&gt;0,-AW34*Assumptions!$E$47,0)</f>
        <v>-35.484999929440242</v>
      </c>
      <c r="AX35" s="106">
        <f>IF(AX34&gt;0,-AX34*Assumptions!$E$47,0)</f>
        <v>-35.484999929440242</v>
      </c>
      <c r="AY35" s="106">
        <f>IF(AY34&gt;0,-AY34*Assumptions!$E$47,0)</f>
        <v>-35.106210711793054</v>
      </c>
      <c r="AZ35" s="106">
        <f>IF(AZ34&gt;0,-AZ34*Assumptions!$E$47,0)</f>
        <v>-35.106210711793054</v>
      </c>
      <c r="BA35" s="106">
        <f>IF(BA34&gt;0,-BA34*Assumptions!$E$47,0)</f>
        <v>-35.106210711793054</v>
      </c>
      <c r="BB35" s="106">
        <f>IF(BB34&gt;0,-BB34*Assumptions!$E$47,0)</f>
        <v>-35.106210711793054</v>
      </c>
      <c r="BC35" s="106">
        <f>IF(BC34&gt;0,-BC34*Assumptions!$E$47,0)</f>
        <v>-35.106210711793054</v>
      </c>
      <c r="BD35" s="106">
        <f>IF(BD34&gt;0,-BD34*Assumptions!$E$47,0)</f>
        <v>-35.106210711793054</v>
      </c>
      <c r="BE35" s="106">
        <f>IF(BE34&gt;0,-BE34*Assumptions!$E$47,0)</f>
        <v>-35.106210711793054</v>
      </c>
      <c r="BF35" s="106">
        <f>IF(BF34&gt;0,-BF34*Assumptions!$E$47,0)</f>
        <v>-35.106210711793054</v>
      </c>
      <c r="BG35" s="106">
        <f>IF(BG34&gt;0,-BG34*Assumptions!$E$47,0)</f>
        <v>-35.106210711793054</v>
      </c>
      <c r="BH35" s="106">
        <f>IF(BH34&gt;0,-BH34*Assumptions!$E$47,0)</f>
        <v>-35.106210711793054</v>
      </c>
      <c r="BI35" s="106">
        <f>IF(BI34&gt;0,-BI34*Assumptions!$E$47,0)</f>
        <v>-35.106210711793054</v>
      </c>
      <c r="BJ35" s="106">
        <f>IF(BJ34&gt;0,-BJ34*Assumptions!$E$47,0)</f>
        <v>-35.106210711793054</v>
      </c>
      <c r="BK35" s="106">
        <f>IF(BK34&gt;0,-BK34*Assumptions!$E$47,0)</f>
        <v>-34.725288155874082</v>
      </c>
      <c r="BL35" s="106">
        <f>IF(BL34&gt;0,-BL34*Assumptions!$E$47,0)</f>
        <v>-34.725288155874082</v>
      </c>
      <c r="BM35" s="106">
        <f>IF(BM34&gt;0,-BM34*Assumptions!$E$47,0)</f>
        <v>-34.725288155874082</v>
      </c>
      <c r="BN35" s="106">
        <f>IF(BN34&gt;0,-BN34*Assumptions!$E$47,0)</f>
        <v>-34.725288155874082</v>
      </c>
      <c r="BO35" s="106">
        <f>IF(BO34&gt;0,-BO34*Assumptions!$E$47,0)</f>
        <v>-34.725288155874082</v>
      </c>
      <c r="BP35" s="106">
        <f>IF(BP34&gt;0,-BP34*Assumptions!$E$47,0)</f>
        <v>-34.725288155874082</v>
      </c>
      <c r="BQ35" s="106">
        <f>IF(BQ34&gt;0,-BQ34*Assumptions!$E$47,0)</f>
        <v>-34.725288155874082</v>
      </c>
      <c r="BR35" s="106">
        <f>IF(BR34&gt;0,-BR34*Assumptions!$E$47,0)</f>
        <v>-34.725288155874082</v>
      </c>
      <c r="BS35" s="106">
        <f>IF(BS34&gt;0,-BS34*Assumptions!$E$47,0)</f>
        <v>-34.725288155874082</v>
      </c>
      <c r="BT35" s="106">
        <f>IF(BT34&gt;0,-BT34*Assumptions!$E$47,0)</f>
        <v>-34.725288155874082</v>
      </c>
      <c r="BU35" s="106">
        <f>IF(BU34&gt;0,-BU34*Assumptions!$E$47,0)</f>
        <v>-34.725288155874082</v>
      </c>
      <c r="BV35" s="106">
        <f>IF(BV34&gt;0,-BV34*Assumptions!$E$47,0)</f>
        <v>-34.725288155874082</v>
      </c>
      <c r="BW35" s="106">
        <f>IF(BW34&gt;0,-BW34*Assumptions!$E$47,0)</f>
        <v>-34.342162382687519</v>
      </c>
      <c r="BX35" s="106">
        <f>IF(BX34&gt;0,-BX34*Assumptions!$E$47,0)</f>
        <v>-34.342162382687519</v>
      </c>
      <c r="BY35" s="106">
        <f>IF(BY34&gt;0,-BY34*Assumptions!$E$47,0)</f>
        <v>-34.342162382687519</v>
      </c>
      <c r="BZ35" s="106">
        <f>IF(BZ34&gt;0,-BZ34*Assumptions!$E$47,0)</f>
        <v>-34.342162382687519</v>
      </c>
      <c r="CA35" s="106">
        <f>IF(CA34&gt;0,-CA34*Assumptions!$E$47,0)</f>
        <v>-34.342162382687519</v>
      </c>
      <c r="CB35" s="106">
        <f>IF(CB34&gt;0,-CB34*Assumptions!$E$47,0)</f>
        <v>-34.342162382687519</v>
      </c>
      <c r="CC35" s="106">
        <f>IF(CC34&gt;0,-CC34*Assumptions!$E$47,0)</f>
        <v>-34.342162382687519</v>
      </c>
      <c r="CD35" s="106">
        <f>IF(CD34&gt;0,-CD34*Assumptions!$E$47,0)</f>
        <v>-34.342162382687519</v>
      </c>
      <c r="CE35" s="106">
        <f>IF(CE34&gt;0,-CE34*Assumptions!$E$47,0)</f>
        <v>-34.342162382687519</v>
      </c>
      <c r="CF35" s="106">
        <f>IF(CF34&gt;0,-CF34*Assumptions!$E$47,0)</f>
        <v>-34.342162382687519</v>
      </c>
      <c r="CG35" s="106">
        <f>IF(CG34&gt;0,-CG34*Assumptions!$E$47,0)</f>
        <v>-34.342162382687519</v>
      </c>
      <c r="CH35" s="106">
        <f>IF(CH34&gt;0,-CH34*Assumptions!$E$47,0)</f>
        <v>-34.342162382687519</v>
      </c>
      <c r="CI35" s="106">
        <f>IF(CI34&gt;0,-CI34*Assumptions!$E$47,0)</f>
        <v>-33.956762251718729</v>
      </c>
      <c r="CJ35" s="106">
        <f>IF(CJ34&gt;0,-CJ34*Assumptions!$E$47,0)</f>
        <v>-33.956762251718729</v>
      </c>
      <c r="CK35" s="106">
        <f>IF(CK34&gt;0,-CK34*Assumptions!$E$47,0)</f>
        <v>-33.956762251718729</v>
      </c>
      <c r="CL35" s="106">
        <f>IF(CL34&gt;0,-CL34*Assumptions!$E$47,0)</f>
        <v>-33.956762251718729</v>
      </c>
      <c r="CM35" s="106">
        <f>IF(CM34&gt;0,-CM34*Assumptions!$E$47,0)</f>
        <v>-33.956762251718729</v>
      </c>
      <c r="CN35" s="106">
        <f>IF(CN34&gt;0,-CN34*Assumptions!$E$47,0)</f>
        <v>-33.956762251718729</v>
      </c>
      <c r="CO35" s="106">
        <f>IF(CO34&gt;0,-CO34*Assumptions!$E$47,0)</f>
        <v>-33.956762251718729</v>
      </c>
      <c r="CP35" s="106">
        <f>IF(CP34&gt;0,-CP34*Assumptions!$E$47,0)</f>
        <v>-33.956762251718729</v>
      </c>
      <c r="CQ35" s="106">
        <f>IF(CQ34&gt;0,-CQ34*Assumptions!$E$47,0)</f>
        <v>-33.956762251718729</v>
      </c>
      <c r="CR35" s="106">
        <f>IF(CR34&gt;0,-CR34*Assumptions!$E$47,0)</f>
        <v>-33.956762251718729</v>
      </c>
      <c r="CS35" s="106">
        <f>IF(CS34&gt;0,-CS34*Assumptions!$E$47,0)</f>
        <v>-33.956762251718729</v>
      </c>
      <c r="CT35" s="106">
        <f>IF(CT34&gt;0,-CT34*Assumptions!$E$47,0)</f>
        <v>-33.956762251718729</v>
      </c>
      <c r="CU35" s="106">
        <f>IF(CU34&gt;0,-CU34*Assumptions!$E$47,0)</f>
        <v>-33.569015335023686</v>
      </c>
      <c r="CV35" s="106">
        <f>IF(CV34&gt;0,-CV34*Assumptions!$E$47,0)</f>
        <v>-33.569015335023686</v>
      </c>
      <c r="CW35" s="106">
        <f>IF(CW34&gt;0,-CW34*Assumptions!$E$47,0)</f>
        <v>-33.569015335023686</v>
      </c>
      <c r="CX35" s="106">
        <f>IF(CX34&gt;0,-CX34*Assumptions!$E$47,0)</f>
        <v>-33.569015335023686</v>
      </c>
      <c r="CY35" s="106">
        <f>IF(CY34&gt;0,-CY34*Assumptions!$E$47,0)</f>
        <v>-33.569015335023686</v>
      </c>
      <c r="CZ35" s="106">
        <f>IF(CZ34&gt;0,-CZ34*Assumptions!$E$47,0)</f>
        <v>-33.569015335023686</v>
      </c>
      <c r="DA35" s="106">
        <f>IF(DA34&gt;0,-DA34*Assumptions!$E$47,0)</f>
        <v>-33.569015335023686</v>
      </c>
      <c r="DB35" s="106">
        <f>IF(DB34&gt;0,-DB34*Assumptions!$E$47,0)</f>
        <v>-33.569015335023686</v>
      </c>
      <c r="DC35" s="106">
        <f>IF(DC34&gt;0,-DC34*Assumptions!$E$47,0)</f>
        <v>-33.569015335023686</v>
      </c>
      <c r="DD35" s="106">
        <f>IF(DD34&gt;0,-DD34*Assumptions!$E$47,0)</f>
        <v>-33.569015335023686</v>
      </c>
      <c r="DE35" s="106">
        <f>IF(DE34&gt;0,-DE34*Assumptions!$E$47,0)</f>
        <v>-33.569015335023686</v>
      </c>
      <c r="DF35" s="106">
        <f>IF(DF34&gt;0,-DF34*Assumptions!$E$47,0)</f>
        <v>-33.569015335023686</v>
      </c>
      <c r="DG35" s="106">
        <f>IF(DG34&gt;0,-DG34*Assumptions!$E$47,0)</f>
        <v>-33.178847890803382</v>
      </c>
      <c r="DH35" s="106">
        <f>IF(DH34&gt;0,-DH34*Assumptions!$E$47,0)</f>
        <v>-33.178847890803382</v>
      </c>
      <c r="DI35" s="106">
        <f>IF(DI34&gt;0,-DI34*Assumptions!$E$47,0)</f>
        <v>-33.178847890803382</v>
      </c>
      <c r="DJ35" s="106">
        <f>IF(DJ34&gt;0,-DJ34*Assumptions!$E$47,0)</f>
        <v>-33.178847890803382</v>
      </c>
      <c r="DK35" s="106">
        <f>IF(DK34&gt;0,-DK34*Assumptions!$E$47,0)</f>
        <v>-33.178847890803382</v>
      </c>
      <c r="DL35" s="106">
        <f>IF(DL34&gt;0,-DL34*Assumptions!$E$47,0)</f>
        <v>-33.178847890803382</v>
      </c>
      <c r="DM35" s="106">
        <f>IF(DM34&gt;0,-DM34*Assumptions!$E$47,0)</f>
        <v>-33.178847890803382</v>
      </c>
      <c r="DN35" s="106">
        <f>IF(DN34&gt;0,-DN34*Assumptions!$E$47,0)</f>
        <v>-33.178847890803382</v>
      </c>
      <c r="DO35" s="106">
        <f>IF(DO34&gt;0,-DO34*Assumptions!$E$47,0)</f>
        <v>-33.178847890803382</v>
      </c>
      <c r="DP35" s="106">
        <f>IF(DP34&gt;0,-DP34*Assumptions!$E$47,0)</f>
        <v>-33.178847890803382</v>
      </c>
      <c r="DQ35" s="106">
        <f>IF(DQ34&gt;0,-DQ34*Assumptions!$E$47,0)</f>
        <v>-33.178847890803382</v>
      </c>
      <c r="DR35" s="106">
        <f>IF(DR34&gt;0,-DR34*Assumptions!$E$47,0)</f>
        <v>-33.178847890803382</v>
      </c>
      <c r="DS35" s="106">
        <f>IF(DS34&gt;0,-DS34*Assumptions!$E$47,0)</f>
        <v>0</v>
      </c>
      <c r="DT35" s="106">
        <f>IF(DT34&gt;0,-DT34*Assumptions!$E$47,0)</f>
        <v>0</v>
      </c>
      <c r="DU35" s="106">
        <f>IF(DU34&gt;0,-DU34*Assumptions!$E$47,0)</f>
        <v>0</v>
      </c>
      <c r="DV35" s="106">
        <f>IF(DV34&gt;0,-DV34*Assumptions!$E$47,0)</f>
        <v>0</v>
      </c>
      <c r="DW35" s="106">
        <f>IF(DW34&gt;0,-DW34*Assumptions!$E$47,0)</f>
        <v>0</v>
      </c>
      <c r="DX35" s="106">
        <f>IF(DX34&gt;0,-DX34*Assumptions!$E$47,0)</f>
        <v>0</v>
      </c>
      <c r="DY35" s="106">
        <f>IF(DY34&gt;0,-DY34*Assumptions!$E$47,0)</f>
        <v>0</v>
      </c>
      <c r="DZ35" s="106">
        <f>IF(DZ34&gt;0,-DZ34*Assumptions!$E$47,0)</f>
        <v>0</v>
      </c>
      <c r="EA35" s="106">
        <f>IF(EA34&gt;0,-EA34*Assumptions!$E$47,0)</f>
        <v>0</v>
      </c>
      <c r="EB35" s="106">
        <f>IF(EB34&gt;0,-EB34*Assumptions!$E$47,0)</f>
        <v>0</v>
      </c>
      <c r="EC35" s="106">
        <f>IF(EC34&gt;0,-EC34*Assumptions!$E$47,0)</f>
        <v>0</v>
      </c>
      <c r="ED35" s="106">
        <f>IF(ED34&gt;0,-ED34*Assumptions!$E$47,0)</f>
        <v>0</v>
      </c>
      <c r="EE35" s="106">
        <f>IF(EE34&gt;0,-EE34*Assumptions!$E$47,0)</f>
        <v>0</v>
      </c>
      <c r="EF35" s="106">
        <f>IF(EF34&gt;0,-EF34*Assumptions!$E$47,0)</f>
        <v>0</v>
      </c>
      <c r="EG35" s="106">
        <f>IF(EG34&gt;0,-EG34*Assumptions!$E$47,0)</f>
        <v>0</v>
      </c>
      <c r="EH35" s="106">
        <f>IF(EH34&gt;0,-EH34*Assumptions!$E$47,0)</f>
        <v>0</v>
      </c>
      <c r="EI35" s="106">
        <f>IF(EI34&gt;0,-EI34*Assumptions!$E$47,0)</f>
        <v>0</v>
      </c>
      <c r="EJ35" s="106">
        <f>IF(EJ34&gt;0,-EJ34*Assumptions!$E$47,0)</f>
        <v>0</v>
      </c>
      <c r="EK35" s="106">
        <f>IF(EK34&gt;0,-EK34*Assumptions!$E$47,0)</f>
        <v>0</v>
      </c>
      <c r="EL35" s="106">
        <f>IF(EL34&gt;0,-EL34*Assumptions!$E$47,0)</f>
        <v>0</v>
      </c>
      <c r="EM35" s="106">
        <f>IF(EM34&gt;0,-EM34*Assumptions!$E$47,0)</f>
        <v>0</v>
      </c>
      <c r="EN35" s="106">
        <f>IF(EN34&gt;0,-EN34*Assumptions!$E$47,0)</f>
        <v>0</v>
      </c>
      <c r="EO35" s="106">
        <f>IF(EO34&gt;0,-EO34*Assumptions!$E$47,0)</f>
        <v>0</v>
      </c>
      <c r="EP35" s="106">
        <f>IF(EP34&gt;0,-EP34*Assumptions!$E$47,0)</f>
        <v>0</v>
      </c>
      <c r="EQ35" s="106">
        <f>IF(EQ34&gt;0,-EQ34*Assumptions!$E$47,0)</f>
        <v>0</v>
      </c>
      <c r="ER35" s="106">
        <f>IF(ER34&gt;0,-ER34*Assumptions!$E$47,0)</f>
        <v>0</v>
      </c>
      <c r="ES35" s="106">
        <f>IF(ES34&gt;0,-ES34*Assumptions!$E$47,0)</f>
        <v>0</v>
      </c>
      <c r="ET35" s="106">
        <f>IF(ET34&gt;0,-ET34*Assumptions!$E$47,0)</f>
        <v>0</v>
      </c>
      <c r="EU35" s="106">
        <f>IF(EU34&gt;0,-EU34*Assumptions!$E$47,0)</f>
        <v>0</v>
      </c>
      <c r="EV35" s="106">
        <f>IF(EV34&gt;0,-EV34*Assumptions!$E$47,0)</f>
        <v>0</v>
      </c>
      <c r="EW35" s="106">
        <f>IF(EW34&gt;0,-EW34*Assumptions!$E$47,0)</f>
        <v>0</v>
      </c>
      <c r="EX35" s="106">
        <f>IF(EX34&gt;0,-EX34*Assumptions!$E$47,0)</f>
        <v>0</v>
      </c>
      <c r="EY35" s="106">
        <f>IF(EY34&gt;0,-EY34*Assumptions!$E$47,0)</f>
        <v>0</v>
      </c>
      <c r="EZ35" s="106">
        <f>IF(EZ34&gt;0,-EZ34*Assumptions!$E$47,0)</f>
        <v>0</v>
      </c>
      <c r="FA35" s="106">
        <f>IF(FA34&gt;0,-FA34*Assumptions!$E$47,0)</f>
        <v>0</v>
      </c>
      <c r="FB35" s="106">
        <f>IF(FB34&gt;0,-FB34*Assumptions!$E$47,0)</f>
        <v>0</v>
      </c>
      <c r="FC35" s="106">
        <f>IF(FC34&gt;0,-FC34*Assumptions!$E$47,0)</f>
        <v>0</v>
      </c>
      <c r="FD35" s="106">
        <f>IF(FD34&gt;0,-FD34*Assumptions!$E$47,0)</f>
        <v>0</v>
      </c>
      <c r="FE35" s="106">
        <f>IF(FE34&gt;0,-FE34*Assumptions!$E$47,0)</f>
        <v>0</v>
      </c>
      <c r="FF35" s="106">
        <f>IF(FF34&gt;0,-FF34*Assumptions!$E$47,0)</f>
        <v>0</v>
      </c>
      <c r="FG35" s="106">
        <f>IF(FG34&gt;0,-FG34*Assumptions!$E$47,0)</f>
        <v>0</v>
      </c>
      <c r="FH35" s="106">
        <f>IF(FH34&gt;0,-FH34*Assumptions!$E$47,0)</f>
        <v>0</v>
      </c>
      <c r="FI35" s="106">
        <f>IF(FI34&gt;0,-FI34*Assumptions!$E$47,0)</f>
        <v>0</v>
      </c>
      <c r="FJ35" s="106">
        <f>IF(FJ34&gt;0,-FJ34*Assumptions!$E$47,0)</f>
        <v>0</v>
      </c>
      <c r="FK35" s="106">
        <f>IF(FK34&gt;0,-FK34*Assumptions!$E$47,0)</f>
        <v>0</v>
      </c>
      <c r="FL35" s="106">
        <f>IF(FL34&gt;0,-FL34*Assumptions!$E$47,0)</f>
        <v>0</v>
      </c>
      <c r="FM35" s="106">
        <f>IF(FM34&gt;0,-FM34*Assumptions!$E$47,0)</f>
        <v>0</v>
      </c>
      <c r="FN35" s="106">
        <f>IF(FN34&gt;0,-FN34*Assumptions!$E$47,0)</f>
        <v>0</v>
      </c>
      <c r="FO35" s="106">
        <f>IF(FO34&gt;0,-FO34*Assumptions!$E$47,0)</f>
        <v>0</v>
      </c>
      <c r="FP35" s="106">
        <f>IF(FP34&gt;0,-FP34*Assumptions!$E$47,0)</f>
        <v>0</v>
      </c>
      <c r="FQ35" s="106">
        <f>IF(FQ34&gt;0,-FQ34*Assumptions!$E$47,0)</f>
        <v>0</v>
      </c>
      <c r="FR35" s="106">
        <f>IF(FR34&gt;0,-FR34*Assumptions!$E$47,0)</f>
        <v>0</v>
      </c>
      <c r="FS35" s="106">
        <f>IF(FS34&gt;0,-FS34*Assumptions!$E$47,0)</f>
        <v>0</v>
      </c>
      <c r="FT35" s="106">
        <f>IF(FT34&gt;0,-FT34*Assumptions!$E$47,0)</f>
        <v>0</v>
      </c>
      <c r="FU35" s="106">
        <f>IF(FU34&gt;0,-FU34*Assumptions!$E$47,0)</f>
        <v>0</v>
      </c>
      <c r="FV35" s="106">
        <f>IF(FV34&gt;0,-FV34*Assumptions!$E$47,0)</f>
        <v>0</v>
      </c>
      <c r="FW35" s="106">
        <f>IF(FW34&gt;0,-FW34*Assumptions!$E$47,0)</f>
        <v>0</v>
      </c>
      <c r="FX35" s="106">
        <f>IF(FX34&gt;0,-FX34*Assumptions!$E$47,0)</f>
        <v>0</v>
      </c>
      <c r="FY35" s="106">
        <f>IF(FY34&gt;0,-FY34*Assumptions!$E$47,0)</f>
        <v>0</v>
      </c>
      <c r="FZ35" s="106">
        <f>IF(FZ34&gt;0,-FZ34*Assumptions!$E$47,0)</f>
        <v>0</v>
      </c>
      <c r="GA35" s="106">
        <f>IF(GA34&gt;0,-GA34*Assumptions!$E$47,0)</f>
        <v>0</v>
      </c>
      <c r="GB35" s="106">
        <f>IF(GB34&gt;0,-GB34*Assumptions!$E$47,0)</f>
        <v>0</v>
      </c>
      <c r="GC35" s="106">
        <f>IF(GC34&gt;0,-GC34*Assumptions!$E$47,0)</f>
        <v>0</v>
      </c>
      <c r="GD35" s="106">
        <f>IF(GD34&gt;0,-GD34*Assumptions!$E$47,0)</f>
        <v>0</v>
      </c>
      <c r="GE35" s="106">
        <f>IF(GE34&gt;0,-GE34*Assumptions!$E$47,0)</f>
        <v>0</v>
      </c>
      <c r="GF35" s="106">
        <f>IF(GF34&gt;0,-GF34*Assumptions!$E$47,0)</f>
        <v>0</v>
      </c>
      <c r="GG35" s="106">
        <f>IF(GG34&gt;0,-GG34*Assumptions!$E$47,0)</f>
        <v>0</v>
      </c>
      <c r="GH35" s="106">
        <f>IF(GH34&gt;0,-GH34*Assumptions!$E$47,0)</f>
        <v>0</v>
      </c>
      <c r="GI35" s="106">
        <f>IF(GI34&gt;0,-GI34*Assumptions!$E$47,0)</f>
        <v>0</v>
      </c>
      <c r="GJ35" s="106">
        <f>IF(GJ34&gt;0,-GJ34*Assumptions!$E$47,0)</f>
        <v>0</v>
      </c>
      <c r="GK35" s="106">
        <f>IF(GK34&gt;0,-GK34*Assumptions!$E$47,0)</f>
        <v>0</v>
      </c>
      <c r="GL35" s="106">
        <f>IF(GL34&gt;0,-GL34*Assumptions!$E$47,0)</f>
        <v>0</v>
      </c>
      <c r="GM35" s="106">
        <f>IF(GM34&gt;0,-GM34*Assumptions!$E$47,0)</f>
        <v>0</v>
      </c>
      <c r="GN35" s="106">
        <f>IF(GN34&gt;0,-GN34*Assumptions!$E$47,0)</f>
        <v>0</v>
      </c>
      <c r="GO35" s="106">
        <f>IF(GO34&gt;0,-GO34*Assumptions!$E$47,0)</f>
        <v>0</v>
      </c>
      <c r="GP35" s="106">
        <f>IF(GP34&gt;0,-GP34*Assumptions!$E$47,0)</f>
        <v>0</v>
      </c>
      <c r="GQ35" s="106">
        <f>IF(GQ34&gt;0,-GQ34*Assumptions!$E$47,0)</f>
        <v>0</v>
      </c>
      <c r="GR35" s="106">
        <f>IF(GR34&gt;0,-GR34*Assumptions!$E$47,0)</f>
        <v>0</v>
      </c>
      <c r="GS35" s="106">
        <f>IF(GS34&gt;0,-GS34*Assumptions!$E$47,0)</f>
        <v>0</v>
      </c>
      <c r="GT35" s="106">
        <f>IF(GT34&gt;0,-GT34*Assumptions!$E$47,0)</f>
        <v>0</v>
      </c>
      <c r="GU35" s="106">
        <f>IF(GU34&gt;0,-GU34*Assumptions!$E$47,0)</f>
        <v>0</v>
      </c>
      <c r="GV35" s="106">
        <f>IF(GV34&gt;0,-GV34*Assumptions!$E$47,0)</f>
        <v>0</v>
      </c>
      <c r="GW35" s="106">
        <f>IF(GW34&gt;0,-GW34*Assumptions!$E$47,0)</f>
        <v>0</v>
      </c>
      <c r="GX35" s="106">
        <f>IF(GX34&gt;0,-GX34*Assumptions!$E$47,0)</f>
        <v>0</v>
      </c>
      <c r="GY35" s="106">
        <f>IF(GY34&gt;0,-GY34*Assumptions!$E$47,0)</f>
        <v>0</v>
      </c>
      <c r="GZ35" s="106">
        <f>IF(GZ34&gt;0,-GZ34*Assumptions!$E$47,0)</f>
        <v>0</v>
      </c>
      <c r="HA35" s="106">
        <f>IF(HA34&gt;0,-HA34*Assumptions!$E$47,0)</f>
        <v>0</v>
      </c>
      <c r="HB35" s="106">
        <f>IF(HB34&gt;0,-HB34*Assumptions!$E$47,0)</f>
        <v>0</v>
      </c>
      <c r="HC35" s="106">
        <f>IF(HC34&gt;0,-HC34*Assumptions!$E$47,0)</f>
        <v>0</v>
      </c>
      <c r="HD35" s="106">
        <f>IF(HD34&gt;0,-HD34*Assumptions!$E$47,0)</f>
        <v>0</v>
      </c>
      <c r="HE35" s="106">
        <f>IF(HE34&gt;0,-HE34*Assumptions!$E$47,0)</f>
        <v>0</v>
      </c>
      <c r="HF35" s="106">
        <f>IF(HF34&gt;0,-HF34*Assumptions!$E$47,0)</f>
        <v>0</v>
      </c>
      <c r="HG35" s="106">
        <f>IF(HG34&gt;0,-HG34*Assumptions!$E$47,0)</f>
        <v>0</v>
      </c>
      <c r="HH35" s="106">
        <f>IF(HH34&gt;0,-HH34*Assumptions!$E$47,0)</f>
        <v>0</v>
      </c>
      <c r="HI35" s="106">
        <f>IF(HI34&gt;0,-HI34*Assumptions!$E$47,0)</f>
        <v>0</v>
      </c>
      <c r="HJ35" s="106">
        <f>IF(HJ34&gt;0,-HJ34*Assumptions!$E$47,0)</f>
        <v>0</v>
      </c>
      <c r="HK35" s="106">
        <f>IF(HK34&gt;0,-HK34*Assumptions!$E$47,0)</f>
        <v>0</v>
      </c>
      <c r="HL35" s="106">
        <f>IF(HL34&gt;0,-HL34*Assumptions!$E$47,0)</f>
        <v>0</v>
      </c>
      <c r="HM35" s="106">
        <f>IF(HM34&gt;0,-HM34*Assumptions!$E$47,0)</f>
        <v>0</v>
      </c>
      <c r="HN35" s="106">
        <f>IF(HN34&gt;0,-HN34*Assumptions!$E$47,0)</f>
        <v>0</v>
      </c>
      <c r="HO35" s="106">
        <f>IF(HO34&gt;0,-HO34*Assumptions!$E$47,0)</f>
        <v>0</v>
      </c>
      <c r="HP35" s="106">
        <f>IF(HP34&gt;0,-HP34*Assumptions!$E$47,0)</f>
        <v>0</v>
      </c>
      <c r="HQ35" s="106">
        <f>IF(HQ34&gt;0,-HQ34*Assumptions!$E$47,0)</f>
        <v>0</v>
      </c>
      <c r="HR35" s="106">
        <f>IF(HR34&gt;0,-HR34*Assumptions!$E$47,0)</f>
        <v>0</v>
      </c>
      <c r="HS35" s="106">
        <f>IF(HS34&gt;0,-HS34*Assumptions!$E$47,0)</f>
        <v>0</v>
      </c>
      <c r="HT35" s="106">
        <f>IF(HT34&gt;0,-HT34*Assumptions!$E$47,0)</f>
        <v>0</v>
      </c>
      <c r="HU35" s="106">
        <f>IF(HU34&gt;0,-HU34*Assumptions!$E$47,0)</f>
        <v>0</v>
      </c>
      <c r="HV35" s="106">
        <f>IF(HV34&gt;0,-HV34*Assumptions!$E$47,0)</f>
        <v>0</v>
      </c>
      <c r="HW35" s="106">
        <f>IF(HW34&gt;0,-HW34*Assumptions!$E$47,0)</f>
        <v>0</v>
      </c>
      <c r="HX35" s="106">
        <f>IF(HX34&gt;0,-HX34*Assumptions!$E$47,0)</f>
        <v>0</v>
      </c>
      <c r="HY35" s="106">
        <f>IF(HY34&gt;0,-HY34*Assumptions!$E$47,0)</f>
        <v>0</v>
      </c>
      <c r="HZ35" s="106">
        <f>IF(HZ34&gt;0,-HZ34*Assumptions!$E$47,0)</f>
        <v>0</v>
      </c>
      <c r="IA35" s="106">
        <f>IF(IA34&gt;0,-IA34*Assumptions!$E$47,0)</f>
        <v>0</v>
      </c>
      <c r="IB35" s="106">
        <f>IF(IB34&gt;0,-IB34*Assumptions!$E$47,0)</f>
        <v>0</v>
      </c>
      <c r="IC35" s="106">
        <f>IF(IC34&gt;0,-IC34*Assumptions!$E$47,0)</f>
        <v>0</v>
      </c>
      <c r="ID35" s="106">
        <f>IF(ID34&gt;0,-ID34*Assumptions!$E$47,0)</f>
        <v>0</v>
      </c>
      <c r="IE35" s="106">
        <f>IF(IE34&gt;0,-IE34*Assumptions!$E$47,0)</f>
        <v>0</v>
      </c>
      <c r="IF35" s="106">
        <f>IF(IF34&gt;0,-IF34*Assumptions!$E$47,0)</f>
        <v>0</v>
      </c>
      <c r="IG35" s="106">
        <f>IF(IG34&gt;0,-IG34*Assumptions!$E$47,0)</f>
        <v>0</v>
      </c>
      <c r="IH35" s="106">
        <f>IF(IH34&gt;0,-IH34*Assumptions!$E$47,0)</f>
        <v>0</v>
      </c>
      <c r="II35" s="106">
        <f>IF(II34&gt;0,-II34*Assumptions!$E$47,0)</f>
        <v>0</v>
      </c>
      <c r="IJ35" s="106">
        <f>IF(IJ34&gt;0,-IJ34*Assumptions!$E$47,0)</f>
        <v>0</v>
      </c>
      <c r="IK35" s="106">
        <f>IF(IK34&gt;0,-IK34*Assumptions!$E$47,0)</f>
        <v>0</v>
      </c>
      <c r="IL35" s="106">
        <f>IF(IL34&gt;0,-IL34*Assumptions!$E$47,0)</f>
        <v>0</v>
      </c>
      <c r="IM35" s="106">
        <f>IF(IM34&gt;0,-IM34*Assumptions!$E$47,0)</f>
        <v>0</v>
      </c>
      <c r="IN35" s="106">
        <f>IF(IN34&gt;0,-IN34*Assumptions!$E$47,0)</f>
        <v>0</v>
      </c>
      <c r="IO35" s="106">
        <f>IF(IO34&gt;0,-IO34*Assumptions!$E$47,0)</f>
        <v>0</v>
      </c>
      <c r="IP35" s="106">
        <f>IF(IP34&gt;0,-IP34*Assumptions!$E$47,0)</f>
        <v>0</v>
      </c>
      <c r="IQ35" s="106">
        <f>IF(IQ34&gt;0,-IQ34*Assumptions!$E$47,0)</f>
        <v>0</v>
      </c>
      <c r="IR35" s="106">
        <f>IF(IR34&gt;0,-IR34*Assumptions!$E$47,0)</f>
        <v>0</v>
      </c>
      <c r="IS35" s="106">
        <f>IF(IS34&gt;0,-IS34*Assumptions!$E$47,0)</f>
        <v>0</v>
      </c>
      <c r="IT35" s="106">
        <f>IF(IT34&gt;0,-IT34*Assumptions!$E$47,0)</f>
        <v>0</v>
      </c>
      <c r="IU35" s="106">
        <f>IF(IU34&gt;0,-IU34*Assumptions!$E$47,0)</f>
        <v>0</v>
      </c>
      <c r="IV35" s="106">
        <f>IF(IV34&gt;0,-IV34*Assumptions!$E$47,0)</f>
        <v>0</v>
      </c>
      <c r="IW35" s="106">
        <f>IF(IW34&gt;0,-IW34*Assumptions!$E$47,0)</f>
        <v>0</v>
      </c>
      <c r="IX35" s="106">
        <f>IF(IX34&gt;0,-IX34*Assumptions!$E$47,0)</f>
        <v>0</v>
      </c>
      <c r="IY35" s="106">
        <f>IF(IY34&gt;0,-IY34*Assumptions!$E$47,0)</f>
        <v>0</v>
      </c>
      <c r="IZ35" s="106">
        <f>IF(IZ34&gt;0,-IZ34*Assumptions!$E$47,0)</f>
        <v>0</v>
      </c>
      <c r="JA35" s="106">
        <f>IF(JA34&gt;0,-JA34*Assumptions!$E$47,0)</f>
        <v>0</v>
      </c>
      <c r="JB35" s="106">
        <f>IF(JB34&gt;0,-JB34*Assumptions!$E$47,0)</f>
        <v>0</v>
      </c>
      <c r="JC35" s="106">
        <f>IF(JC34&gt;0,-JC34*Assumptions!$E$47,0)</f>
        <v>0</v>
      </c>
      <c r="JD35" s="106">
        <f>IF(JD34&gt;0,-JD34*Assumptions!$E$47,0)</f>
        <v>0</v>
      </c>
      <c r="JE35" s="106">
        <f>IF(JE34&gt;0,-JE34*Assumptions!$E$47,0)</f>
        <v>0</v>
      </c>
      <c r="JF35" s="106">
        <f>IF(JF34&gt;0,-JF34*Assumptions!$E$47,0)</f>
        <v>0</v>
      </c>
      <c r="JG35" s="106">
        <f>IF(JG34&gt;0,-JG34*Assumptions!$E$47,0)</f>
        <v>0</v>
      </c>
      <c r="JH35" s="106">
        <f>IF(JH34&gt;0,-JH34*Assumptions!$E$47,0)</f>
        <v>0</v>
      </c>
      <c r="JI35" s="106">
        <f>IF(JI34&gt;0,-JI34*Assumptions!$E$47,0)</f>
        <v>0</v>
      </c>
      <c r="JJ35" s="106">
        <f>IF(JJ34&gt;0,-JJ34*Assumptions!$E$47,0)</f>
        <v>0</v>
      </c>
      <c r="JK35" s="106">
        <f>IF(JK34&gt;0,-JK34*Assumptions!$E$47,0)</f>
        <v>0</v>
      </c>
      <c r="JL35" s="106">
        <f>IF(JL34&gt;0,-JL34*Assumptions!$E$47,0)</f>
        <v>0</v>
      </c>
      <c r="JM35" s="106">
        <f>IF(JM34&gt;0,-JM34*Assumptions!$E$47,0)</f>
        <v>0</v>
      </c>
      <c r="JN35" s="106">
        <f>IF(JN34&gt;0,-JN34*Assumptions!$E$47,0)</f>
        <v>0</v>
      </c>
      <c r="JO35" s="106">
        <f>IF(JO34&gt;0,-JO34*Assumptions!$E$47,0)</f>
        <v>0</v>
      </c>
      <c r="JP35" s="106">
        <f>IF(JP34&gt;0,-JP34*Assumptions!$E$47,0)</f>
        <v>0</v>
      </c>
      <c r="JQ35" s="106">
        <f>IF(JQ34&gt;0,-JQ34*Assumptions!$E$47,0)</f>
        <v>0</v>
      </c>
      <c r="JR35" s="106">
        <f>IF(JR34&gt;0,-JR34*Assumptions!$E$47,0)</f>
        <v>0</v>
      </c>
      <c r="JS35" s="106">
        <f>IF(JS34&gt;0,-JS34*Assumptions!$E$47,0)</f>
        <v>0</v>
      </c>
      <c r="JT35" s="106">
        <f>IF(JT34&gt;0,-JT34*Assumptions!$E$47,0)</f>
        <v>0</v>
      </c>
      <c r="JU35" s="106">
        <f>IF(JU34&gt;0,-JU34*Assumptions!$E$47,0)</f>
        <v>0</v>
      </c>
      <c r="JV35" s="106">
        <f>IF(JV34&gt;0,-JV34*Assumptions!$E$47,0)</f>
        <v>0</v>
      </c>
      <c r="JW35" s="106">
        <f>IF(JW34&gt;0,-JW34*Assumptions!$E$47,0)</f>
        <v>0</v>
      </c>
      <c r="JX35" s="106">
        <f>IF(JX34&gt;0,-JX34*Assumptions!$E$47,0)</f>
        <v>0</v>
      </c>
      <c r="JY35" s="106">
        <f>IF(JY34&gt;0,-JY34*Assumptions!$E$47,0)</f>
        <v>0</v>
      </c>
      <c r="JZ35" s="106">
        <f>IF(JZ34&gt;0,-JZ34*Assumptions!$E$47,0)</f>
        <v>0</v>
      </c>
      <c r="KA35" s="106">
        <f>IF(KA34&gt;0,-KA34*Assumptions!$E$47,0)</f>
        <v>0</v>
      </c>
      <c r="KB35" s="106">
        <f>IF(KB34&gt;0,-KB34*Assumptions!$E$47,0)</f>
        <v>0</v>
      </c>
      <c r="KC35" s="106">
        <f>IF(KC34&gt;0,-KC34*Assumptions!$E$47,0)</f>
        <v>0</v>
      </c>
      <c r="KD35" s="106">
        <f>IF(KD34&gt;0,-KD34*Assumptions!$E$47,0)</f>
        <v>0</v>
      </c>
      <c r="KE35" s="106">
        <f>IF(KE34&gt;0,-KE34*Assumptions!$E$47,0)</f>
        <v>0</v>
      </c>
      <c r="KF35" s="106">
        <f>IF(KF34&gt;0,-KF34*Assumptions!$E$47,0)</f>
        <v>0</v>
      </c>
      <c r="KG35" s="106">
        <f>IF(KG34&gt;0,-KG34*Assumptions!$E$47,0)</f>
        <v>0</v>
      </c>
      <c r="KH35" s="106">
        <f>IF(KH34&gt;0,-KH34*Assumptions!$E$47,0)</f>
        <v>0</v>
      </c>
      <c r="KI35" s="106">
        <f>IF(KI34&gt;0,-KI34*Assumptions!$E$47,0)</f>
        <v>0</v>
      </c>
      <c r="KJ35" s="106">
        <f>IF(KJ34&gt;0,-KJ34*Assumptions!$E$47,0)</f>
        <v>0</v>
      </c>
      <c r="KK35" s="106">
        <f>IF(KK34&gt;0,-KK34*Assumptions!$E$47,0)</f>
        <v>0</v>
      </c>
      <c r="KL35" s="106">
        <f>IF(KL34&gt;0,-KL34*Assumptions!$E$47,0)</f>
        <v>0</v>
      </c>
      <c r="KM35" s="106">
        <f>IF(KM34&gt;0,-KM34*Assumptions!$E$47,0)</f>
        <v>0</v>
      </c>
      <c r="KN35" s="106">
        <f>IF(KN34&gt;0,-KN34*Assumptions!$E$47,0)</f>
        <v>0</v>
      </c>
      <c r="KO35" s="106">
        <f>IF(KO34&gt;0,-KO34*Assumptions!$E$47,0)</f>
        <v>0</v>
      </c>
      <c r="KP35" s="106">
        <f>IF(KP34&gt;0,-KP34*Assumptions!$E$47,0)</f>
        <v>0</v>
      </c>
    </row>
    <row r="36" spans="1:302" ht="16" customHeight="1" x14ac:dyDescent="0.2">
      <c r="A36" s="115" t="s">
        <v>446</v>
      </c>
      <c r="B36" s="116" t="s">
        <v>215</v>
      </c>
      <c r="C36" s="117">
        <f t="shared" ref="C36:BN36" si="60">C34+C35</f>
        <v>129.79642454999995</v>
      </c>
      <c r="D36" s="117">
        <f t="shared" si="60"/>
        <v>129.79642454999995</v>
      </c>
      <c r="E36" s="117">
        <f t="shared" si="60"/>
        <v>129.79642454999995</v>
      </c>
      <c r="F36" s="117">
        <f t="shared" si="60"/>
        <v>129.79642454999995</v>
      </c>
      <c r="G36" s="117">
        <f t="shared" si="60"/>
        <v>129.79642454999995</v>
      </c>
      <c r="H36" s="117">
        <f t="shared" si="60"/>
        <v>129.79642454999995</v>
      </c>
      <c r="I36" s="117">
        <f t="shared" si="60"/>
        <v>129.79642454999995</v>
      </c>
      <c r="J36" s="117">
        <f t="shared" si="60"/>
        <v>129.79642454999995</v>
      </c>
      <c r="K36" s="117">
        <f t="shared" si="60"/>
        <v>129.79642454999995</v>
      </c>
      <c r="L36" s="117">
        <f t="shared" si="60"/>
        <v>129.79642454999995</v>
      </c>
      <c r="M36" s="117">
        <f t="shared" si="60"/>
        <v>129.79642454999995</v>
      </c>
      <c r="N36" s="117">
        <f t="shared" si="60"/>
        <v>129.79642454999995</v>
      </c>
      <c r="O36" s="117">
        <f t="shared" si="60"/>
        <v>128.47469242724998</v>
      </c>
      <c r="P36" s="117">
        <f t="shared" si="60"/>
        <v>128.47469242724998</v>
      </c>
      <c r="Q36" s="117">
        <f t="shared" si="60"/>
        <v>128.47469242724998</v>
      </c>
      <c r="R36" s="117">
        <f t="shared" si="60"/>
        <v>128.47469242724998</v>
      </c>
      <c r="S36" s="117">
        <f t="shared" si="60"/>
        <v>128.47469242724998</v>
      </c>
      <c r="T36" s="117">
        <f t="shared" si="60"/>
        <v>128.47469242724998</v>
      </c>
      <c r="U36" s="117">
        <f t="shared" si="60"/>
        <v>128.47469242724998</v>
      </c>
      <c r="V36" s="117">
        <f t="shared" si="60"/>
        <v>128.47469242724998</v>
      </c>
      <c r="W36" s="117">
        <f t="shared" si="60"/>
        <v>128.47469242724998</v>
      </c>
      <c r="X36" s="117">
        <f t="shared" si="60"/>
        <v>128.47469242724998</v>
      </c>
      <c r="Y36" s="117">
        <f t="shared" si="60"/>
        <v>128.47469242724998</v>
      </c>
      <c r="Z36" s="117">
        <f t="shared" si="60"/>
        <v>128.47469242724998</v>
      </c>
      <c r="AA36" s="117">
        <f t="shared" si="60"/>
        <v>127.14611396511374</v>
      </c>
      <c r="AB36" s="117">
        <f t="shared" si="60"/>
        <v>127.14611396511374</v>
      </c>
      <c r="AC36" s="117">
        <f t="shared" si="60"/>
        <v>127.14611396511374</v>
      </c>
      <c r="AD36" s="117">
        <f t="shared" si="60"/>
        <v>127.14611396511374</v>
      </c>
      <c r="AE36" s="117">
        <f t="shared" si="60"/>
        <v>127.14611396511374</v>
      </c>
      <c r="AF36" s="117">
        <f t="shared" si="60"/>
        <v>127.14611396511374</v>
      </c>
      <c r="AG36" s="117">
        <f t="shared" si="60"/>
        <v>127.14611396511374</v>
      </c>
      <c r="AH36" s="117">
        <f t="shared" si="60"/>
        <v>127.14611396511374</v>
      </c>
      <c r="AI36" s="117">
        <f t="shared" si="60"/>
        <v>127.14611396511374</v>
      </c>
      <c r="AJ36" s="117">
        <f t="shared" si="60"/>
        <v>127.14611396511374</v>
      </c>
      <c r="AK36" s="117">
        <f t="shared" si="60"/>
        <v>127.14611396511374</v>
      </c>
      <c r="AL36" s="117">
        <f t="shared" si="60"/>
        <v>127.14611396511374</v>
      </c>
      <c r="AM36" s="117">
        <f t="shared" si="60"/>
        <v>125.81045429528814</v>
      </c>
      <c r="AN36" s="117">
        <f t="shared" si="60"/>
        <v>125.81045429528814</v>
      </c>
      <c r="AO36" s="117">
        <f t="shared" si="60"/>
        <v>125.81045429528814</v>
      </c>
      <c r="AP36" s="117">
        <f t="shared" si="60"/>
        <v>125.81045429528814</v>
      </c>
      <c r="AQ36" s="117">
        <f t="shared" si="60"/>
        <v>125.81045429528814</v>
      </c>
      <c r="AR36" s="117">
        <f t="shared" si="60"/>
        <v>125.81045429528814</v>
      </c>
      <c r="AS36" s="117">
        <f t="shared" si="60"/>
        <v>125.81045429528814</v>
      </c>
      <c r="AT36" s="117">
        <f t="shared" si="60"/>
        <v>125.81045429528814</v>
      </c>
      <c r="AU36" s="117">
        <f t="shared" si="60"/>
        <v>125.81045429528814</v>
      </c>
      <c r="AV36" s="117">
        <f t="shared" si="60"/>
        <v>125.81045429528814</v>
      </c>
      <c r="AW36" s="117">
        <f t="shared" si="60"/>
        <v>125.81045429528814</v>
      </c>
      <c r="AX36" s="117">
        <f t="shared" si="60"/>
        <v>125.81045429528814</v>
      </c>
      <c r="AY36" s="117">
        <f t="shared" si="60"/>
        <v>124.46747434181172</v>
      </c>
      <c r="AZ36" s="117">
        <f t="shared" si="60"/>
        <v>124.46747434181172</v>
      </c>
      <c r="BA36" s="117">
        <f t="shared" si="60"/>
        <v>124.46747434181172</v>
      </c>
      <c r="BB36" s="117">
        <f t="shared" si="60"/>
        <v>124.46747434181172</v>
      </c>
      <c r="BC36" s="117">
        <f t="shared" si="60"/>
        <v>124.46747434181172</v>
      </c>
      <c r="BD36" s="117">
        <f t="shared" si="60"/>
        <v>124.46747434181172</v>
      </c>
      <c r="BE36" s="117">
        <f t="shared" si="60"/>
        <v>124.46747434181172</v>
      </c>
      <c r="BF36" s="117">
        <f t="shared" si="60"/>
        <v>124.46747434181172</v>
      </c>
      <c r="BG36" s="117">
        <f t="shared" si="60"/>
        <v>124.46747434181172</v>
      </c>
      <c r="BH36" s="117">
        <f t="shared" si="60"/>
        <v>124.46747434181172</v>
      </c>
      <c r="BI36" s="117">
        <f t="shared" si="60"/>
        <v>124.46747434181172</v>
      </c>
      <c r="BJ36" s="117">
        <f t="shared" si="60"/>
        <v>124.46747434181172</v>
      </c>
      <c r="BK36" s="117">
        <f t="shared" si="60"/>
        <v>123.11693073446266</v>
      </c>
      <c r="BL36" s="117">
        <f t="shared" si="60"/>
        <v>123.11693073446266</v>
      </c>
      <c r="BM36" s="117">
        <f t="shared" si="60"/>
        <v>123.11693073446266</v>
      </c>
      <c r="BN36" s="117">
        <f t="shared" si="60"/>
        <v>123.11693073446266</v>
      </c>
      <c r="BO36" s="117">
        <f t="shared" ref="BO36:DZ36" si="61">BO34+BO35</f>
        <v>123.11693073446266</v>
      </c>
      <c r="BP36" s="117">
        <f t="shared" si="61"/>
        <v>123.11693073446266</v>
      </c>
      <c r="BQ36" s="117">
        <f t="shared" si="61"/>
        <v>123.11693073446266</v>
      </c>
      <c r="BR36" s="117">
        <f t="shared" si="61"/>
        <v>123.11693073446266</v>
      </c>
      <c r="BS36" s="117">
        <f t="shared" si="61"/>
        <v>123.11693073446266</v>
      </c>
      <c r="BT36" s="117">
        <f t="shared" si="61"/>
        <v>123.11693073446266</v>
      </c>
      <c r="BU36" s="117">
        <f t="shared" si="61"/>
        <v>123.11693073446266</v>
      </c>
      <c r="BV36" s="117">
        <f t="shared" si="61"/>
        <v>123.11693073446266</v>
      </c>
      <c r="BW36" s="117">
        <f t="shared" si="61"/>
        <v>121.75857572043756</v>
      </c>
      <c r="BX36" s="117">
        <f t="shared" si="61"/>
        <v>121.75857572043756</v>
      </c>
      <c r="BY36" s="117">
        <f t="shared" si="61"/>
        <v>121.75857572043756</v>
      </c>
      <c r="BZ36" s="117">
        <f t="shared" si="61"/>
        <v>121.75857572043756</v>
      </c>
      <c r="CA36" s="117">
        <f t="shared" si="61"/>
        <v>121.75857572043756</v>
      </c>
      <c r="CB36" s="117">
        <f t="shared" si="61"/>
        <v>121.75857572043756</v>
      </c>
      <c r="CC36" s="117">
        <f t="shared" si="61"/>
        <v>121.75857572043756</v>
      </c>
      <c r="CD36" s="117">
        <f t="shared" si="61"/>
        <v>121.75857572043756</v>
      </c>
      <c r="CE36" s="117">
        <f t="shared" si="61"/>
        <v>121.75857572043756</v>
      </c>
      <c r="CF36" s="117">
        <f t="shared" si="61"/>
        <v>121.75857572043756</v>
      </c>
      <c r="CG36" s="117">
        <f t="shared" si="61"/>
        <v>121.75857572043756</v>
      </c>
      <c r="CH36" s="117">
        <f t="shared" si="61"/>
        <v>121.75857572043756</v>
      </c>
      <c r="CI36" s="117">
        <f t="shared" si="61"/>
        <v>120.39215707427549</v>
      </c>
      <c r="CJ36" s="117">
        <f t="shared" si="61"/>
        <v>120.39215707427549</v>
      </c>
      <c r="CK36" s="117">
        <f t="shared" si="61"/>
        <v>120.39215707427549</v>
      </c>
      <c r="CL36" s="117">
        <f t="shared" si="61"/>
        <v>120.39215707427549</v>
      </c>
      <c r="CM36" s="117">
        <f t="shared" si="61"/>
        <v>120.39215707427549</v>
      </c>
      <c r="CN36" s="117">
        <f t="shared" si="61"/>
        <v>120.39215707427549</v>
      </c>
      <c r="CO36" s="117">
        <f t="shared" si="61"/>
        <v>120.39215707427549</v>
      </c>
      <c r="CP36" s="117">
        <f t="shared" si="61"/>
        <v>120.39215707427549</v>
      </c>
      <c r="CQ36" s="117">
        <f t="shared" si="61"/>
        <v>120.39215707427549</v>
      </c>
      <c r="CR36" s="117">
        <f t="shared" si="61"/>
        <v>120.39215707427549</v>
      </c>
      <c r="CS36" s="117">
        <f t="shared" si="61"/>
        <v>120.39215707427549</v>
      </c>
      <c r="CT36" s="117">
        <f t="shared" si="61"/>
        <v>120.39215707427549</v>
      </c>
      <c r="CU36" s="117">
        <f t="shared" si="61"/>
        <v>119.01741800599305</v>
      </c>
      <c r="CV36" s="117">
        <f t="shared" si="61"/>
        <v>119.01741800599305</v>
      </c>
      <c r="CW36" s="117">
        <f t="shared" si="61"/>
        <v>119.01741800599305</v>
      </c>
      <c r="CX36" s="117">
        <f t="shared" si="61"/>
        <v>119.01741800599305</v>
      </c>
      <c r="CY36" s="117">
        <f t="shared" si="61"/>
        <v>119.01741800599305</v>
      </c>
      <c r="CZ36" s="117">
        <f t="shared" si="61"/>
        <v>119.01741800599305</v>
      </c>
      <c r="DA36" s="117">
        <f t="shared" si="61"/>
        <v>119.01741800599305</v>
      </c>
      <c r="DB36" s="117">
        <f t="shared" si="61"/>
        <v>119.01741800599305</v>
      </c>
      <c r="DC36" s="117">
        <f t="shared" si="61"/>
        <v>119.01741800599305</v>
      </c>
      <c r="DD36" s="117">
        <f t="shared" si="61"/>
        <v>119.01741800599305</v>
      </c>
      <c r="DE36" s="117">
        <f t="shared" si="61"/>
        <v>119.01741800599305</v>
      </c>
      <c r="DF36" s="117">
        <f t="shared" si="61"/>
        <v>119.01741800599305</v>
      </c>
      <c r="DG36" s="117">
        <f t="shared" si="61"/>
        <v>117.63409706739381</v>
      </c>
      <c r="DH36" s="117">
        <f t="shared" si="61"/>
        <v>117.63409706739381</v>
      </c>
      <c r="DI36" s="117">
        <f t="shared" si="61"/>
        <v>117.63409706739381</v>
      </c>
      <c r="DJ36" s="117">
        <f t="shared" si="61"/>
        <v>117.63409706739381</v>
      </c>
      <c r="DK36" s="117">
        <f t="shared" si="61"/>
        <v>117.63409706739381</v>
      </c>
      <c r="DL36" s="117">
        <f t="shared" si="61"/>
        <v>117.63409706739381</v>
      </c>
      <c r="DM36" s="117">
        <f t="shared" si="61"/>
        <v>117.63409706739381</v>
      </c>
      <c r="DN36" s="117">
        <f t="shared" si="61"/>
        <v>117.63409706739381</v>
      </c>
      <c r="DO36" s="117">
        <f t="shared" si="61"/>
        <v>117.63409706739381</v>
      </c>
      <c r="DP36" s="117">
        <f t="shared" si="61"/>
        <v>117.63409706739381</v>
      </c>
      <c r="DQ36" s="117">
        <f t="shared" si="61"/>
        <v>117.63409706739381</v>
      </c>
      <c r="DR36" s="117">
        <f t="shared" si="61"/>
        <v>117.63409706739381</v>
      </c>
      <c r="DS36" s="117">
        <f t="shared" si="61"/>
        <v>-42.055307489819121</v>
      </c>
      <c r="DT36" s="117">
        <f t="shared" si="61"/>
        <v>-42.055307489819121</v>
      </c>
      <c r="DU36" s="117">
        <f t="shared" si="61"/>
        <v>-42.055307489819121</v>
      </c>
      <c r="DV36" s="117">
        <f t="shared" si="61"/>
        <v>-42.055307489819121</v>
      </c>
      <c r="DW36" s="117">
        <f t="shared" si="61"/>
        <v>-42.055307489819121</v>
      </c>
      <c r="DX36" s="117">
        <f t="shared" si="61"/>
        <v>-42.055307489819121</v>
      </c>
      <c r="DY36" s="117">
        <f t="shared" si="61"/>
        <v>-42.055307489819121</v>
      </c>
      <c r="DZ36" s="117">
        <f t="shared" si="61"/>
        <v>-42.055307489819121</v>
      </c>
      <c r="EA36" s="117">
        <f t="shared" ref="EA36:GL36" si="62">EA34+EA35</f>
        <v>-42.055307489819121</v>
      </c>
      <c r="EB36" s="117">
        <f t="shared" si="62"/>
        <v>-42.055307489819121</v>
      </c>
      <c r="EC36" s="117">
        <f t="shared" si="62"/>
        <v>-42.055307489819121</v>
      </c>
      <c r="ED36" s="117">
        <f t="shared" si="62"/>
        <v>-42.055307489819121</v>
      </c>
      <c r="EE36" s="117">
        <f t="shared" si="62"/>
        <v>-42.896413639615496</v>
      </c>
      <c r="EF36" s="117">
        <f t="shared" si="62"/>
        <v>-42.896413639615496</v>
      </c>
      <c r="EG36" s="117">
        <f t="shared" si="62"/>
        <v>-42.896413639615496</v>
      </c>
      <c r="EH36" s="117">
        <f t="shared" si="62"/>
        <v>-42.896413639615496</v>
      </c>
      <c r="EI36" s="117">
        <f t="shared" si="62"/>
        <v>-42.896413639615496</v>
      </c>
      <c r="EJ36" s="117">
        <f t="shared" si="62"/>
        <v>-42.896413639615496</v>
      </c>
      <c r="EK36" s="117">
        <f t="shared" si="62"/>
        <v>-42.896413639615496</v>
      </c>
      <c r="EL36" s="117">
        <f t="shared" si="62"/>
        <v>-42.896413639615496</v>
      </c>
      <c r="EM36" s="117">
        <f t="shared" si="62"/>
        <v>-42.896413639615496</v>
      </c>
      <c r="EN36" s="117">
        <f t="shared" si="62"/>
        <v>-42.896413639615496</v>
      </c>
      <c r="EO36" s="117">
        <f t="shared" si="62"/>
        <v>-42.896413639615496</v>
      </c>
      <c r="EP36" s="117">
        <f t="shared" si="62"/>
        <v>-42.896413639615496</v>
      </c>
      <c r="EQ36" s="117">
        <f t="shared" si="62"/>
        <v>-43.754341912407817</v>
      </c>
      <c r="ER36" s="117">
        <f t="shared" si="62"/>
        <v>-43.754341912407817</v>
      </c>
      <c r="ES36" s="117">
        <f t="shared" si="62"/>
        <v>-43.754341912407817</v>
      </c>
      <c r="ET36" s="117">
        <f t="shared" si="62"/>
        <v>-43.754341912407817</v>
      </c>
      <c r="EU36" s="117">
        <f t="shared" si="62"/>
        <v>-43.754341912407817</v>
      </c>
      <c r="EV36" s="117">
        <f t="shared" si="62"/>
        <v>-43.754341912407817</v>
      </c>
      <c r="EW36" s="117">
        <f t="shared" si="62"/>
        <v>-43.754341912407817</v>
      </c>
      <c r="EX36" s="117">
        <f t="shared" si="62"/>
        <v>-43.754341912407817</v>
      </c>
      <c r="EY36" s="117">
        <f t="shared" si="62"/>
        <v>-43.754341912407817</v>
      </c>
      <c r="EZ36" s="117">
        <f t="shared" si="62"/>
        <v>-43.754341912407817</v>
      </c>
      <c r="FA36" s="117">
        <f t="shared" si="62"/>
        <v>-43.754341912407817</v>
      </c>
      <c r="FB36" s="117">
        <f t="shared" si="62"/>
        <v>-43.754341912407817</v>
      </c>
      <c r="FC36" s="117">
        <f t="shared" si="62"/>
        <v>-44.629428750655961</v>
      </c>
      <c r="FD36" s="117">
        <f t="shared" si="62"/>
        <v>-44.629428750655961</v>
      </c>
      <c r="FE36" s="117">
        <f t="shared" si="62"/>
        <v>-44.629428750655961</v>
      </c>
      <c r="FF36" s="117">
        <f t="shared" si="62"/>
        <v>-44.629428750655961</v>
      </c>
      <c r="FG36" s="117">
        <f t="shared" si="62"/>
        <v>-44.629428750655961</v>
      </c>
      <c r="FH36" s="117">
        <f t="shared" si="62"/>
        <v>-44.629428750655961</v>
      </c>
      <c r="FI36" s="117">
        <f t="shared" si="62"/>
        <v>-44.629428750655961</v>
      </c>
      <c r="FJ36" s="117">
        <f t="shared" si="62"/>
        <v>-44.629428750655961</v>
      </c>
      <c r="FK36" s="117">
        <f t="shared" si="62"/>
        <v>-44.629428750655961</v>
      </c>
      <c r="FL36" s="117">
        <f t="shared" si="62"/>
        <v>-44.629428750655961</v>
      </c>
      <c r="FM36" s="117">
        <f t="shared" si="62"/>
        <v>-44.629428750655961</v>
      </c>
      <c r="FN36" s="117">
        <f t="shared" si="62"/>
        <v>-44.629428750655961</v>
      </c>
      <c r="FO36" s="117">
        <f t="shared" si="62"/>
        <v>-45.52201732566909</v>
      </c>
      <c r="FP36" s="117">
        <f t="shared" si="62"/>
        <v>-45.52201732566909</v>
      </c>
      <c r="FQ36" s="117">
        <f t="shared" si="62"/>
        <v>-45.52201732566909</v>
      </c>
      <c r="FR36" s="117">
        <f t="shared" si="62"/>
        <v>-45.52201732566909</v>
      </c>
      <c r="FS36" s="117">
        <f t="shared" si="62"/>
        <v>-45.52201732566909</v>
      </c>
      <c r="FT36" s="117">
        <f t="shared" si="62"/>
        <v>-45.52201732566909</v>
      </c>
      <c r="FU36" s="117">
        <f t="shared" si="62"/>
        <v>-45.52201732566909</v>
      </c>
      <c r="FV36" s="117">
        <f t="shared" si="62"/>
        <v>-45.52201732566909</v>
      </c>
      <c r="FW36" s="117">
        <f t="shared" si="62"/>
        <v>-45.52201732566909</v>
      </c>
      <c r="FX36" s="117">
        <f t="shared" si="62"/>
        <v>-45.52201732566909</v>
      </c>
      <c r="FY36" s="117">
        <f t="shared" si="62"/>
        <v>-45.52201732566909</v>
      </c>
      <c r="FZ36" s="117">
        <f t="shared" si="62"/>
        <v>-45.52201732566909</v>
      </c>
      <c r="GA36" s="117">
        <f t="shared" si="62"/>
        <v>-46.432457672182458</v>
      </c>
      <c r="GB36" s="117">
        <f t="shared" si="62"/>
        <v>-46.432457672182458</v>
      </c>
      <c r="GC36" s="117">
        <f t="shared" si="62"/>
        <v>-46.432457672182458</v>
      </c>
      <c r="GD36" s="117">
        <f t="shared" si="62"/>
        <v>-46.432457672182458</v>
      </c>
      <c r="GE36" s="117">
        <f t="shared" si="62"/>
        <v>-46.432457672182458</v>
      </c>
      <c r="GF36" s="117">
        <f t="shared" si="62"/>
        <v>-46.432457672182458</v>
      </c>
      <c r="GG36" s="117">
        <f t="shared" si="62"/>
        <v>-46.432457672182458</v>
      </c>
      <c r="GH36" s="117">
        <f t="shared" si="62"/>
        <v>-46.432457672182458</v>
      </c>
      <c r="GI36" s="117">
        <f t="shared" si="62"/>
        <v>-46.432457672182458</v>
      </c>
      <c r="GJ36" s="117">
        <f t="shared" si="62"/>
        <v>-46.432457672182458</v>
      </c>
      <c r="GK36" s="117">
        <f t="shared" si="62"/>
        <v>-46.432457672182458</v>
      </c>
      <c r="GL36" s="117">
        <f t="shared" si="62"/>
        <v>-46.432457672182458</v>
      </c>
      <c r="GM36" s="117">
        <f t="shared" ref="GM36:IX36" si="63">GM34+GM35</f>
        <v>-47.361106825626116</v>
      </c>
      <c r="GN36" s="117">
        <f t="shared" si="63"/>
        <v>-47.361106825626116</v>
      </c>
      <c r="GO36" s="117">
        <f t="shared" si="63"/>
        <v>-47.361106825626116</v>
      </c>
      <c r="GP36" s="117">
        <f t="shared" si="63"/>
        <v>-47.361106825626116</v>
      </c>
      <c r="GQ36" s="117">
        <f t="shared" si="63"/>
        <v>-47.361106825626116</v>
      </c>
      <c r="GR36" s="117">
        <f t="shared" si="63"/>
        <v>-47.361106825626116</v>
      </c>
      <c r="GS36" s="117">
        <f t="shared" si="63"/>
        <v>-47.361106825626116</v>
      </c>
      <c r="GT36" s="117">
        <f t="shared" si="63"/>
        <v>-47.361106825626116</v>
      </c>
      <c r="GU36" s="117">
        <f t="shared" si="63"/>
        <v>-47.361106825626116</v>
      </c>
      <c r="GV36" s="117">
        <f t="shared" si="63"/>
        <v>-47.361106825626116</v>
      </c>
      <c r="GW36" s="117">
        <f t="shared" si="63"/>
        <v>-47.361106825626116</v>
      </c>
      <c r="GX36" s="117">
        <f t="shared" si="63"/>
        <v>-47.361106825626116</v>
      </c>
      <c r="GY36" s="117">
        <f t="shared" si="63"/>
        <v>-48.308328962138638</v>
      </c>
      <c r="GZ36" s="117">
        <f t="shared" si="63"/>
        <v>-48.308328962138638</v>
      </c>
      <c r="HA36" s="117">
        <f t="shared" si="63"/>
        <v>-48.308328962138638</v>
      </c>
      <c r="HB36" s="117">
        <f t="shared" si="63"/>
        <v>-48.308328962138638</v>
      </c>
      <c r="HC36" s="117">
        <f t="shared" si="63"/>
        <v>-48.308328962138638</v>
      </c>
      <c r="HD36" s="117">
        <f t="shared" si="63"/>
        <v>-48.308328962138638</v>
      </c>
      <c r="HE36" s="117">
        <f t="shared" si="63"/>
        <v>-48.308328962138638</v>
      </c>
      <c r="HF36" s="117">
        <f t="shared" si="63"/>
        <v>-48.308328962138638</v>
      </c>
      <c r="HG36" s="117">
        <f t="shared" si="63"/>
        <v>-48.308328962138638</v>
      </c>
      <c r="HH36" s="117">
        <f t="shared" si="63"/>
        <v>-48.308328962138638</v>
      </c>
      <c r="HI36" s="117">
        <f t="shared" si="63"/>
        <v>-48.308328962138638</v>
      </c>
      <c r="HJ36" s="117">
        <f t="shared" si="63"/>
        <v>-48.308328962138638</v>
      </c>
      <c r="HK36" s="117">
        <f t="shared" si="63"/>
        <v>-49.274495541381413</v>
      </c>
      <c r="HL36" s="117">
        <f t="shared" si="63"/>
        <v>-49.274495541381413</v>
      </c>
      <c r="HM36" s="117">
        <f t="shared" si="63"/>
        <v>-49.274495541381413</v>
      </c>
      <c r="HN36" s="117">
        <f t="shared" si="63"/>
        <v>-49.274495541381413</v>
      </c>
      <c r="HO36" s="117">
        <f t="shared" si="63"/>
        <v>-49.274495541381413</v>
      </c>
      <c r="HP36" s="117">
        <f t="shared" si="63"/>
        <v>-49.274495541381413</v>
      </c>
      <c r="HQ36" s="117">
        <f t="shared" si="63"/>
        <v>-49.274495541381413</v>
      </c>
      <c r="HR36" s="117">
        <f t="shared" si="63"/>
        <v>-49.274495541381413</v>
      </c>
      <c r="HS36" s="117">
        <f t="shared" si="63"/>
        <v>-49.274495541381413</v>
      </c>
      <c r="HT36" s="117">
        <f t="shared" si="63"/>
        <v>-49.274495541381413</v>
      </c>
      <c r="HU36" s="117">
        <f t="shared" si="63"/>
        <v>-49.274495541381413</v>
      </c>
      <c r="HV36" s="117">
        <f t="shared" si="63"/>
        <v>-49.274495541381413</v>
      </c>
      <c r="HW36" s="117">
        <f t="shared" si="63"/>
        <v>-50.259985452209037</v>
      </c>
      <c r="HX36" s="117">
        <f t="shared" si="63"/>
        <v>-50.259985452209037</v>
      </c>
      <c r="HY36" s="117">
        <f t="shared" si="63"/>
        <v>-50.259985452209037</v>
      </c>
      <c r="HZ36" s="117">
        <f t="shared" si="63"/>
        <v>-50.259985452209037</v>
      </c>
      <c r="IA36" s="117">
        <f t="shared" si="63"/>
        <v>-50.259985452209037</v>
      </c>
      <c r="IB36" s="117">
        <f t="shared" si="63"/>
        <v>-50.259985452209037</v>
      </c>
      <c r="IC36" s="117">
        <f t="shared" si="63"/>
        <v>-50.259985452209037</v>
      </c>
      <c r="ID36" s="117">
        <f t="shared" si="63"/>
        <v>-50.259985452209037</v>
      </c>
      <c r="IE36" s="117">
        <f t="shared" si="63"/>
        <v>-50.259985452209037</v>
      </c>
      <c r="IF36" s="117">
        <f t="shared" si="63"/>
        <v>-50.259985452209037</v>
      </c>
      <c r="IG36" s="117">
        <f t="shared" si="63"/>
        <v>-50.259985452209037</v>
      </c>
      <c r="IH36" s="117">
        <f t="shared" si="63"/>
        <v>-50.259985452209037</v>
      </c>
      <c r="II36" s="117">
        <f t="shared" si="63"/>
        <v>-51.265185161253221</v>
      </c>
      <c r="IJ36" s="117">
        <f t="shared" si="63"/>
        <v>-51.265185161253221</v>
      </c>
      <c r="IK36" s="117">
        <f t="shared" si="63"/>
        <v>-51.265185161253221</v>
      </c>
      <c r="IL36" s="117">
        <f t="shared" si="63"/>
        <v>-51.265185161253221</v>
      </c>
      <c r="IM36" s="117">
        <f t="shared" si="63"/>
        <v>-51.265185161253221</v>
      </c>
      <c r="IN36" s="117">
        <f t="shared" si="63"/>
        <v>-51.265185161253221</v>
      </c>
      <c r="IO36" s="117">
        <f t="shared" si="63"/>
        <v>-51.265185161253221</v>
      </c>
      <c r="IP36" s="117">
        <f t="shared" si="63"/>
        <v>-51.265185161253221</v>
      </c>
      <c r="IQ36" s="117">
        <f t="shared" si="63"/>
        <v>-51.265185161253221</v>
      </c>
      <c r="IR36" s="117">
        <f t="shared" si="63"/>
        <v>-51.265185161253221</v>
      </c>
      <c r="IS36" s="117">
        <f t="shared" si="63"/>
        <v>-51.265185161253221</v>
      </c>
      <c r="IT36" s="117">
        <f t="shared" si="63"/>
        <v>-51.265185161253221</v>
      </c>
      <c r="IU36" s="117">
        <f t="shared" si="63"/>
        <v>-52.290488864478277</v>
      </c>
      <c r="IV36" s="117">
        <f t="shared" si="63"/>
        <v>-52.290488864478277</v>
      </c>
      <c r="IW36" s="117">
        <f t="shared" si="63"/>
        <v>-52.290488864478277</v>
      </c>
      <c r="IX36" s="117">
        <f t="shared" si="63"/>
        <v>-52.290488864478277</v>
      </c>
      <c r="IY36" s="117">
        <f t="shared" ref="IY36:KP36" si="64">IY34+IY35</f>
        <v>-52.290488864478277</v>
      </c>
      <c r="IZ36" s="117">
        <f t="shared" si="64"/>
        <v>-52.290488864478277</v>
      </c>
      <c r="JA36" s="117">
        <f t="shared" si="64"/>
        <v>-52.290488864478277</v>
      </c>
      <c r="JB36" s="117">
        <f t="shared" si="64"/>
        <v>-52.290488864478277</v>
      </c>
      <c r="JC36" s="117">
        <f t="shared" si="64"/>
        <v>-52.290488864478277</v>
      </c>
      <c r="JD36" s="117">
        <f t="shared" si="64"/>
        <v>-52.290488864478277</v>
      </c>
      <c r="JE36" s="117">
        <f t="shared" si="64"/>
        <v>-52.290488864478277</v>
      </c>
      <c r="JF36" s="117">
        <f t="shared" si="64"/>
        <v>-52.290488864478277</v>
      </c>
      <c r="JG36" s="117">
        <f t="shared" si="64"/>
        <v>-53.336298641767854</v>
      </c>
      <c r="JH36" s="117">
        <f t="shared" si="64"/>
        <v>-53.336298641767854</v>
      </c>
      <c r="JI36" s="117">
        <f t="shared" si="64"/>
        <v>-53.336298641767854</v>
      </c>
      <c r="JJ36" s="117">
        <f t="shared" si="64"/>
        <v>-53.336298641767854</v>
      </c>
      <c r="JK36" s="117">
        <f t="shared" si="64"/>
        <v>-53.336298641767854</v>
      </c>
      <c r="JL36" s="117">
        <f t="shared" si="64"/>
        <v>-53.336298641767854</v>
      </c>
      <c r="JM36" s="117">
        <f t="shared" si="64"/>
        <v>-53.336298641767854</v>
      </c>
      <c r="JN36" s="117">
        <f t="shared" si="64"/>
        <v>-53.336298641767854</v>
      </c>
      <c r="JO36" s="117">
        <f t="shared" si="64"/>
        <v>-53.336298641767854</v>
      </c>
      <c r="JP36" s="117">
        <f t="shared" si="64"/>
        <v>-53.336298641767854</v>
      </c>
      <c r="JQ36" s="117">
        <f t="shared" si="64"/>
        <v>-53.336298641767854</v>
      </c>
      <c r="JR36" s="117">
        <f t="shared" si="64"/>
        <v>-53.336298641767854</v>
      </c>
      <c r="JS36" s="117">
        <f t="shared" si="64"/>
        <v>-54.403024614603197</v>
      </c>
      <c r="JT36" s="117">
        <f t="shared" si="64"/>
        <v>-54.403024614603197</v>
      </c>
      <c r="JU36" s="117">
        <f t="shared" si="64"/>
        <v>-54.403024614603197</v>
      </c>
      <c r="JV36" s="117">
        <f t="shared" si="64"/>
        <v>-54.403024614603197</v>
      </c>
      <c r="JW36" s="117">
        <f t="shared" si="64"/>
        <v>-54.403024614603197</v>
      </c>
      <c r="JX36" s="117">
        <f t="shared" si="64"/>
        <v>-54.403024614603197</v>
      </c>
      <c r="JY36" s="117">
        <f t="shared" si="64"/>
        <v>-54.403024614603197</v>
      </c>
      <c r="JZ36" s="117">
        <f t="shared" si="64"/>
        <v>-54.403024614603197</v>
      </c>
      <c r="KA36" s="117">
        <f t="shared" si="64"/>
        <v>-54.403024614603197</v>
      </c>
      <c r="KB36" s="117">
        <f t="shared" si="64"/>
        <v>-54.403024614603197</v>
      </c>
      <c r="KC36" s="117">
        <f t="shared" si="64"/>
        <v>-54.403024614603197</v>
      </c>
      <c r="KD36" s="117">
        <f t="shared" si="64"/>
        <v>-54.403024614603197</v>
      </c>
      <c r="KE36" s="117">
        <f t="shared" si="64"/>
        <v>-55.491085106895262</v>
      </c>
      <c r="KF36" s="117">
        <f t="shared" si="64"/>
        <v>-55.491085106895262</v>
      </c>
      <c r="KG36" s="117">
        <f t="shared" si="64"/>
        <v>-55.491085106895262</v>
      </c>
      <c r="KH36" s="117">
        <f t="shared" si="64"/>
        <v>-55.491085106895262</v>
      </c>
      <c r="KI36" s="117">
        <f t="shared" si="64"/>
        <v>-55.491085106895262</v>
      </c>
      <c r="KJ36" s="117">
        <f t="shared" si="64"/>
        <v>-55.491085106895262</v>
      </c>
      <c r="KK36" s="117">
        <f t="shared" si="64"/>
        <v>-55.491085106895262</v>
      </c>
      <c r="KL36" s="117">
        <f t="shared" si="64"/>
        <v>-55.491085106895262</v>
      </c>
      <c r="KM36" s="117">
        <f t="shared" si="64"/>
        <v>-55.491085106895262</v>
      </c>
      <c r="KN36" s="117">
        <f t="shared" si="64"/>
        <v>-55.491085106895262</v>
      </c>
      <c r="KO36" s="117">
        <f t="shared" si="64"/>
        <v>-55.491085106895262</v>
      </c>
      <c r="KP36" s="117">
        <f t="shared" si="64"/>
        <v>-55.491085106895262</v>
      </c>
    </row>
    <row r="37" spans="1:302" ht="16" customHeight="1" x14ac:dyDescent="0.2">
      <c r="A37" s="104" t="s">
        <v>447</v>
      </c>
      <c r="B37" s="105" t="s">
        <v>448</v>
      </c>
      <c r="C37" s="111">
        <f>1/(1+WACC!$E$34)^1</f>
        <v>0.99722652788012034</v>
      </c>
      <c r="D37" s="111">
        <f>1/(1+WACC!$E$34)^2</f>
        <v>0.99446074790784056</v>
      </c>
      <c r="E37" s="111">
        <f>1/(1+WACC!$E$34)^3</f>
        <v>0.99170263874920339</v>
      </c>
      <c r="F37" s="111">
        <f>1/(1+WACC!$E$34)^4</f>
        <v>0.98895217912942168</v>
      </c>
      <c r="G37" s="111">
        <f>1/(1+WACC!$E$34)^5</f>
        <v>0.98620934783271186</v>
      </c>
      <c r="H37" s="111">
        <f>1/(1+WACC!$E$34)^6</f>
        <v>0.98347412370213338</v>
      </c>
      <c r="I37" s="111">
        <f>1/(1+WACC!$E$34)^7</f>
        <v>0.98074648563942224</v>
      </c>
      <c r="J37" s="111">
        <f>1/(1+WACC!$E$34)^8</f>
        <v>0.9780264126048317</v>
      </c>
      <c r="K37" s="111">
        <f>1/(1+WACC!$E$34)^9</f>
        <v>0.97531388361696614</v>
      </c>
      <c r="L37" s="111">
        <f>1/(1+WACC!$E$34)^10</f>
        <v>0.97260887775262306</v>
      </c>
      <c r="M37" s="111">
        <f>1/(1+WACC!$E$34)^11</f>
        <v>0.96991137414662865</v>
      </c>
      <c r="N37" s="111">
        <f>1/(1+WACC!$E$34)^12</f>
        <v>0.96722135199167913</v>
      </c>
      <c r="O37" s="111">
        <f>1/(1+WACC!$E$34)^13</f>
        <v>0.96453879053817793</v>
      </c>
      <c r="P37" s="111">
        <f>1/(1+WACC!$E$34)^14</f>
        <v>0.96186366909407783</v>
      </c>
      <c r="Q37" s="111">
        <f>1/(1+WACC!$E$34)^15</f>
        <v>0.95919596702472021</v>
      </c>
      <c r="R37" s="111">
        <f>1/(1+WACC!$E$34)^16</f>
        <v>0.9565356637526764</v>
      </c>
      <c r="S37" s="111">
        <f>1/(1+WACC!$E$34)^17</f>
        <v>0.95388273875758767</v>
      </c>
      <c r="T37" s="111">
        <f>1/(1+WACC!$E$34)^18</f>
        <v>0.95123717157600929</v>
      </c>
      <c r="U37" s="111">
        <f>1/(1+WACC!$E$34)^19</f>
        <v>0.94859894180124993</v>
      </c>
      <c r="V37" s="111">
        <f>1/(1+WACC!$E$34)^20</f>
        <v>0.94596802908321709</v>
      </c>
      <c r="W37" s="111">
        <f>1/(1+WACC!$E$34)^21</f>
        <v>0.94334441312825712</v>
      </c>
      <c r="X37" s="111">
        <f>1/(1+WACC!$E$34)^22</f>
        <v>0.9407280736990018</v>
      </c>
      <c r="Y37" s="111">
        <f>1/(1+WACC!$E$34)^23</f>
        <v>0.93811899061420945</v>
      </c>
      <c r="Z37" s="111">
        <f>1/(1+WACC!$E$34)^24</f>
        <v>0.9355171437486115</v>
      </c>
      <c r="AA37" s="111">
        <f>1/(1+WACC!$E$34)^25</f>
        <v>0.9329225130327552</v>
      </c>
      <c r="AB37" s="111">
        <f>1/(1+WACC!$E$34)^26</f>
        <v>0.93033507845285091</v>
      </c>
      <c r="AC37" s="111">
        <f>1/(1+WACC!$E$34)^27</f>
        <v>0.92775482005061582</v>
      </c>
      <c r="AD37" s="111">
        <f>1/(1+WACC!$E$34)^28</f>
        <v>0.92518171792312176</v>
      </c>
      <c r="AE37" s="111">
        <f>1/(1+WACC!$E$34)^29</f>
        <v>0.9226157522226397</v>
      </c>
      <c r="AF37" s="111">
        <f>1/(1+WACC!$E$34)^30</f>
        <v>0.92005690315648847</v>
      </c>
      <c r="AG37" s="111">
        <f>1/(1+WACC!$E$34)^31</f>
        <v>0.91750515098688101</v>
      </c>
      <c r="AH37" s="111">
        <f>1/(1+WACC!$E$34)^32</f>
        <v>0.91496047603077324</v>
      </c>
      <c r="AI37" s="111">
        <f>1/(1+WACC!$E$34)^33</f>
        <v>0.91242285865971007</v>
      </c>
      <c r="AJ37" s="111">
        <f>1/(1+WACC!$E$34)^34</f>
        <v>0.90989227929967653</v>
      </c>
      <c r="AK37" s="111">
        <f>1/(1+WACC!$E$34)^35</f>
        <v>0.90736871843094502</v>
      </c>
      <c r="AL37" s="111">
        <f>1/(1+WACC!$E$34)^36</f>
        <v>0.90485215658792606</v>
      </c>
      <c r="AM37" s="111">
        <f>1/(1+WACC!$E$34)^37</f>
        <v>0.90234257435901644</v>
      </c>
      <c r="AN37" s="111">
        <f>1/(1+WACC!$E$34)^38</f>
        <v>0.89983995238645142</v>
      </c>
      <c r="AO37" s="111">
        <f>1/(1+WACC!$E$34)^39</f>
        <v>0.89734427136615369</v>
      </c>
      <c r="AP37" s="111">
        <f>1/(1+WACC!$E$34)^40</f>
        <v>0.89485551204758607</v>
      </c>
      <c r="AQ37" s="111">
        <f>1/(1+WACC!$E$34)^41</f>
        <v>0.89237365523360157</v>
      </c>
      <c r="AR37" s="111">
        <f>1/(1+WACC!$E$34)^42</f>
        <v>0.88989868178029607</v>
      </c>
      <c r="AS37" s="111">
        <f>1/(1+WACC!$E$34)^43</f>
        <v>0.88743057259686065</v>
      </c>
      <c r="AT37" s="111">
        <f>1/(1+WACC!$E$34)^44</f>
        <v>0.88496930864543477</v>
      </c>
      <c r="AU37" s="111">
        <f>1/(1+WACC!$E$34)^45</f>
        <v>0.88251487094095737</v>
      </c>
      <c r="AV37" s="111">
        <f>1/(1+WACC!$E$34)^46</f>
        <v>0.88006724055102359</v>
      </c>
      <c r="AW37" s="111">
        <f>1/(1+WACC!$E$34)^47</f>
        <v>0.87762639859573588</v>
      </c>
      <c r="AX37" s="111">
        <f>1/(1+WACC!$E$34)^48</f>
        <v>0.87519232624756038</v>
      </c>
      <c r="AY37" s="111">
        <f>1/(1+WACC!$E$34)^49</f>
        <v>0.87276500473118013</v>
      </c>
      <c r="AZ37" s="111">
        <f>1/(1+WACC!$E$34)^50</f>
        <v>0.87034441532335172</v>
      </c>
      <c r="BA37" s="111">
        <f>1/(1+WACC!$E$34)^51</f>
        <v>0.86793053935275943</v>
      </c>
      <c r="BB37" s="111">
        <f>1/(1+WACC!$E$34)^52</f>
        <v>0.86552335819987269</v>
      </c>
      <c r="BC37" s="111">
        <f>1/(1+WACC!$E$34)^53</f>
        <v>0.8631228532968005</v>
      </c>
      <c r="BD37" s="111">
        <f>1/(1+WACC!$E$34)^54</f>
        <v>0.86072900612715098</v>
      </c>
      <c r="BE37" s="111">
        <f>1/(1+WACC!$E$34)^55</f>
        <v>0.85834179822588541</v>
      </c>
      <c r="BF37" s="111">
        <f>1/(1+WACC!$E$34)^56</f>
        <v>0.855961211179179</v>
      </c>
      <c r="BG37" s="111">
        <f>1/(1+WACC!$E$34)^57</f>
        <v>0.853587226624275</v>
      </c>
      <c r="BH37" s="111">
        <f>1/(1+WACC!$E$34)^58</f>
        <v>0.85121982624934722</v>
      </c>
      <c r="BI37" s="111">
        <f>1/(1+WACC!$E$34)^59</f>
        <v>0.84885899179335578</v>
      </c>
      <c r="BJ37" s="111">
        <f>1/(1+WACC!$E$34)^60</f>
        <v>0.84650470504590802</v>
      </c>
      <c r="BK37" s="111">
        <f>1/(1+WACC!$E$34)^61</f>
        <v>0.84415694784711637</v>
      </c>
      <c r="BL37" s="111">
        <f>1/(1+WACC!$E$34)^62</f>
        <v>0.84181570208745959</v>
      </c>
      <c r="BM37" s="111">
        <f>1/(1+WACC!$E$34)^63</f>
        <v>0.83948094970764309</v>
      </c>
      <c r="BN37" s="111">
        <f>1/(1+WACC!$E$34)^64</f>
        <v>0.83715267269845905</v>
      </c>
      <c r="BO37" s="111">
        <f>1/(1+WACC!$E$34)^65</f>
        <v>0.8348308531006472</v>
      </c>
      <c r="BP37" s="111">
        <f>1/(1+WACC!$E$34)^66</f>
        <v>0.83251547300475714</v>
      </c>
      <c r="BQ37" s="111">
        <f>1/(1+WACC!$E$34)^67</f>
        <v>0.83020651455101002</v>
      </c>
      <c r="BR37" s="111">
        <f>1/(1+WACC!$E$34)^68</f>
        <v>0.82790395992916066</v>
      </c>
      <c r="BS37" s="111">
        <f>1/(1+WACC!$E$34)^69</f>
        <v>0.82560779137835894</v>
      </c>
      <c r="BT37" s="111">
        <f>1/(1+WACC!$E$34)^70</f>
        <v>0.82331799118701587</v>
      </c>
      <c r="BU37" s="111">
        <f>1/(1+WACC!$E$34)^71</f>
        <v>0.82103454169266321</v>
      </c>
      <c r="BV37" s="111">
        <f>1/(1+WACC!$E$34)^72</f>
        <v>0.81875742528182072</v>
      </c>
      <c r="BW37" s="111">
        <f>1/(1+WACC!$E$34)^73</f>
        <v>0.81648662438985709</v>
      </c>
      <c r="BX37" s="111">
        <f>1/(1+WACC!$E$34)^74</f>
        <v>0.81422212150085715</v>
      </c>
      <c r="BY37" s="111">
        <f>1/(1+WACC!$E$34)^75</f>
        <v>0.81196389914748524</v>
      </c>
      <c r="BZ37" s="111">
        <f>1/(1+WACC!$E$34)^76</f>
        <v>0.80971193991085122</v>
      </c>
      <c r="CA37" s="111">
        <f>1/(1+WACC!$E$34)^77</f>
        <v>0.8074662264203748</v>
      </c>
      <c r="CB37" s="111">
        <f>1/(1+WACC!$E$34)^78</f>
        <v>0.80522674135365346</v>
      </c>
      <c r="CC37" s="111">
        <f>1/(1+WACC!$E$34)^79</f>
        <v>0.80299346743632749</v>
      </c>
      <c r="CD37" s="111">
        <f>1/(1+WACC!$E$34)^80</f>
        <v>0.80076638744194761</v>
      </c>
      <c r="CE37" s="111">
        <f>1/(1+WACC!$E$34)^81</f>
        <v>0.79854548419184057</v>
      </c>
      <c r="CF37" s="111">
        <f>1/(1+WACC!$E$34)^82</f>
        <v>0.79633074055497888</v>
      </c>
      <c r="CG37" s="111">
        <f>1/(1+WACC!$E$34)^83</f>
        <v>0.79412213944784638</v>
      </c>
      <c r="CH37" s="111">
        <f>1/(1+WACC!$E$34)^84</f>
        <v>0.79191966383430878</v>
      </c>
      <c r="CI37" s="111">
        <f>1/(1+WACC!$E$34)^85</f>
        <v>0.78972329672547981</v>
      </c>
      <c r="CJ37" s="111">
        <f>1/(1+WACC!$E$34)^86</f>
        <v>0.78753302117959234</v>
      </c>
      <c r="CK37" s="111">
        <f>1/(1+WACC!$E$34)^87</f>
        <v>0.78534882030186615</v>
      </c>
      <c r="CL37" s="111">
        <f>1/(1+WACC!$E$34)^88</f>
        <v>0.78317067724437861</v>
      </c>
      <c r="CM37" s="111">
        <f>1/(1+WACC!$E$34)^89</f>
        <v>0.78099857520593396</v>
      </c>
      <c r="CN37" s="111">
        <f>1/(1+WACC!$E$34)^90</f>
        <v>0.77883249743193472</v>
      </c>
      <c r="CO37" s="111">
        <f>1/(1+WACC!$E$34)^91</f>
        <v>0.77667242721425089</v>
      </c>
      <c r="CP37" s="111">
        <f>1/(1+WACC!$E$34)^92</f>
        <v>0.77451834789109331</v>
      </c>
      <c r="CQ37" s="111">
        <f>1/(1+WACC!$E$34)^93</f>
        <v>0.77237024284688205</v>
      </c>
      <c r="CR37" s="111">
        <f>1/(1+WACC!$E$34)^94</f>
        <v>0.77022809551212157</v>
      </c>
      <c r="CS37" s="111">
        <f>1/(1+WACC!$E$34)^95</f>
        <v>0.76809188936327066</v>
      </c>
      <c r="CT37" s="111">
        <f>1/(1+WACC!$E$34)^96</f>
        <v>0.76596160792261614</v>
      </c>
      <c r="CU37" s="111">
        <f>1/(1+WACC!$E$34)^97</f>
        <v>0.76383723475814469</v>
      </c>
      <c r="CV37" s="111">
        <f>1/(1+WACC!$E$34)^98</f>
        <v>0.761718753483417</v>
      </c>
      <c r="CW37" s="111">
        <f>1/(1+WACC!$E$34)^99</f>
        <v>0.75960614775744117</v>
      </c>
      <c r="CX37" s="111">
        <f>1/(1+WACC!$E$34)^100</f>
        <v>0.75749940128454685</v>
      </c>
      <c r="CY37" s="111">
        <f>1/(1+WACC!$E$34)^101</f>
        <v>0.75539849781425861</v>
      </c>
      <c r="CZ37" s="111">
        <f>1/(1+WACC!$E$34)^102</f>
        <v>0.75330342114117199</v>
      </c>
      <c r="DA37" s="111">
        <f>1/(1+WACC!$E$34)^103</f>
        <v>0.75121415510482692</v>
      </c>
      <c r="DB37" s="111">
        <f>1/(1+WACC!$E$34)^104</f>
        <v>0.74913068358958479</v>
      </c>
      <c r="DC37" s="111">
        <f>1/(1+WACC!$E$34)^105</f>
        <v>0.7470529905245028</v>
      </c>
      <c r="DD37" s="111">
        <f>1/(1+WACC!$E$34)^106</f>
        <v>0.74498105988321039</v>
      </c>
      <c r="DE37" s="111">
        <f>1/(1+WACC!$E$34)^107</f>
        <v>0.74291487568378589</v>
      </c>
      <c r="DF37" s="111">
        <f>1/(1+WACC!$E$34)^108</f>
        <v>0.74085442198863316</v>
      </c>
      <c r="DG37" s="111">
        <f>1/(1+WACC!$E$34)^109</f>
        <v>0.73879968290435805</v>
      </c>
      <c r="DH37" s="111">
        <f>1/(1+WACC!$E$34)^110</f>
        <v>0.73675064258164702</v>
      </c>
      <c r="DI37" s="111">
        <f>1/(1+WACC!$E$34)^111</f>
        <v>0.7347072852151435</v>
      </c>
      <c r="DJ37" s="111">
        <f>1/(1+WACC!$E$34)^112</f>
        <v>0.73266959504332685</v>
      </c>
      <c r="DK37" s="111">
        <f>1/(1+WACC!$E$34)^113</f>
        <v>0.73063755634839067</v>
      </c>
      <c r="DL37" s="111">
        <f>1/(1+WACC!$E$34)^114</f>
        <v>0.7286111534561216</v>
      </c>
      <c r="DM37" s="111">
        <f>1/(1+WACC!$E$34)^115</f>
        <v>0.72659037073577759</v>
      </c>
      <c r="DN37" s="111">
        <f>1/(1+WACC!$E$34)^116</f>
        <v>0.72457519259996916</v>
      </c>
      <c r="DO37" s="111">
        <f>1/(1+WACC!$E$34)^117</f>
        <v>0.72256560350453647</v>
      </c>
      <c r="DP37" s="111">
        <f>1/(1+WACC!$E$34)^118</f>
        <v>0.72056158794843272</v>
      </c>
      <c r="DQ37" s="111">
        <f>1/(1+WACC!$E$34)^119</f>
        <v>0.71856313047360143</v>
      </c>
      <c r="DR37" s="111">
        <f>1/(1+WACC!$E$34)^120</f>
        <v>0.71657021566485979</v>
      </c>
      <c r="DS37" s="111">
        <f>(1/(1+WACC!$E$34)^120)*(1/(1+WACC!$E$35)^1)</f>
        <v>0.71397108772364792</v>
      </c>
      <c r="DT37" s="111">
        <f>(1/(1+WACC!$E$34)^120)*(1/(1+WACC!$E$35)^2)</f>
        <v>0.71138138728291977</v>
      </c>
      <c r="DU37" s="111">
        <f>(1/(1+WACC!$E$34)^120)*(1/(1+WACC!$E$35)^3)</f>
        <v>0.70880108014745002</v>
      </c>
      <c r="DV37" s="111">
        <f>(1/(1+WACC!$E$34)^120)*(1/(1+WACC!$E$35)^4)</f>
        <v>0.70623013224604581</v>
      </c>
      <c r="DW37" s="111">
        <f>(1/(1+WACC!$E$34)^120)*(1/(1+WACC!$E$35)^5)</f>
        <v>0.70366850963109628</v>
      </c>
      <c r="DX37" s="111">
        <f>(1/(1+WACC!$E$34)^120)*(1/(1+WACC!$E$35)^6)</f>
        <v>0.70111617847812446</v>
      </c>
      <c r="DY37" s="111">
        <f>(1/(1+WACC!$E$34)^120)*(1/(1+WACC!$E$35)^7)</f>
        <v>0.69857310508534132</v>
      </c>
      <c r="DZ37" s="111">
        <f>(1/(1+WACC!$E$34)^120)*(1/(1+WACC!$E$35)^8)</f>
        <v>0.69603925587319992</v>
      </c>
      <c r="EA37" s="111">
        <f>(1/(1+WACC!$E$34)^120)*(1/(1+WACC!$E$35)^9)</f>
        <v>0.69351459738395227</v>
      </c>
      <c r="EB37" s="111">
        <f>(1/(1+WACC!$E$34)^120)*(1/(1+WACC!$E$35)^10)</f>
        <v>0.69099909628120759</v>
      </c>
      <c r="EC37" s="111">
        <f>(1/(1+WACC!$E$34)^120)*(1/(1+WACC!$E$35)^11)</f>
        <v>0.68849271934949241</v>
      </c>
      <c r="ED37" s="111">
        <f>(1/(1+WACC!$E$34)^120)*(1/(1+WACC!$E$35)^12)</f>
        <v>0.68599543349381131</v>
      </c>
      <c r="EE37" s="111">
        <f>(1/(1+WACC!$E$34)^120)*(1/(1+WACC!$E$35)^13)</f>
        <v>0.68350720573921064</v>
      </c>
      <c r="EF37" s="111">
        <f>(1/(1+WACC!$E$34)^120)*(1/(1+WACC!$E$35)^14)</f>
        <v>0.68102800323034263</v>
      </c>
      <c r="EG37" s="111">
        <f>(1/(1+WACC!$E$34)^120)*(1/(1+WACC!$E$35)^15)</f>
        <v>0.67855779323103171</v>
      </c>
      <c r="EH37" s="111">
        <f>(1/(1+WACC!$E$34)^120)*(1/(1+WACC!$E$35)^16)</f>
        <v>0.67609654312384238</v>
      </c>
      <c r="EI37" s="111">
        <f>(1/(1+WACC!$E$34)^120)*(1/(1+WACC!$E$35)^17)</f>
        <v>0.67364422040964822</v>
      </c>
      <c r="EJ37" s="111">
        <f>(1/(1+WACC!$E$34)^120)*(1/(1+WACC!$E$35)^18)</f>
        <v>0.67120079270720312</v>
      </c>
      <c r="EK37" s="111">
        <f>(1/(1+WACC!$E$34)^120)*(1/(1+WACC!$E$35)^19)</f>
        <v>0.66876622775271333</v>
      </c>
      <c r="EL37" s="111">
        <f>(1/(1+WACC!$E$34)^120)*(1/(1+WACC!$E$35)^20)</f>
        <v>0.66634049339941182</v>
      </c>
      <c r="EM37" s="111">
        <f>(1/(1+WACC!$E$34)^120)*(1/(1+WACC!$E$35)^21)</f>
        <v>0.66392355761713362</v>
      </c>
      <c r="EN37" s="111">
        <f>(1/(1+WACC!$E$34)^120)*(1/(1+WACC!$E$35)^22)</f>
        <v>0.6615153884918924</v>
      </c>
      <c r="EO37" s="111">
        <f>(1/(1+WACC!$E$34)^120)*(1/(1+WACC!$E$35)^23)</f>
        <v>0.65911595422546032</v>
      </c>
      <c r="EP37" s="111">
        <f>(1/(1+WACC!$E$34)^120)*(1/(1+WACC!$E$35)^24)</f>
        <v>0.65672522313494708</v>
      </c>
      <c r="EQ37" s="111">
        <f>(1/(1+WACC!$E$34)^120)*(1/(1+WACC!$E$35)^25)</f>
        <v>0.65434316365238121</v>
      </c>
      <c r="ER37" s="111">
        <f>(1/(1+WACC!$E$34)^120)*(1/(1+WACC!$E$35)^26)</f>
        <v>0.65196974432429511</v>
      </c>
      <c r="ES37" s="111">
        <f>(1/(1+WACC!$E$34)^120)*(1/(1+WACC!$E$35)^27)</f>
        <v>0.64960493381130757</v>
      </c>
      <c r="ET37" s="111">
        <f>(1/(1+WACC!$E$34)^120)*(1/(1+WACC!$E$35)^28)</f>
        <v>0.64724870088771125</v>
      </c>
      <c r="EU37" s="111">
        <f>(1/(1+WACC!$E$34)^120)*(1/(1+WACC!$E$35)^29)</f>
        <v>0.64490101444106007</v>
      </c>
      <c r="EV37" s="111">
        <f>(1/(1+WACC!$E$34)^120)*(1/(1+WACC!$E$35)^30)</f>
        <v>0.64256184347175815</v>
      </c>
      <c r="EW37" s="111">
        <f>(1/(1+WACC!$E$34)^120)*(1/(1+WACC!$E$35)^31)</f>
        <v>0.64023115709265099</v>
      </c>
      <c r="EX37" s="111">
        <f>(1/(1+WACC!$E$34)^120)*(1/(1+WACC!$E$35)^32)</f>
        <v>0.63790892452861681</v>
      </c>
      <c r="EY37" s="111">
        <f>(1/(1+WACC!$E$34)^120)*(1/(1+WACC!$E$35)^33)</f>
        <v>0.63559511511616107</v>
      </c>
      <c r="EZ37" s="111">
        <f>(1/(1+WACC!$E$34)^120)*(1/(1+WACC!$E$35)^34)</f>
        <v>0.63328969830301118</v>
      </c>
      <c r="FA37" s="111">
        <f>(1/(1+WACC!$E$34)^120)*(1/(1+WACC!$E$35)^35)</f>
        <v>0.63099264364771313</v>
      </c>
      <c r="FB37" s="111">
        <f>(1/(1+WACC!$E$34)^120)*(1/(1+WACC!$E$35)^36)</f>
        <v>0.62870392081922899</v>
      </c>
      <c r="FC37" s="111">
        <f>(1/(1+WACC!$E$34)^120)*(1/(1+WACC!$E$35)^37)</f>
        <v>0.62642349959653776</v>
      </c>
      <c r="FD37" s="111">
        <f>(1/(1+WACC!$E$34)^120)*(1/(1+WACC!$E$35)^38)</f>
        <v>0.6241513498682344</v>
      </c>
      <c r="FE37" s="111">
        <f>(1/(1+WACC!$E$34)^120)*(1/(1+WACC!$E$35)^39)</f>
        <v>0.62188744163213439</v>
      </c>
      <c r="FF37" s="111">
        <f>(1/(1+WACC!$E$34)^120)*(1/(1+WACC!$E$35)^40)</f>
        <v>0.61963174499487605</v>
      </c>
      <c r="FG37" s="111">
        <f>(1/(1+WACC!$E$34)^120)*(1/(1+WACC!$E$35)^41)</f>
        <v>0.61738423017152577</v>
      </c>
      <c r="FH37" s="111">
        <f>(1/(1+WACC!$E$34)^120)*(1/(1+WACC!$E$35)^42)</f>
        <v>0.61514486748518593</v>
      </c>
      <c r="FI37" s="111">
        <f>(1/(1+WACC!$E$34)^120)*(1/(1+WACC!$E$35)^43)</f>
        <v>0.61291362736660193</v>
      </c>
      <c r="FJ37" s="111">
        <f>(1/(1+WACC!$E$34)^120)*(1/(1+WACC!$E$35)^44)</f>
        <v>0.61069048035377238</v>
      </c>
      <c r="FK37" s="111">
        <f>(1/(1+WACC!$E$34)^120)*(1/(1+WACC!$E$35)^45)</f>
        <v>0.6084753970915594</v>
      </c>
      <c r="FL37" s="111">
        <f>(1/(1+WACC!$E$34)^120)*(1/(1+WACC!$E$35)^46)</f>
        <v>0.60626834833130172</v>
      </c>
      <c r="FM37" s="111">
        <f>(1/(1+WACC!$E$34)^120)*(1/(1+WACC!$E$35)^47)</f>
        <v>0.60406930493042821</v>
      </c>
      <c r="FN37" s="111">
        <f>(1/(1+WACC!$E$34)^120)*(1/(1+WACC!$E$35)^48)</f>
        <v>0.60187823785207328</v>
      </c>
      <c r="FO37" s="111">
        <f>(1/(1+WACC!$E$34)^120)*(1/(1+WACC!$E$35)^49)</f>
        <v>0.59969511816469234</v>
      </c>
      <c r="FP37" s="111">
        <f>(1/(1+WACC!$E$34)^120)*(1/(1+WACC!$E$35)^50)</f>
        <v>0.59751991704168173</v>
      </c>
      <c r="FQ37" s="111">
        <f>(1/(1+WACC!$E$34)^120)*(1/(1+WACC!$E$35)^51)</f>
        <v>0.59535260576099636</v>
      </c>
      <c r="FR37" s="111">
        <f>(1/(1+WACC!$E$34)^120)*(1/(1+WACC!$E$35)^52)</f>
        <v>0.59319315570477127</v>
      </c>
      <c r="FS37" s="111">
        <f>(1/(1+WACC!$E$34)^120)*(1/(1+WACC!$E$35)^53)</f>
        <v>0.5910415383589438</v>
      </c>
      <c r="FT37" s="111">
        <f>(1/(1+WACC!$E$34)^120)*(1/(1+WACC!$E$35)^54)</f>
        <v>0.58889772531287643</v>
      </c>
      <c r="FU37" s="111">
        <f>(1/(1+WACC!$E$34)^120)*(1/(1+WACC!$E$35)^55)</f>
        <v>0.58676168825898267</v>
      </c>
      <c r="FV37" s="111">
        <f>(1/(1+WACC!$E$34)^120)*(1/(1+WACC!$E$35)^56)</f>
        <v>0.58463339899235234</v>
      </c>
      <c r="FW37" s="111">
        <f>(1/(1+WACC!$E$34)^120)*(1/(1+WACC!$E$35)^57)</f>
        <v>0.5825128294103793</v>
      </c>
      <c r="FX37" s="111">
        <f>(1/(1+WACC!$E$34)^120)*(1/(1+WACC!$E$35)^58)</f>
        <v>0.58039995151239121</v>
      </c>
      <c r="FY37" s="111">
        <f>(1/(1+WACC!$E$34)^120)*(1/(1+WACC!$E$35)^59)</f>
        <v>0.57829473739927861</v>
      </c>
      <c r="FZ37" s="111">
        <f>(1/(1+WACC!$E$34)^120)*(1/(1+WACC!$E$35)^60)</f>
        <v>0.5761971592731272</v>
      </c>
      <c r="GA37" s="111">
        <f>(1/(1+WACC!$E$34)^120)*(1/(1+WACC!$E$35)^61)</f>
        <v>0.57410718943685068</v>
      </c>
      <c r="GB37" s="111">
        <f>(1/(1+WACC!$E$34)^120)*(1/(1+WACC!$E$35)^62)</f>
        <v>0.57202480029382508</v>
      </c>
      <c r="GC37" s="111">
        <f>(1/(1+WACC!$E$34)^120)*(1/(1+WACC!$E$35)^63)</f>
        <v>0.56994996434752476</v>
      </c>
      <c r="GD37" s="111">
        <f>(1/(1+WACC!$E$34)^120)*(1/(1+WACC!$E$35)^64)</f>
        <v>0.56788265420115758</v>
      </c>
      <c r="GE37" s="111">
        <f>(1/(1+WACC!$E$34)^120)*(1/(1+WACC!$E$35)^65)</f>
        <v>0.56582284255730597</v>
      </c>
      <c r="GF37" s="111">
        <f>(1/(1+WACC!$E$34)^120)*(1/(1+WACC!$E$35)^66)</f>
        <v>0.56377050221756397</v>
      </c>
      <c r="GG37" s="111">
        <f>(1/(1+WACC!$E$34)^120)*(1/(1+WACC!$E$35)^67)</f>
        <v>0.56172560608217947</v>
      </c>
      <c r="GH37" s="111">
        <f>(1/(1+WACC!$E$34)^120)*(1/(1+WACC!$E$35)^68)</f>
        <v>0.55968812714969596</v>
      </c>
      <c r="GI37" s="111">
        <f>(1/(1+WACC!$E$34)^120)*(1/(1+WACC!$E$35)^69)</f>
        <v>0.5576580385165959</v>
      </c>
      <c r="GJ37" s="111">
        <f>(1/(1+WACC!$E$34)^120)*(1/(1+WACC!$E$35)^70)</f>
        <v>0.55563531337694549</v>
      </c>
      <c r="GK37" s="111">
        <f>(1/(1+WACC!$E$34)^120)*(1/(1+WACC!$E$35)^71)</f>
        <v>0.5536199250220416</v>
      </c>
      <c r="GL37" s="111">
        <f>(1/(1+WACC!$E$34)^120)*(1/(1+WACC!$E$35)^72)</f>
        <v>0.55161184684005737</v>
      </c>
      <c r="GM37" s="111">
        <f>(1/(1+WACC!$E$34)^120)*(1/(1+WACC!$E$35)^73)</f>
        <v>0.54961105231569207</v>
      </c>
      <c r="GN37" s="111">
        <f>(1/(1+WACC!$E$34)^120)*(1/(1+WACC!$E$35)^74)</f>
        <v>0.54761751502982092</v>
      </c>
      <c r="GO37" s="111">
        <f>(1/(1+WACC!$E$34)^120)*(1/(1+WACC!$E$35)^75)</f>
        <v>0.54563120865914616</v>
      </c>
      <c r="GP37" s="111">
        <f>(1/(1+WACC!$E$34)^120)*(1/(1+WACC!$E$35)^76)</f>
        <v>0.54365210697584876</v>
      </c>
      <c r="GQ37" s="111">
        <f>(1/(1+WACC!$E$34)^120)*(1/(1+WACC!$E$35)^77)</f>
        <v>0.54168018384724281</v>
      </c>
      <c r="GR37" s="111">
        <f>(1/(1+WACC!$E$34)^120)*(1/(1+WACC!$E$35)^78)</f>
        <v>0.53971541323543071</v>
      </c>
      <c r="GS37" s="111">
        <f>(1/(1+WACC!$E$34)^120)*(1/(1+WACC!$E$35)^79)</f>
        <v>0.53775776919695872</v>
      </c>
      <c r="GT37" s="111">
        <f>(1/(1+WACC!$E$34)^120)*(1/(1+WACC!$E$35)^80)</f>
        <v>0.53580722588247465</v>
      </c>
      <c r="GU37" s="111">
        <f>(1/(1+WACC!$E$34)^120)*(1/(1+WACC!$E$35)^81)</f>
        <v>0.53386375753638626</v>
      </c>
      <c r="GV37" s="111">
        <f>(1/(1+WACC!$E$34)^120)*(1/(1+WACC!$E$35)^82)</f>
        <v>0.53192733849652185</v>
      </c>
      <c r="GW37" s="111">
        <f>(1/(1+WACC!$E$34)^120)*(1/(1+WACC!$E$35)^83)</f>
        <v>0.52999794319379079</v>
      </c>
      <c r="GX37" s="111">
        <f>(1/(1+WACC!$E$34)^120)*(1/(1+WACC!$E$35)^84)</f>
        <v>0.52807554615184604</v>
      </c>
      <c r="GY37" s="111">
        <f>(1/(1+WACC!$E$34)^120)*(1/(1+WACC!$E$35)^85)</f>
        <v>0.52616012198674811</v>
      </c>
      <c r="GZ37" s="111">
        <f>(1/(1+WACC!$E$34)^120)*(1/(1+WACC!$E$35)^86)</f>
        <v>0.52425164540662905</v>
      </c>
      <c r="HA37" s="111">
        <f>(1/(1+WACC!$E$34)^120)*(1/(1+WACC!$E$35)^87)</f>
        <v>0.52235009121135967</v>
      </c>
      <c r="HB37" s="111">
        <f>(1/(1+WACC!$E$34)^120)*(1/(1+WACC!$E$35)^88)</f>
        <v>0.52045543429221564</v>
      </c>
      <c r="HC37" s="111">
        <f>(1/(1+WACC!$E$34)^120)*(1/(1+WACC!$E$35)^89)</f>
        <v>0.51856764963154645</v>
      </c>
      <c r="HD37" s="111">
        <f>(1/(1+WACC!$E$34)^120)*(1/(1+WACC!$E$35)^90)</f>
        <v>0.51668671230244567</v>
      </c>
      <c r="HE37" s="111">
        <f>(1/(1+WACC!$E$34)^120)*(1/(1+WACC!$E$35)^91)</f>
        <v>0.51481259746842045</v>
      </c>
      <c r="HF37" s="111">
        <f>(1/(1+WACC!$E$34)^120)*(1/(1+WACC!$E$35)^92)</f>
        <v>0.51294528038306475</v>
      </c>
      <c r="HG37" s="111">
        <f>(1/(1+WACC!$E$34)^120)*(1/(1+WACC!$E$35)^93)</f>
        <v>0.51108473638973206</v>
      </c>
      <c r="HH37" s="111">
        <f>(1/(1+WACC!$E$34)^120)*(1/(1+WACC!$E$35)^94)</f>
        <v>0.5092309409212098</v>
      </c>
      <c r="HI37" s="111">
        <f>(1/(1+WACC!$E$34)^120)*(1/(1+WACC!$E$35)^95)</f>
        <v>0.50738386949939562</v>
      </c>
      <c r="HJ37" s="111">
        <f>(1/(1+WACC!$E$34)^120)*(1/(1+WACC!$E$35)^96)</f>
        <v>0.50554349773497254</v>
      </c>
      <c r="HK37" s="111">
        <f>(1/(1+WACC!$E$34)^120)*(1/(1+WACC!$E$35)^97)</f>
        <v>0.50370980132708909</v>
      </c>
      <c r="HL37" s="111">
        <f>(1/(1+WACC!$E$34)^120)*(1/(1+WACC!$E$35)^98)</f>
        <v>0.50188275606303667</v>
      </c>
      <c r="HM37" s="111">
        <f>(1/(1+WACC!$E$34)^120)*(1/(1+WACC!$E$35)^99)</f>
        <v>0.50006233781793075</v>
      </c>
      <c r="HN37" s="111">
        <f>(1/(1+WACC!$E$34)^120)*(1/(1+WACC!$E$35)^100)</f>
        <v>0.49824852255439167</v>
      </c>
      <c r="HO37" s="111">
        <f>(1/(1+WACC!$E$34)^120)*(1/(1+WACC!$E$35)^101)</f>
        <v>0.49644128632222845</v>
      </c>
      <c r="HP37" s="111">
        <f>(1/(1+WACC!$E$34)^120)*(1/(1+WACC!$E$35)^102)</f>
        <v>0.49464060525812065</v>
      </c>
      <c r="HQ37" s="111">
        <f>(1/(1+WACC!$E$34)^120)*(1/(1+WACC!$E$35)^103)</f>
        <v>0.49284645558530538</v>
      </c>
      <c r="HR37" s="111">
        <f>(1/(1+WACC!$E$34)^120)*(1/(1+WACC!$E$35)^104)</f>
        <v>0.49105881361326165</v>
      </c>
      <c r="HS37" s="111">
        <f>(1/(1+WACC!$E$34)^120)*(1/(1+WACC!$E$35)^105)</f>
        <v>0.48927765573739823</v>
      </c>
      <c r="HT37" s="111">
        <f>(1/(1+WACC!$E$34)^120)*(1/(1+WACC!$E$35)^106)</f>
        <v>0.48750295843874225</v>
      </c>
      <c r="HU37" s="111">
        <f>(1/(1+WACC!$E$34)^120)*(1/(1+WACC!$E$35)^107)</f>
        <v>0.48573469828362842</v>
      </c>
      <c r="HV37" s="111">
        <f>(1/(1+WACC!$E$34)^120)*(1/(1+WACC!$E$35)^108)</f>
        <v>0.48397285192338907</v>
      </c>
      <c r="HW37" s="111">
        <f>(1/(1+WACC!$E$34)^120)*(1/(1+WACC!$E$35)^109)</f>
        <v>0.48221739609404668</v>
      </c>
      <c r="HX37" s="111">
        <f>(1/(1+WACC!$E$34)^120)*(1/(1+WACC!$E$35)^110)</f>
        <v>0.48046830761600601</v>
      </c>
      <c r="HY37" s="111">
        <f>(1/(1+WACC!$E$34)^120)*(1/(1+WACC!$E$35)^111)</f>
        <v>0.47872556339374872</v>
      </c>
      <c r="HZ37" s="111">
        <f>(1/(1+WACC!$E$34)^120)*(1/(1+WACC!$E$35)^112)</f>
        <v>0.47698914041552809</v>
      </c>
      <c r="IA37" s="111">
        <f>(1/(1+WACC!$E$34)^120)*(1/(1+WACC!$E$35)^113)</f>
        <v>0.4752590157530644</v>
      </c>
      <c r="IB37" s="111">
        <f>(1/(1+WACC!$E$34)^120)*(1/(1+WACC!$E$35)^114)</f>
        <v>0.47353516656124373</v>
      </c>
      <c r="IC37" s="111">
        <f>(1/(1+WACC!$E$34)^120)*(1/(1+WACC!$E$35)^115)</f>
        <v>0.471817570077815</v>
      </c>
      <c r="ID37" s="111">
        <f>(1/(1+WACC!$E$34)^120)*(1/(1+WACC!$E$35)^116)</f>
        <v>0.47010620362308997</v>
      </c>
      <c r="IE37" s="111">
        <f>(1/(1+WACC!$E$34)^120)*(1/(1+WACC!$E$35)^117)</f>
        <v>0.46840104459964366</v>
      </c>
      <c r="IF37" s="111">
        <f>(1/(1+WACC!$E$34)^120)*(1/(1+WACC!$E$35)^118)</f>
        <v>0.46670207049201606</v>
      </c>
      <c r="IG37" s="111">
        <f>(1/(1+WACC!$E$34)^120)*(1/(1+WACC!$E$35)^119)</f>
        <v>0.46500925886641453</v>
      </c>
      <c r="IH37" s="111">
        <f>(1/(1+WACC!$E$34)^120)*(1/(1+WACC!$E$35)^120)</f>
        <v>0.46332258737041826</v>
      </c>
      <c r="II37" s="111">
        <f>(1/(1+WACC!$E$34)^120)*(1/(1+WACC!$E$35)^121)</f>
        <v>0.46164203373268192</v>
      </c>
      <c r="IJ37" s="111">
        <f>(1/(1+WACC!$E$34)^120)*(1/(1+WACC!$E$35)^122)</f>
        <v>0.45996757576264308</v>
      </c>
      <c r="IK37" s="111">
        <f>(1/(1+WACC!$E$34)^120)*(1/(1+WACC!$E$35)^123)</f>
        <v>0.45829919135022806</v>
      </c>
      <c r="IL37" s="111">
        <f>(1/(1+WACC!$E$34)^120)*(1/(1+WACC!$E$35)^124)</f>
        <v>0.45663685846556035</v>
      </c>
      <c r="IM37" s="111">
        <f>(1/(1+WACC!$E$34)^120)*(1/(1+WACC!$E$35)^125)</f>
        <v>0.45498055515866975</v>
      </c>
      <c r="IN37" s="111">
        <f>(1/(1+WACC!$E$34)^120)*(1/(1+WACC!$E$35)^126)</f>
        <v>0.45333025955920242</v>
      </c>
      <c r="IO37" s="111">
        <f>(1/(1+WACC!$E$34)^120)*(1/(1+WACC!$E$35)^127)</f>
        <v>0.45168594987613275</v>
      </c>
      <c r="IP37" s="111">
        <f>(1/(1+WACC!$E$34)^120)*(1/(1+WACC!$E$35)^128)</f>
        <v>0.45004760439747421</v>
      </c>
      <c r="IQ37" s="111">
        <f>(1/(1+WACC!$E$34)^120)*(1/(1+WACC!$E$35)^129)</f>
        <v>0.44841520148999414</v>
      </c>
      <c r="IR37" s="111">
        <f>(1/(1+WACC!$E$34)^120)*(1/(1+WACC!$E$35)^130)</f>
        <v>0.44678871959892724</v>
      </c>
      <c r="IS37" s="111">
        <f>(1/(1+WACC!$E$34)^120)*(1/(1+WACC!$E$35)^131)</f>
        <v>0.44516813724769122</v>
      </c>
      <c r="IT37" s="111">
        <f>(1/(1+WACC!$E$34)^120)*(1/(1+WACC!$E$35)^132)</f>
        <v>0.44355343303760331</v>
      </c>
      <c r="IU37" s="111">
        <f>(1/(1+WACC!$E$34)^120)*(1/(1+WACC!$E$35)^133)</f>
        <v>0.44194458564759725</v>
      </c>
      <c r="IV37" s="111">
        <f>(1/(1+WACC!$E$34)^120)*(1/(1+WACC!$E$35)^134)</f>
        <v>0.44034157383394235</v>
      </c>
      <c r="IW37" s="111">
        <f>(1/(1+WACC!$E$34)^120)*(1/(1+WACC!$E$35)^135)</f>
        <v>0.43874437642996283</v>
      </c>
      <c r="IX37" s="111">
        <f>(1/(1+WACC!$E$34)^120)*(1/(1+WACC!$E$35)^136)</f>
        <v>0.4371529723457579</v>
      </c>
      <c r="IY37" s="111">
        <f>(1/(1+WACC!$E$34)^120)*(1/(1+WACC!$E$35)^137)</f>
        <v>0.43556734056792368</v>
      </c>
      <c r="IZ37" s="111">
        <f>(1/(1+WACC!$E$34)^120)*(1/(1+WACC!$E$35)^138)</f>
        <v>0.43398746015927586</v>
      </c>
      <c r="JA37" s="111">
        <f>(1/(1+WACC!$E$34)^120)*(1/(1+WACC!$E$35)^139)</f>
        <v>0.43241331025857299</v>
      </c>
      <c r="JB37" s="111">
        <f>(1/(1+WACC!$E$34)^120)*(1/(1+WACC!$E$35)^140)</f>
        <v>0.4308448700802408</v>
      </c>
      <c r="JC37" s="111">
        <f>(1/(1+WACC!$E$34)^120)*(1/(1+WACC!$E$35)^141)</f>
        <v>0.42928211891409818</v>
      </c>
      <c r="JD37" s="111">
        <f>(1/(1+WACC!$E$34)^120)*(1/(1+WACC!$E$35)^142)</f>
        <v>0.42772503612508345</v>
      </c>
      <c r="JE37" s="111">
        <f>(1/(1+WACC!$E$34)^120)*(1/(1+WACC!$E$35)^143)</f>
        <v>0.42617360115298231</v>
      </c>
      <c r="JF37" s="111">
        <f>(1/(1+WACC!$E$34)^120)*(1/(1+WACC!$E$35)^144)</f>
        <v>0.42462779351215563</v>
      </c>
      <c r="JG37" s="111">
        <f>(1/(1+WACC!$E$34)^120)*(1/(1+WACC!$E$35)^145)</f>
        <v>0.42308759279126945</v>
      </c>
      <c r="JH37" s="111">
        <f>(1/(1+WACC!$E$34)^120)*(1/(1+WACC!$E$35)^146)</f>
        <v>0.42155297865302538</v>
      </c>
      <c r="JI37" s="111">
        <f>(1/(1+WACC!$E$34)^120)*(1/(1+WACC!$E$35)^147)</f>
        <v>0.42002393083389222</v>
      </c>
      <c r="JJ37" s="111">
        <f>(1/(1+WACC!$E$34)^120)*(1/(1+WACC!$E$35)^148)</f>
        <v>0.41850042914383784</v>
      </c>
      <c r="JK37" s="111">
        <f>(1/(1+WACC!$E$34)^120)*(1/(1+WACC!$E$35)^149)</f>
        <v>0.41698245346606339</v>
      </c>
      <c r="JL37" s="111">
        <f>(1/(1+WACC!$E$34)^120)*(1/(1+WACC!$E$35)^150)</f>
        <v>0.41546998375673683</v>
      </c>
      <c r="JM37" s="111">
        <f>(1/(1+WACC!$E$34)^120)*(1/(1+WACC!$E$35)^151)</f>
        <v>0.41396300004472886</v>
      </c>
      <c r="JN37" s="111">
        <f>(1/(1+WACC!$E$34)^120)*(1/(1+WACC!$E$35)^152)</f>
        <v>0.41246148243134911</v>
      </c>
      <c r="JO37" s="111">
        <f>(1/(1+WACC!$E$34)^120)*(1/(1+WACC!$E$35)^153)</f>
        <v>0.41096541109008305</v>
      </c>
      <c r="JP37" s="111">
        <f>(1/(1+WACC!$E$34)^120)*(1/(1+WACC!$E$35)^154)</f>
        <v>0.40947476626633089</v>
      </c>
      <c r="JQ37" s="111">
        <f>(1/(1+WACC!$E$34)^120)*(1/(1+WACC!$E$35)^155)</f>
        <v>0.4079895282771458</v>
      </c>
      <c r="JR37" s="111">
        <f>(1/(1+WACC!$E$34)^120)*(1/(1+WACC!$E$35)^156)</f>
        <v>0.40650967751097472</v>
      </c>
      <c r="JS37" s="111">
        <f>(1/(1+WACC!$E$34)^120)*(1/(1+WACC!$E$35)^157)</f>
        <v>0.40503519442739938</v>
      </c>
      <c r="JT37" s="111">
        <f>(1/(1+WACC!$E$34)^120)*(1/(1+WACC!$E$35)^158)</f>
        <v>0.4035660595568778</v>
      </c>
      <c r="JU37" s="111">
        <f>(1/(1+WACC!$E$34)^120)*(1/(1+WACC!$E$35)^159)</f>
        <v>0.40210225350048762</v>
      </c>
      <c r="JV37" s="111">
        <f>(1/(1+WACC!$E$34)^120)*(1/(1+WACC!$E$35)^160)</f>
        <v>0.40064375692966986</v>
      </c>
      <c r="JW37" s="111">
        <f>(1/(1+WACC!$E$34)^120)*(1/(1+WACC!$E$35)^161)</f>
        <v>0.39919055058597347</v>
      </c>
      <c r="JX37" s="111">
        <f>(1/(1+WACC!$E$34)^120)*(1/(1+WACC!$E$35)^162)</f>
        <v>0.39774261528080168</v>
      </c>
      <c r="JY37" s="111">
        <f>(1/(1+WACC!$E$34)^120)*(1/(1+WACC!$E$35)^163)</f>
        <v>0.39629993189515772</v>
      </c>
      <c r="JZ37" s="111">
        <f>(1/(1+WACC!$E$34)^120)*(1/(1+WACC!$E$35)^164)</f>
        <v>0.394862481379393</v>
      </c>
      <c r="KA37" s="111">
        <f>(1/(1+WACC!$E$34)^120)*(1/(1+WACC!$E$35)^165)</f>
        <v>0.39343024475295563</v>
      </c>
      <c r="KB37" s="111">
        <f>(1/(1+WACC!$E$34)^120)*(1/(1+WACC!$E$35)^166)</f>
        <v>0.39200320310413894</v>
      </c>
      <c r="KC37" s="111">
        <f>(1/(1+WACC!$E$34)^120)*(1/(1+WACC!$E$35)^167)</f>
        <v>0.3905813375898331</v>
      </c>
      <c r="KD37" s="111">
        <f>(1/(1+WACC!$E$34)^120)*(1/(1+WACC!$E$35)^168)</f>
        <v>0.38916462943527547</v>
      </c>
      <c r="KE37" s="111">
        <f>(1/(1+WACC!$E$34)^120)*(1/(1+WACC!$E$35)^169)</f>
        <v>0.38775305993380227</v>
      </c>
      <c r="KF37" s="111">
        <f>(1/(1+WACC!$E$34)^120)*(1/(1+WACC!$E$35)^170)</f>
        <v>0.38634661044660268</v>
      </c>
      <c r="KG37" s="111">
        <f>(1/(1+WACC!$E$34)^120)*(1/(1+WACC!$E$35)^171)</f>
        <v>0.38494526240247201</v>
      </c>
      <c r="KH37" s="111">
        <f>(1/(1+WACC!$E$34)^120)*(1/(1+WACC!$E$35)^172)</f>
        <v>0.38354899729756653</v>
      </c>
      <c r="KI37" s="111">
        <f>(1/(1+WACC!$E$34)^120)*(1/(1+WACC!$E$35)^173)</f>
        <v>0.38215779669515959</v>
      </c>
      <c r="KJ37" s="111">
        <f>(1/(1+WACC!$E$34)^120)*(1/(1+WACC!$E$35)^174)</f>
        <v>0.38077164222539728</v>
      </c>
      <c r="KK37" s="111">
        <f>(1/(1+WACC!$E$34)^120)*(1/(1+WACC!$E$35)^175)</f>
        <v>0.37939051558505693</v>
      </c>
      <c r="KL37" s="111">
        <f>(1/(1+WACC!$E$34)^120)*(1/(1+WACC!$E$35)^176)</f>
        <v>0.37801439853730484</v>
      </c>
      <c r="KM37" s="111">
        <f>(1/(1+WACC!$E$34)^120)*(1/(1+WACC!$E$35)^177)</f>
        <v>0.37664327291145511</v>
      </c>
      <c r="KN37" s="111">
        <f>(1/(1+WACC!$E$34)^120)*(1/(1+WACC!$E$35)^178)</f>
        <v>0.37527712060273072</v>
      </c>
      <c r="KO37" s="111">
        <f>(1/(1+WACC!$E$34)^120)*(1/(1+WACC!$E$35)^179)</f>
        <v>0.3739159235720238</v>
      </c>
      <c r="KP37" s="111">
        <f>(1/(1+WACC!$E$34)^120)*(1/(1+WACC!$E$35)^180)</f>
        <v>0.37255966384565709</v>
      </c>
    </row>
    <row r="38" spans="1:302" ht="16" customHeight="1" x14ac:dyDescent="0.2">
      <c r="A38" s="115" t="s">
        <v>449</v>
      </c>
      <c r="B38" s="116" t="s">
        <v>215</v>
      </c>
      <c r="C38" s="117">
        <f t="shared" ref="C38:BN38" si="65">C36*C37</f>
        <v>129.43643778525046</v>
      </c>
      <c r="D38" s="117">
        <f t="shared" si="65"/>
        <v>129.07744943375656</v>
      </c>
      <c r="E38" s="117">
        <f t="shared" si="65"/>
        <v>128.71945672644685</v>
      </c>
      <c r="F38" s="117">
        <f t="shared" si="65"/>
        <v>128.36245690193002</v>
      </c>
      <c r="G38" s="117">
        <f t="shared" si="65"/>
        <v>128.00644720647324</v>
      </c>
      <c r="H38" s="117">
        <f t="shared" si="65"/>
        <v>127.65142489398127</v>
      </c>
      <c r="I38" s="117">
        <f t="shared" si="65"/>
        <v>127.29738722597489</v>
      </c>
      <c r="J38" s="117">
        <f t="shared" si="65"/>
        <v>126.94433147157017</v>
      </c>
      <c r="K38" s="117">
        <f t="shared" si="65"/>
        <v>126.59225490745698</v>
      </c>
      <c r="L38" s="117">
        <f t="shared" si="65"/>
        <v>126.24115481787847</v>
      </c>
      <c r="M38" s="117">
        <f t="shared" si="65"/>
        <v>125.89102849460966</v>
      </c>
      <c r="N38" s="117">
        <f t="shared" si="65"/>
        <v>125.54187323693692</v>
      </c>
      <c r="O38" s="117">
        <f t="shared" si="65"/>
        <v>123.9188244485441</v>
      </c>
      <c r="P38" s="117">
        <f t="shared" si="65"/>
        <v>123.57513904380779</v>
      </c>
      <c r="Q38" s="117">
        <f t="shared" si="65"/>
        <v>123.23240684095954</v>
      </c>
      <c r="R38" s="117">
        <f t="shared" si="65"/>
        <v>122.8906251963205</v>
      </c>
      <c r="S38" s="117">
        <f t="shared" si="65"/>
        <v>122.54979147354392</v>
      </c>
      <c r="T38" s="117">
        <f t="shared" si="65"/>
        <v>122.20990304359501</v>
      </c>
      <c r="U38" s="117">
        <f t="shared" si="65"/>
        <v>121.87095728473038</v>
      </c>
      <c r="V38" s="117">
        <f t="shared" si="65"/>
        <v>121.53295158247818</v>
      </c>
      <c r="W38" s="117">
        <f t="shared" si="65"/>
        <v>121.19588332961747</v>
      </c>
      <c r="X38" s="117">
        <f t="shared" si="65"/>
        <v>120.8597499261586</v>
      </c>
      <c r="Y38" s="117">
        <f t="shared" si="65"/>
        <v>120.52454877932277</v>
      </c>
      <c r="Z38" s="117">
        <f t="shared" si="65"/>
        <v>120.19027730352227</v>
      </c>
      <c r="AA38" s="117">
        <f t="shared" si="65"/>
        <v>118.617472162683</v>
      </c>
      <c r="AB38" s="117">
        <f t="shared" si="65"/>
        <v>118.28848991070922</v>
      </c>
      <c r="AC38" s="117">
        <f t="shared" si="65"/>
        <v>117.96042008183919</v>
      </c>
      <c r="AD38" s="117">
        <f t="shared" si="65"/>
        <v>117.63326014549295</v>
      </c>
      <c r="AE38" s="117">
        <f t="shared" si="65"/>
        <v>117.30700757810889</v>
      </c>
      <c r="AF38" s="117">
        <f t="shared" si="65"/>
        <v>116.98165986312451</v>
      </c>
      <c r="AG38" s="117">
        <f t="shared" si="65"/>
        <v>116.65721449095686</v>
      </c>
      <c r="AH38" s="117">
        <f t="shared" si="65"/>
        <v>116.33366895898341</v>
      </c>
      <c r="AI38" s="117">
        <f t="shared" si="65"/>
        <v>116.01102077152237</v>
      </c>
      <c r="AJ38" s="117">
        <f t="shared" si="65"/>
        <v>115.68926743981378</v>
      </c>
      <c r="AK38" s="117">
        <f t="shared" si="65"/>
        <v>115.36840648200014</v>
      </c>
      <c r="AL38" s="117">
        <f t="shared" si="65"/>
        <v>115.04843542310739</v>
      </c>
      <c r="AM38" s="117">
        <f t="shared" si="65"/>
        <v>113.52412921008768</v>
      </c>
      <c r="AN38" s="117">
        <f t="shared" si="65"/>
        <v>113.2092732027899</v>
      </c>
      <c r="AO38" s="117">
        <f t="shared" si="65"/>
        <v>112.89529043985011</v>
      </c>
      <c r="AP38" s="117">
        <f t="shared" si="65"/>
        <v>112.5821784993495</v>
      </c>
      <c r="AQ38" s="117">
        <f t="shared" si="65"/>
        <v>112.26993496608624</v>
      </c>
      <c r="AR38" s="117">
        <f t="shared" si="65"/>
        <v>111.9585574315571</v>
      </c>
      <c r="AS38" s="117">
        <f t="shared" si="65"/>
        <v>111.64804349393872</v>
      </c>
      <c r="AT38" s="117">
        <f t="shared" si="65"/>
        <v>111.33839075806921</v>
      </c>
      <c r="AU38" s="117">
        <f t="shared" si="65"/>
        <v>111.02959683542943</v>
      </c>
      <c r="AV38" s="117">
        <f t="shared" si="65"/>
        <v>110.7216593441249</v>
      </c>
      <c r="AW38" s="117">
        <f t="shared" si="65"/>
        <v>110.41457590886716</v>
      </c>
      <c r="AX38" s="117">
        <f t="shared" si="65"/>
        <v>110.1083441609556</v>
      </c>
      <c r="AY38" s="117">
        <f t="shared" si="65"/>
        <v>108.63085583280935</v>
      </c>
      <c r="AZ38" s="117">
        <f t="shared" si="65"/>
        <v>108.3295711827984</v>
      </c>
      <c r="BA38" s="117">
        <f t="shared" si="65"/>
        <v>108.0291221373644</v>
      </c>
      <c r="BB38" s="117">
        <f t="shared" si="65"/>
        <v>107.72950637898137</v>
      </c>
      <c r="BC38" s="117">
        <f t="shared" si="65"/>
        <v>107.43072159655084</v>
      </c>
      <c r="BD38" s="117">
        <f t="shared" si="65"/>
        <v>107.13276548538427</v>
      </c>
      <c r="BE38" s="117">
        <f t="shared" si="65"/>
        <v>106.83563574718492</v>
      </c>
      <c r="BF38" s="117">
        <f t="shared" si="65"/>
        <v>106.53933009003055</v>
      </c>
      <c r="BG38" s="117">
        <f t="shared" si="65"/>
        <v>106.24384622835518</v>
      </c>
      <c r="BH38" s="117">
        <f t="shared" si="65"/>
        <v>105.94918188293205</v>
      </c>
      <c r="BI38" s="117">
        <f t="shared" si="65"/>
        <v>105.65533478085568</v>
      </c>
      <c r="BJ38" s="117">
        <f t="shared" si="65"/>
        <v>105.36230265552446</v>
      </c>
      <c r="BK38" s="117">
        <f t="shared" si="65"/>
        <v>103.93001247710883</v>
      </c>
      <c r="BL38" s="117">
        <f t="shared" si="65"/>
        <v>103.64176548508482</v>
      </c>
      <c r="BM38" s="117">
        <f t="shared" si="65"/>
        <v>103.35431793805682</v>
      </c>
      <c r="BN38" s="117">
        <f t="shared" si="65"/>
        <v>103.06766761878647</v>
      </c>
      <c r="BO38" s="117">
        <f t="shared" ref="BO38:DZ38" si="66">BO36*BO37</f>
        <v>102.78181231618476</v>
      </c>
      <c r="BP38" s="117">
        <f t="shared" si="66"/>
        <v>102.4967498252951</v>
      </c>
      <c r="BQ38" s="117">
        <f t="shared" si="66"/>
        <v>102.21247794727637</v>
      </c>
      <c r="BR38" s="117">
        <f t="shared" si="66"/>
        <v>101.92899448938581</v>
      </c>
      <c r="BS38" s="117">
        <f t="shared" si="66"/>
        <v>101.64629726496212</v>
      </c>
      <c r="BT38" s="117">
        <f t="shared" si="66"/>
        <v>101.36438409340877</v>
      </c>
      <c r="BU38" s="117">
        <f t="shared" si="66"/>
        <v>101.08325280017691</v>
      </c>
      <c r="BV38" s="117">
        <f t="shared" si="66"/>
        <v>100.80290121674891</v>
      </c>
      <c r="BW38" s="117">
        <f t="shared" si="66"/>
        <v>99.41424848049688</v>
      </c>
      <c r="BX38" s="117">
        <f t="shared" si="66"/>
        <v>99.138525834017429</v>
      </c>
      <c r="BY38" s="117">
        <f t="shared" si="66"/>
        <v>98.863567896610803</v>
      </c>
      <c r="BZ38" s="117">
        <f t="shared" si="66"/>
        <v>98.589372547377764</v>
      </c>
      <c r="CA38" s="117">
        <f t="shared" si="66"/>
        <v>98.315937671301185</v>
      </c>
      <c r="CB38" s="117">
        <f t="shared" si="66"/>
        <v>98.043261159230013</v>
      </c>
      <c r="CC38" s="117">
        <f t="shared" si="66"/>
        <v>97.771340907862793</v>
      </c>
      <c r="CD38" s="117">
        <f t="shared" si="66"/>
        <v>97.500174819731626</v>
      </c>
      <c r="CE38" s="117">
        <f t="shared" si="66"/>
        <v>97.229760803185698</v>
      </c>
      <c r="CF38" s="117">
        <f t="shared" si="66"/>
        <v>96.960096772375522</v>
      </c>
      <c r="CG38" s="117">
        <f t="shared" si="66"/>
        <v>96.691180647236479</v>
      </c>
      <c r="CH38" s="117">
        <f t="shared" si="66"/>
        <v>96.423010353473146</v>
      </c>
      <c r="CI38" s="117">
        <f t="shared" si="66"/>
        <v>95.076491184588633</v>
      </c>
      <c r="CJ38" s="117">
        <f t="shared" si="66"/>
        <v>94.812799187032212</v>
      </c>
      <c r="CK38" s="117">
        <f t="shared" si="66"/>
        <v>94.549838531879217</v>
      </c>
      <c r="CL38" s="117">
        <f t="shared" si="66"/>
        <v>94.287607190771936</v>
      </c>
      <c r="CM38" s="117">
        <f t="shared" si="66"/>
        <v>94.026103140978165</v>
      </c>
      <c r="CN38" s="117">
        <f t="shared" si="66"/>
        <v>93.765324365375747</v>
      </c>
      <c r="CO38" s="117">
        <f t="shared" si="66"/>
        <v>93.505268852436885</v>
      </c>
      <c r="CP38" s="117">
        <f t="shared" si="66"/>
        <v>93.245934596212848</v>
      </c>
      <c r="CQ38" s="117">
        <f t="shared" si="66"/>
        <v>92.98731959631813</v>
      </c>
      <c r="CR38" s="117">
        <f t="shared" si="66"/>
        <v>92.729421857915398</v>
      </c>
      <c r="CS38" s="117">
        <f t="shared" si="66"/>
        <v>92.472239391699915</v>
      </c>
      <c r="CT38" s="117">
        <f t="shared" si="66"/>
        <v>92.215770213884213</v>
      </c>
      <c r="CU38" s="117">
        <f t="shared" si="66"/>
        <v>90.909935457751956</v>
      </c>
      <c r="CV38" s="117">
        <f t="shared" si="66"/>
        <v>90.657799286339809</v>
      </c>
      <c r="CW38" s="117">
        <f t="shared" si="66"/>
        <v>90.406362407569503</v>
      </c>
      <c r="CX38" s="117">
        <f t="shared" si="66"/>
        <v>90.155622881972377</v>
      </c>
      <c r="CY38" s="117">
        <f t="shared" si="66"/>
        <v>89.905578775458849</v>
      </c>
      <c r="CZ38" s="117">
        <f t="shared" si="66"/>
        <v>89.656228159303495</v>
      </c>
      <c r="DA38" s="117">
        <f t="shared" si="66"/>
        <v>89.407569110130083</v>
      </c>
      <c r="DB38" s="117">
        <f t="shared" si="66"/>
        <v>89.159599709896938</v>
      </c>
      <c r="DC38" s="117">
        <f t="shared" si="66"/>
        <v>88.912318045881918</v>
      </c>
      <c r="DD38" s="117">
        <f t="shared" si="66"/>
        <v>88.665722210667795</v>
      </c>
      <c r="DE38" s="117">
        <f t="shared" si="66"/>
        <v>88.419810302127502</v>
      </c>
      <c r="DF38" s="117">
        <f t="shared" si="66"/>
        <v>88.174580423409523</v>
      </c>
      <c r="DG38" s="117">
        <f t="shared" si="66"/>
        <v>86.908033612131021</v>
      </c>
      <c r="DH38" s="117">
        <f t="shared" si="66"/>
        <v>86.666996603914228</v>
      </c>
      <c r="DI38" s="117">
        <f t="shared" si="66"/>
        <v>86.426628105119576</v>
      </c>
      <c r="DJ38" s="117">
        <f t="shared" si="66"/>
        <v>86.186926261654818</v>
      </c>
      <c r="DK38" s="117">
        <f t="shared" si="66"/>
        <v>85.947889224570005</v>
      </c>
      <c r="DL38" s="117">
        <f t="shared" si="66"/>
        <v>85.709515150043174</v>
      </c>
      <c r="DM38" s="117">
        <f t="shared" si="66"/>
        <v>85.47180219936611</v>
      </c>
      <c r="DN38" s="117">
        <f t="shared" si="66"/>
        <v>85.234748538930333</v>
      </c>
      <c r="DO38" s="117">
        <f t="shared" si="66"/>
        <v>84.998352340212634</v>
      </c>
      <c r="DP38" s="117">
        <f t="shared" si="66"/>
        <v>84.762611779761357</v>
      </c>
      <c r="DQ38" s="117">
        <f t="shared" si="66"/>
        <v>84.527525039181995</v>
      </c>
      <c r="DR38" s="117">
        <f t="shared" si="66"/>
        <v>84.293090305123428</v>
      </c>
      <c r="DS38" s="117">
        <f t="shared" si="66"/>
        <v>-30.026273633058636</v>
      </c>
      <c r="DT38" s="117">
        <f t="shared" si="66"/>
        <v>-29.917362984717293</v>
      </c>
      <c r="DU38" s="117">
        <f t="shared" si="66"/>
        <v>-29.808847374716937</v>
      </c>
      <c r="DV38" s="117">
        <f t="shared" si="66"/>
        <v>-29.700725370183079</v>
      </c>
      <c r="DW38" s="117">
        <f t="shared" si="66"/>
        <v>-29.592995543438501</v>
      </c>
      <c r="DX38" s="117">
        <f t="shared" si="66"/>
        <v>-29.485656471984427</v>
      </c>
      <c r="DY38" s="117">
        <f t="shared" si="66"/>
        <v>-29.378706738481753</v>
      </c>
      <c r="DZ38" s="117">
        <f t="shared" si="66"/>
        <v>-29.272144930732313</v>
      </c>
      <c r="EA38" s="117">
        <f t="shared" ref="EA38:GL38" si="67">EA36*EA37</f>
        <v>-29.165969641660219</v>
      </c>
      <c r="EB38" s="117">
        <f t="shared" si="67"/>
        <v>-29.060179469293313</v>
      </c>
      <c r="EC38" s="117">
        <f t="shared" si="67"/>
        <v>-28.954773016744642</v>
      </c>
      <c r="ED38" s="117">
        <f t="shared" si="67"/>
        <v>-28.849748892193997</v>
      </c>
      <c r="EE38" s="117">
        <f t="shared" si="67"/>
        <v>-29.32000782304695</v>
      </c>
      <c r="EF38" s="117">
        <f t="shared" si="67"/>
        <v>-29.213658926730176</v>
      </c>
      <c r="EG38" s="117">
        <f t="shared" si="67"/>
        <v>-29.107695776823022</v>
      </c>
      <c r="EH38" s="117">
        <f t="shared" si="67"/>
        <v>-29.002116974154479</v>
      </c>
      <c r="EI38" s="117">
        <f t="shared" si="67"/>
        <v>-28.89692112462858</v>
      </c>
      <c r="EJ38" s="117">
        <f t="shared" si="67"/>
        <v>-28.792106839205999</v>
      </c>
      <c r="EK38" s="117">
        <f t="shared" si="67"/>
        <v>-28.687672733885694</v>
      </c>
      <c r="EL38" s="117">
        <f t="shared" si="67"/>
        <v>-28.583617429686647</v>
      </c>
      <c r="EM38" s="117">
        <f t="shared" si="67"/>
        <v>-28.479939552629656</v>
      </c>
      <c r="EN38" s="117">
        <f t="shared" si="67"/>
        <v>-28.376637733719157</v>
      </c>
      <c r="EO38" s="117">
        <f t="shared" si="67"/>
        <v>-28.273710608925217</v>
      </c>
      <c r="EP38" s="117">
        <f t="shared" si="67"/>
        <v>-28.171156819165475</v>
      </c>
      <c r="EQ38" s="117">
        <f t="shared" si="67"/>
        <v>-28.630354510492911</v>
      </c>
      <c r="ER38" s="117">
        <f t="shared" si="67"/>
        <v>-28.526507109710312</v>
      </c>
      <c r="ES38" s="117">
        <f t="shared" si="67"/>
        <v>-28.423036381967002</v>
      </c>
      <c r="ET38" s="117">
        <f t="shared" si="67"/>
        <v>-28.319940961002693</v>
      </c>
      <c r="EU38" s="117">
        <f t="shared" si="67"/>
        <v>-28.217219485512793</v>
      </c>
      <c r="EV38" s="117">
        <f t="shared" si="67"/>
        <v>-28.114870599130381</v>
      </c>
      <c r="EW38" s="117">
        <f t="shared" si="67"/>
        <v>-28.012892950408332</v>
      </c>
      <c r="EX38" s="117">
        <f t="shared" si="67"/>
        <v>-27.911285192801454</v>
      </c>
      <c r="EY38" s="117">
        <f t="shared" si="67"/>
        <v>-27.810045984648717</v>
      </c>
      <c r="EZ38" s="117">
        <f t="shared" si="67"/>
        <v>-27.709173989155545</v>
      </c>
      <c r="FA38" s="117">
        <f t="shared" si="67"/>
        <v>-27.608667874376145</v>
      </c>
      <c r="FB38" s="117">
        <f t="shared" si="67"/>
        <v>-27.508526313195915</v>
      </c>
      <c r="FC38" s="117">
        <f t="shared" si="67"/>
        <v>-27.956922942980245</v>
      </c>
      <c r="FD38" s="117">
        <f t="shared" si="67"/>
        <v>-27.85551819857011</v>
      </c>
      <c r="FE38" s="117">
        <f t="shared" si="67"/>
        <v>-27.754481267249059</v>
      </c>
      <c r="FF38" s="117">
        <f t="shared" si="67"/>
        <v>-27.653810814893443</v>
      </c>
      <c r="FG38" s="117">
        <f t="shared" si="67"/>
        <v>-27.553505512218688</v>
      </c>
      <c r="FH38" s="117">
        <f t="shared" si="67"/>
        <v>-27.453564034761808</v>
      </c>
      <c r="FI38" s="117">
        <f t="shared" si="67"/>
        <v>-27.35398506286386</v>
      </c>
      <c r="FJ38" s="117">
        <f t="shared" si="67"/>
        <v>-27.254767281652548</v>
      </c>
      <c r="FK38" s="117">
        <f t="shared" si="67"/>
        <v>-27.155909381024845</v>
      </c>
      <c r="FL38" s="117">
        <f t="shared" si="67"/>
        <v>-27.057410055629699</v>
      </c>
      <c r="FM38" s="117">
        <f t="shared" si="67"/>
        <v>-26.959268004850816</v>
      </c>
      <c r="FN38" s="117">
        <f t="shared" si="67"/>
        <v>-26.861481932789466</v>
      </c>
      <c r="FO38" s="117">
        <f t="shared" si="67"/>
        <v>-27.299331559212298</v>
      </c>
      <c r="FP38" s="117">
        <f t="shared" si="67"/>
        <v>-27.200312016003792</v>
      </c>
      <c r="FQ38" s="117">
        <f t="shared" si="67"/>
        <v>-27.101651634334317</v>
      </c>
      <c r="FR38" s="117">
        <f t="shared" si="67"/>
        <v>-27.003349111460921</v>
      </c>
      <c r="FS38" s="117">
        <f t="shared" si="67"/>
        <v>-26.905403149365952</v>
      </c>
      <c r="FT38" s="117">
        <f t="shared" si="67"/>
        <v>-26.807812454739878</v>
      </c>
      <c r="FU38" s="117">
        <f t="shared" si="67"/>
        <v>-26.710575738964256</v>
      </c>
      <c r="FV38" s="117">
        <f t="shared" si="67"/>
        <v>-26.613691718094675</v>
      </c>
      <c r="FW38" s="117">
        <f t="shared" si="67"/>
        <v>-26.51715911284381</v>
      </c>
      <c r="FX38" s="117">
        <f t="shared" si="67"/>
        <v>-26.420976648564572</v>
      </c>
      <c r="FY38" s="117">
        <f t="shared" si="67"/>
        <v>-26.325143055233216</v>
      </c>
      <c r="FZ38" s="117">
        <f t="shared" si="67"/>
        <v>-26.229657067432608</v>
      </c>
      <c r="GA38" s="117">
        <f t="shared" si="67"/>
        <v>-26.657207772822204</v>
      </c>
      <c r="GB38" s="117">
        <f t="shared" si="67"/>
        <v>-26.560517327081655</v>
      </c>
      <c r="GC38" s="117">
        <f t="shared" si="67"/>
        <v>-26.464177594828346</v>
      </c>
      <c r="GD38" s="117">
        <f t="shared" si="67"/>
        <v>-26.368187303961879</v>
      </c>
      <c r="GE38" s="117">
        <f t="shared" si="67"/>
        <v>-26.272545186996069</v>
      </c>
      <c r="GF38" s="117">
        <f t="shared" si="67"/>
        <v>-26.177249981042085</v>
      </c>
      <c r="GG38" s="117">
        <f t="shared" si="67"/>
        <v>-26.082300427791836</v>
      </c>
      <c r="GH38" s="117">
        <f t="shared" si="67"/>
        <v>-25.98769527350133</v>
      </c>
      <c r="GI38" s="117">
        <f t="shared" si="67"/>
        <v>-25.893433268974135</v>
      </c>
      <c r="GJ38" s="117">
        <f t="shared" si="67"/>
        <v>-25.799513169544859</v>
      </c>
      <c r="GK38" s="117">
        <f t="shared" si="67"/>
        <v>-25.705933735062771</v>
      </c>
      <c r="GL38" s="117">
        <f t="shared" si="67"/>
        <v>-25.612693729875357</v>
      </c>
      <c r="GM38" s="117">
        <f t="shared" ref="GM38:IX38" si="68">GM36*GM37</f>
        <v>-26.030187761268277</v>
      </c>
      <c r="GN38" s="117">
        <f t="shared" si="68"/>
        <v>-25.935771628911265</v>
      </c>
      <c r="GO38" s="117">
        <f t="shared" si="68"/>
        <v>-25.841697960701314</v>
      </c>
      <c r="GP38" s="117">
        <f t="shared" si="68"/>
        <v>-25.747965514459889</v>
      </c>
      <c r="GQ38" s="117">
        <f t="shared" si="68"/>
        <v>-25.65457305251406</v>
      </c>
      <c r="GR38" s="117">
        <f t="shared" si="68"/>
        <v>-25.561519341680178</v>
      </c>
      <c r="GS38" s="117">
        <f t="shared" si="68"/>
        <v>-25.468803153247556</v>
      </c>
      <c r="GT38" s="117">
        <f t="shared" si="68"/>
        <v>-25.376423262962263</v>
      </c>
      <c r="GU38" s="117">
        <f t="shared" si="68"/>
        <v>-25.284378451010948</v>
      </c>
      <c r="GV38" s="117">
        <f t="shared" si="68"/>
        <v>-25.192667502004756</v>
      </c>
      <c r="GW38" s="117">
        <f t="shared" si="68"/>
        <v>-25.101289204963248</v>
      </c>
      <c r="GX38" s="117">
        <f t="shared" si="68"/>
        <v>-25.010242353298434</v>
      </c>
      <c r="GY38" s="117">
        <f t="shared" si="68"/>
        <v>-25.417916259694824</v>
      </c>
      <c r="GZ38" s="117">
        <f t="shared" si="68"/>
        <v>-25.325720945245894</v>
      </c>
      <c r="HA38" s="117">
        <f t="shared" si="68"/>
        <v>-25.233860039641485</v>
      </c>
      <c r="HB38" s="117">
        <f t="shared" si="68"/>
        <v>-25.142332329921082</v>
      </c>
      <c r="HC38" s="117">
        <f t="shared" si="68"/>
        <v>-25.051136607523798</v>
      </c>
      <c r="HD38" s="117">
        <f t="shared" si="68"/>
        <v>-24.96027166827243</v>
      </c>
      <c r="HE38" s="117">
        <f t="shared" si="68"/>
        <v>-24.869736312357517</v>
      </c>
      <c r="HF38" s="117">
        <f t="shared" si="68"/>
        <v>-24.779529344321531</v>
      </c>
      <c r="HG38" s="117">
        <f t="shared" si="68"/>
        <v>-24.689649573043084</v>
      </c>
      <c r="HH38" s="117">
        <f t="shared" si="68"/>
        <v>-24.600095811721189</v>
      </c>
      <c r="HI38" s="117">
        <f t="shared" si="68"/>
        <v>-24.510866877859623</v>
      </c>
      <c r="HJ38" s="117">
        <f t="shared" si="68"/>
        <v>-24.421961593251243</v>
      </c>
      <c r="HK38" s="117">
        <f t="shared" si="68"/>
        <v>-24.820046359641768</v>
      </c>
      <c r="HL38" s="117">
        <f t="shared" si="68"/>
        <v>-24.730019625924317</v>
      </c>
      <c r="HM38" s="117">
        <f t="shared" si="68"/>
        <v>-24.640319435222395</v>
      </c>
      <c r="HN38" s="117">
        <f t="shared" si="68"/>
        <v>-24.550944603106249</v>
      </c>
      <c r="HO38" s="117">
        <f t="shared" si="68"/>
        <v>-24.461893949442299</v>
      </c>
      <c r="HP38" s="117">
        <f t="shared" si="68"/>
        <v>-24.37316629837747</v>
      </c>
      <c r="HQ38" s="117">
        <f t="shared" si="68"/>
        <v>-24.284760478323761</v>
      </c>
      <c r="HR38" s="117">
        <f t="shared" si="68"/>
        <v>-24.196675321942706</v>
      </c>
      <c r="HS38" s="117">
        <f t="shared" si="68"/>
        <v>-24.108909666129978</v>
      </c>
      <c r="HT38" s="117">
        <f t="shared" si="68"/>
        <v>-24.021462352000054</v>
      </c>
      <c r="HU38" s="117">
        <f t="shared" si="68"/>
        <v>-23.934332224870893</v>
      </c>
      <c r="HV38" s="117">
        <f t="shared" si="68"/>
        <v>-23.847518134248681</v>
      </c>
      <c r="HW38" s="117">
        <f t="shared" si="68"/>
        <v>-24.236239312488909</v>
      </c>
      <c r="HX38" s="117">
        <f t="shared" si="68"/>
        <v>-24.14833015102796</v>
      </c>
      <c r="HY38" s="117">
        <f t="shared" si="68"/>
        <v>-24.060739851770386</v>
      </c>
      <c r="HZ38" s="117">
        <f t="shared" si="68"/>
        <v>-23.973467258146137</v>
      </c>
      <c r="IA38" s="117">
        <f t="shared" si="68"/>
        <v>-23.886511217780203</v>
      </c>
      <c r="IB38" s="117">
        <f t="shared" si="68"/>
        <v>-23.799870582477492</v>
      </c>
      <c r="IC38" s="117">
        <f t="shared" si="68"/>
        <v>-23.713544208207601</v>
      </c>
      <c r="ID38" s="117">
        <f t="shared" si="68"/>
        <v>-23.627530955089721</v>
      </c>
      <c r="IE38" s="117">
        <f t="shared" si="68"/>
        <v>-23.541829687377607</v>
      </c>
      <c r="IF38" s="117">
        <f t="shared" si="68"/>
        <v>-23.456439273444563</v>
      </c>
      <c r="IG38" s="117">
        <f t="shared" si="68"/>
        <v>-23.371358585768501</v>
      </c>
      <c r="IH38" s="117">
        <f t="shared" si="68"/>
        <v>-23.286586500917071</v>
      </c>
      <c r="II38" s="117">
        <f t="shared" si="68"/>
        <v>-23.666164337523444</v>
      </c>
      <c r="IJ38" s="117">
        <f t="shared" si="68"/>
        <v>-23.580322939644667</v>
      </c>
      <c r="IK38" s="117">
        <f t="shared" si="68"/>
        <v>-23.494792903822063</v>
      </c>
      <c r="IL38" s="117">
        <f t="shared" si="68"/>
        <v>-23.409573100689933</v>
      </c>
      <c r="IM38" s="117">
        <f t="shared" si="68"/>
        <v>-23.324662404978991</v>
      </c>
      <c r="IN38" s="117">
        <f t="shared" si="68"/>
        <v>-23.240059695501497</v>
      </c>
      <c r="IO38" s="117">
        <f t="shared" si="68"/>
        <v>-23.155763855136488</v>
      </c>
      <c r="IP38" s="117">
        <f t="shared" si="68"/>
        <v>-23.071773770814954</v>
      </c>
      <c r="IQ38" s="117">
        <f t="shared" si="68"/>
        <v>-22.988088333505221</v>
      </c>
      <c r="IR38" s="117">
        <f t="shared" si="68"/>
        <v>-22.90470643819825</v>
      </c>
      <c r="IS38" s="117">
        <f t="shared" si="68"/>
        <v>-22.821626983893076</v>
      </c>
      <c r="IT38" s="117">
        <f t="shared" si="68"/>
        <v>-22.738848873582267</v>
      </c>
      <c r="IU38" s="117">
        <f t="shared" si="68"/>
        <v>-23.109498434522152</v>
      </c>
      <c r="IV38" s="117">
        <f t="shared" si="68"/>
        <v>-23.025676163130601</v>
      </c>
      <c r="IW38" s="117">
        <f t="shared" si="68"/>
        <v>-22.942157930063438</v>
      </c>
      <c r="IX38" s="117">
        <f t="shared" si="68"/>
        <v>-22.858942632519433</v>
      </c>
      <c r="IY38" s="117">
        <f t="shared" ref="IY38:KP38" si="69">IY36*IY37</f>
        <v>-22.776029171697431</v>
      </c>
      <c r="IZ38" s="117">
        <f t="shared" si="69"/>
        <v>-22.693416452781825</v>
      </c>
      <c r="JA38" s="117">
        <f t="shared" si="69"/>
        <v>-22.6111033849281</v>
      </c>
      <c r="JB38" s="117">
        <f t="shared" si="69"/>
        <v>-22.529088881248423</v>
      </c>
      <c r="JC38" s="117">
        <f t="shared" si="69"/>
        <v>-22.44737185879729</v>
      </c>
      <c r="JD38" s="117">
        <f t="shared" si="69"/>
        <v>-22.365951238557244</v>
      </c>
      <c r="JE38" s="117">
        <f t="shared" si="69"/>
        <v>-22.284825945424629</v>
      </c>
      <c r="JF38" s="117">
        <f t="shared" si="69"/>
        <v>-22.203994908195355</v>
      </c>
      <c r="JG38" s="117">
        <f t="shared" si="69"/>
        <v>-22.565926200741817</v>
      </c>
      <c r="JH38" s="117">
        <f t="shared" si="69"/>
        <v>-22.484075562764552</v>
      </c>
      <c r="JI38" s="117">
        <f t="shared" si="69"/>
        <v>-22.40252181164572</v>
      </c>
      <c r="JJ38" s="117">
        <f t="shared" si="69"/>
        <v>-22.321263870523744</v>
      </c>
      <c r="JK38" s="117">
        <f t="shared" si="69"/>
        <v>-22.240300666443023</v>
      </c>
      <c r="JL38" s="117">
        <f t="shared" si="69"/>
        <v>-22.159631130339754</v>
      </c>
      <c r="JM38" s="117">
        <f t="shared" si="69"/>
        <v>-22.079254197027819</v>
      </c>
      <c r="JN38" s="117">
        <f t="shared" si="69"/>
        <v>-21.99916880518472</v>
      </c>
      <c r="JO38" s="117">
        <f t="shared" si="69"/>
        <v>-21.919373897337564</v>
      </c>
      <c r="JP38" s="117">
        <f t="shared" si="69"/>
        <v>-21.839868419849115</v>
      </c>
      <c r="JQ38" s="117">
        <f t="shared" si="69"/>
        <v>-21.76065132290384</v>
      </c>
      <c r="JR38" s="117">
        <f t="shared" si="69"/>
        <v>-21.68172156049409</v>
      </c>
      <c r="JS38" s="117">
        <f t="shared" si="69"/>
        <v>-22.035139652214401</v>
      </c>
      <c r="JT38" s="117">
        <f t="shared" si="69"/>
        <v>-21.955214271691244</v>
      </c>
      <c r="JU38" s="117">
        <f t="shared" si="69"/>
        <v>-21.875578794774441</v>
      </c>
      <c r="JV38" s="117">
        <f t="shared" si="69"/>
        <v>-21.79623216993193</v>
      </c>
      <c r="JW38" s="117">
        <f t="shared" si="69"/>
        <v>-21.717173349445716</v>
      </c>
      <c r="JX38" s="117">
        <f t="shared" si="69"/>
        <v>-21.638401289398104</v>
      </c>
      <c r="JY38" s="117">
        <f t="shared" si="69"/>
        <v>-21.559914949657838</v>
      </c>
      <c r="JZ38" s="117">
        <f t="shared" si="69"/>
        <v>-21.481713293866413</v>
      </c>
      <c r="KA38" s="117">
        <f t="shared" si="69"/>
        <v>-21.403795289424405</v>
      </c>
      <c r="KB38" s="117">
        <f t="shared" si="69"/>
        <v>-21.326159907477766</v>
      </c>
      <c r="KC38" s="117">
        <f t="shared" si="69"/>
        <v>-21.24880612290433</v>
      </c>
      <c r="KD38" s="117">
        <f t="shared" si="69"/>
        <v>-21.171732914300222</v>
      </c>
      <c r="KE38" s="117">
        <f t="shared" si="69"/>
        <v>-21.516838049245681</v>
      </c>
      <c r="KF38" s="117">
        <f t="shared" si="69"/>
        <v>-21.438792641052938</v>
      </c>
      <c r="KG38" s="117">
        <f t="shared" si="69"/>
        <v>-21.361030317471702</v>
      </c>
      <c r="KH38" s="117">
        <f t="shared" si="69"/>
        <v>-21.283550051703607</v>
      </c>
      <c r="KI38" s="117">
        <f t="shared" si="69"/>
        <v>-21.206350820674679</v>
      </c>
      <c r="KJ38" s="117">
        <f t="shared" si="69"/>
        <v>-21.129431605021793</v>
      </c>
      <c r="KK38" s="117">
        <f t="shared" si="69"/>
        <v>-21.052791389079268</v>
      </c>
      <c r="KL38" s="117">
        <f t="shared" si="69"/>
        <v>-20.976429160865408</v>
      </c>
      <c r="KM38" s="117">
        <f t="shared" si="69"/>
        <v>-20.900343912069133</v>
      </c>
      <c r="KN38" s="117">
        <f t="shared" si="69"/>
        <v>-20.824534638036727</v>
      </c>
      <c r="KO38" s="117">
        <f t="shared" si="69"/>
        <v>-20.749000337758517</v>
      </c>
      <c r="KP38" s="117">
        <f t="shared" si="69"/>
        <v>-20.673740013855646</v>
      </c>
    </row>
    <row r="39" spans="1:302" ht="16" customHeight="1" x14ac:dyDescent="0.2">
      <c r="A39" s="115" t="s">
        <v>450</v>
      </c>
      <c r="B39" s="116" t="s">
        <v>215</v>
      </c>
      <c r="C39" s="117">
        <f>C38-Assumptions!$E$31</f>
        <v>-22870.563562214749</v>
      </c>
      <c r="D39" s="117">
        <f t="shared" ref="D39:BO39" si="70">C39+D38</f>
        <v>-22741.486112780993</v>
      </c>
      <c r="E39" s="117">
        <f t="shared" si="70"/>
        <v>-22612.766656054548</v>
      </c>
      <c r="F39" s="117">
        <f t="shared" si="70"/>
        <v>-22484.404199152617</v>
      </c>
      <c r="G39" s="117">
        <f t="shared" si="70"/>
        <v>-22356.397751946144</v>
      </c>
      <c r="H39" s="117">
        <f t="shared" si="70"/>
        <v>-22228.746327052162</v>
      </c>
      <c r="I39" s="117">
        <f t="shared" si="70"/>
        <v>-22101.448939826187</v>
      </c>
      <c r="J39" s="117">
        <f t="shared" si="70"/>
        <v>-21974.504608354615</v>
      </c>
      <c r="K39" s="117">
        <f t="shared" si="70"/>
        <v>-21847.912353447158</v>
      </c>
      <c r="L39" s="117">
        <f t="shared" si="70"/>
        <v>-21721.671198629279</v>
      </c>
      <c r="M39" s="117">
        <f t="shared" si="70"/>
        <v>-21595.780170134669</v>
      </c>
      <c r="N39" s="117">
        <f t="shared" si="70"/>
        <v>-21470.238296897733</v>
      </c>
      <c r="O39" s="117">
        <f t="shared" si="70"/>
        <v>-21346.319472449188</v>
      </c>
      <c r="P39" s="117">
        <f t="shared" si="70"/>
        <v>-21222.744333405379</v>
      </c>
      <c r="Q39" s="117">
        <f t="shared" si="70"/>
        <v>-21099.511926564421</v>
      </c>
      <c r="R39" s="117">
        <f t="shared" si="70"/>
        <v>-20976.621301368101</v>
      </c>
      <c r="S39" s="117">
        <f t="shared" si="70"/>
        <v>-20854.071509894558</v>
      </c>
      <c r="T39" s="117">
        <f t="shared" si="70"/>
        <v>-20731.861606850962</v>
      </c>
      <c r="U39" s="117">
        <f t="shared" si="70"/>
        <v>-20609.990649566233</v>
      </c>
      <c r="V39" s="117">
        <f t="shared" si="70"/>
        <v>-20488.457697983755</v>
      </c>
      <c r="W39" s="117">
        <f t="shared" si="70"/>
        <v>-20367.261814654139</v>
      </c>
      <c r="X39" s="117">
        <f t="shared" si="70"/>
        <v>-20246.402064727979</v>
      </c>
      <c r="Y39" s="117">
        <f t="shared" si="70"/>
        <v>-20125.877515948658</v>
      </c>
      <c r="Z39" s="117">
        <f t="shared" si="70"/>
        <v>-20005.687238645136</v>
      </c>
      <c r="AA39" s="117">
        <f t="shared" si="70"/>
        <v>-19887.069766482455</v>
      </c>
      <c r="AB39" s="117">
        <f t="shared" si="70"/>
        <v>-19768.781276571746</v>
      </c>
      <c r="AC39" s="117">
        <f t="shared" si="70"/>
        <v>-19650.820856489907</v>
      </c>
      <c r="AD39" s="117">
        <f t="shared" si="70"/>
        <v>-19533.187596344414</v>
      </c>
      <c r="AE39" s="117">
        <f t="shared" si="70"/>
        <v>-19415.880588766304</v>
      </c>
      <c r="AF39" s="117">
        <f t="shared" si="70"/>
        <v>-19298.898928903178</v>
      </c>
      <c r="AG39" s="117">
        <f t="shared" si="70"/>
        <v>-19182.241714412223</v>
      </c>
      <c r="AH39" s="117">
        <f t="shared" si="70"/>
        <v>-19065.908045453238</v>
      </c>
      <c r="AI39" s="117">
        <f t="shared" si="70"/>
        <v>-18949.897024681715</v>
      </c>
      <c r="AJ39" s="117">
        <f t="shared" si="70"/>
        <v>-18834.2077572419</v>
      </c>
      <c r="AK39" s="117">
        <f t="shared" si="70"/>
        <v>-18718.839350759899</v>
      </c>
      <c r="AL39" s="117">
        <f t="shared" si="70"/>
        <v>-18603.790915336791</v>
      </c>
      <c r="AM39" s="117">
        <f t="shared" si="70"/>
        <v>-18490.266786126704</v>
      </c>
      <c r="AN39" s="117">
        <f t="shared" si="70"/>
        <v>-18377.057512923915</v>
      </c>
      <c r="AO39" s="117">
        <f t="shared" si="70"/>
        <v>-18264.162222484065</v>
      </c>
      <c r="AP39" s="117">
        <f t="shared" si="70"/>
        <v>-18151.580043984715</v>
      </c>
      <c r="AQ39" s="117">
        <f t="shared" si="70"/>
        <v>-18039.310109018628</v>
      </c>
      <c r="AR39" s="117">
        <f t="shared" si="70"/>
        <v>-17927.351551587071</v>
      </c>
      <c r="AS39" s="117">
        <f t="shared" si="70"/>
        <v>-17815.703508093131</v>
      </c>
      <c r="AT39" s="117">
        <f t="shared" si="70"/>
        <v>-17704.365117335063</v>
      </c>
      <c r="AU39" s="117">
        <f t="shared" si="70"/>
        <v>-17593.335520499633</v>
      </c>
      <c r="AV39" s="117">
        <f t="shared" si="70"/>
        <v>-17482.613861155507</v>
      </c>
      <c r="AW39" s="117">
        <f t="shared" si="70"/>
        <v>-17372.199285246639</v>
      </c>
      <c r="AX39" s="117">
        <f t="shared" si="70"/>
        <v>-17262.090941085684</v>
      </c>
      <c r="AY39" s="117">
        <f t="shared" si="70"/>
        <v>-17153.460085252875</v>
      </c>
      <c r="AZ39" s="117">
        <f t="shared" si="70"/>
        <v>-17045.130514070075</v>
      </c>
      <c r="BA39" s="117">
        <f t="shared" si="70"/>
        <v>-16937.101391932712</v>
      </c>
      <c r="BB39" s="117">
        <f t="shared" si="70"/>
        <v>-16829.37188555373</v>
      </c>
      <c r="BC39" s="117">
        <f t="shared" si="70"/>
        <v>-16721.941163957181</v>
      </c>
      <c r="BD39" s="117">
        <f t="shared" si="70"/>
        <v>-16614.808398471796</v>
      </c>
      <c r="BE39" s="117">
        <f t="shared" si="70"/>
        <v>-16507.97276272461</v>
      </c>
      <c r="BF39" s="117">
        <f t="shared" si="70"/>
        <v>-16401.433432634578</v>
      </c>
      <c r="BG39" s="117">
        <f t="shared" si="70"/>
        <v>-16295.189586406223</v>
      </c>
      <c r="BH39" s="117">
        <f t="shared" si="70"/>
        <v>-16189.240404523291</v>
      </c>
      <c r="BI39" s="117">
        <f t="shared" si="70"/>
        <v>-16083.585069742436</v>
      </c>
      <c r="BJ39" s="117">
        <f t="shared" si="70"/>
        <v>-15978.222767086911</v>
      </c>
      <c r="BK39" s="117">
        <f t="shared" si="70"/>
        <v>-15874.292754609802</v>
      </c>
      <c r="BL39" s="117">
        <f t="shared" si="70"/>
        <v>-15770.650989124717</v>
      </c>
      <c r="BM39" s="117">
        <f t="shared" si="70"/>
        <v>-15667.296671186659</v>
      </c>
      <c r="BN39" s="117">
        <f t="shared" si="70"/>
        <v>-15564.229003567872</v>
      </c>
      <c r="BO39" s="117">
        <f t="shared" si="70"/>
        <v>-15461.447191251687</v>
      </c>
      <c r="BP39" s="117">
        <f t="shared" ref="BP39:EA39" si="71">BO39+BP38</f>
        <v>-15358.950441426392</v>
      </c>
      <c r="BQ39" s="117">
        <f t="shared" si="71"/>
        <v>-15256.737963479116</v>
      </c>
      <c r="BR39" s="117">
        <f t="shared" si="71"/>
        <v>-15154.80896898973</v>
      </c>
      <c r="BS39" s="117">
        <f t="shared" si="71"/>
        <v>-15053.162671724767</v>
      </c>
      <c r="BT39" s="117">
        <f t="shared" si="71"/>
        <v>-14951.798287631358</v>
      </c>
      <c r="BU39" s="117">
        <f t="shared" si="71"/>
        <v>-14850.715034831181</v>
      </c>
      <c r="BV39" s="117">
        <f t="shared" si="71"/>
        <v>-14749.912133614433</v>
      </c>
      <c r="BW39" s="117">
        <f t="shared" si="71"/>
        <v>-14650.497885133937</v>
      </c>
      <c r="BX39" s="117">
        <f t="shared" si="71"/>
        <v>-14551.359359299919</v>
      </c>
      <c r="BY39" s="117">
        <f t="shared" si="71"/>
        <v>-14452.495791403308</v>
      </c>
      <c r="BZ39" s="117">
        <f t="shared" si="71"/>
        <v>-14353.90641885593</v>
      </c>
      <c r="CA39" s="117">
        <f t="shared" si="71"/>
        <v>-14255.590481184629</v>
      </c>
      <c r="CB39" s="117">
        <f t="shared" si="71"/>
        <v>-14157.547220025399</v>
      </c>
      <c r="CC39" s="117">
        <f t="shared" si="71"/>
        <v>-14059.775879117537</v>
      </c>
      <c r="CD39" s="117">
        <f t="shared" si="71"/>
        <v>-13962.275704297805</v>
      </c>
      <c r="CE39" s="117">
        <f t="shared" si="71"/>
        <v>-13865.045943494619</v>
      </c>
      <c r="CF39" s="117">
        <f t="shared" si="71"/>
        <v>-13768.085846722242</v>
      </c>
      <c r="CG39" s="117">
        <f t="shared" si="71"/>
        <v>-13671.394666075006</v>
      </c>
      <c r="CH39" s="117">
        <f t="shared" si="71"/>
        <v>-13574.971655721532</v>
      </c>
      <c r="CI39" s="117">
        <f t="shared" si="71"/>
        <v>-13479.895164536943</v>
      </c>
      <c r="CJ39" s="117">
        <f t="shared" si="71"/>
        <v>-13385.082365349912</v>
      </c>
      <c r="CK39" s="117">
        <f t="shared" si="71"/>
        <v>-13290.532526818033</v>
      </c>
      <c r="CL39" s="117">
        <f t="shared" si="71"/>
        <v>-13196.244919627261</v>
      </c>
      <c r="CM39" s="117">
        <f t="shared" si="71"/>
        <v>-13102.218816486284</v>
      </c>
      <c r="CN39" s="117">
        <f t="shared" si="71"/>
        <v>-13008.453492120909</v>
      </c>
      <c r="CO39" s="117">
        <f t="shared" si="71"/>
        <v>-12914.948223268471</v>
      </c>
      <c r="CP39" s="117">
        <f t="shared" si="71"/>
        <v>-12821.702288672259</v>
      </c>
      <c r="CQ39" s="117">
        <f t="shared" si="71"/>
        <v>-12728.714969075942</v>
      </c>
      <c r="CR39" s="117">
        <f t="shared" si="71"/>
        <v>-12635.985547218026</v>
      </c>
      <c r="CS39" s="117">
        <f t="shared" si="71"/>
        <v>-12543.513307826326</v>
      </c>
      <c r="CT39" s="117">
        <f t="shared" si="71"/>
        <v>-12451.297537612441</v>
      </c>
      <c r="CU39" s="117">
        <f t="shared" si="71"/>
        <v>-12360.387602154689</v>
      </c>
      <c r="CV39" s="117">
        <f t="shared" si="71"/>
        <v>-12269.729802868349</v>
      </c>
      <c r="CW39" s="117">
        <f t="shared" si="71"/>
        <v>-12179.323440460779</v>
      </c>
      <c r="CX39" s="117">
        <f t="shared" si="71"/>
        <v>-12089.167817578807</v>
      </c>
      <c r="CY39" s="117">
        <f t="shared" si="71"/>
        <v>-11999.262238803349</v>
      </c>
      <c r="CZ39" s="117">
        <f t="shared" si="71"/>
        <v>-11909.606010644045</v>
      </c>
      <c r="DA39" s="117">
        <f t="shared" si="71"/>
        <v>-11820.198441533916</v>
      </c>
      <c r="DB39" s="117">
        <f t="shared" si="71"/>
        <v>-11731.038841824018</v>
      </c>
      <c r="DC39" s="117">
        <f t="shared" si="71"/>
        <v>-11642.126523778135</v>
      </c>
      <c r="DD39" s="117">
        <f t="shared" si="71"/>
        <v>-11553.460801567468</v>
      </c>
      <c r="DE39" s="117">
        <f t="shared" si="71"/>
        <v>-11465.040991265339</v>
      </c>
      <c r="DF39" s="117">
        <f t="shared" si="71"/>
        <v>-11376.866410841931</v>
      </c>
      <c r="DG39" s="117">
        <f t="shared" si="71"/>
        <v>-11289.958377229799</v>
      </c>
      <c r="DH39" s="117">
        <f t="shared" si="71"/>
        <v>-11203.291380625886</v>
      </c>
      <c r="DI39" s="117">
        <f t="shared" si="71"/>
        <v>-11116.864752520765</v>
      </c>
      <c r="DJ39" s="117">
        <f t="shared" si="71"/>
        <v>-11030.677826259111</v>
      </c>
      <c r="DK39" s="117">
        <f t="shared" si="71"/>
        <v>-10944.729937034541</v>
      </c>
      <c r="DL39" s="117">
        <f t="shared" si="71"/>
        <v>-10859.020421884497</v>
      </c>
      <c r="DM39" s="117">
        <f t="shared" si="71"/>
        <v>-10773.548619685131</v>
      </c>
      <c r="DN39" s="117">
        <f t="shared" si="71"/>
        <v>-10688.3138711462</v>
      </c>
      <c r="DO39" s="117">
        <f t="shared" si="71"/>
        <v>-10603.315518805986</v>
      </c>
      <c r="DP39" s="117">
        <f t="shared" si="71"/>
        <v>-10518.552907026226</v>
      </c>
      <c r="DQ39" s="117">
        <f t="shared" si="71"/>
        <v>-10434.025381987043</v>
      </c>
      <c r="DR39" s="117">
        <f t="shared" si="71"/>
        <v>-10349.732291681919</v>
      </c>
      <c r="DS39" s="117">
        <f t="shared" si="71"/>
        <v>-10379.758565314978</v>
      </c>
      <c r="DT39" s="117">
        <f t="shared" si="71"/>
        <v>-10409.675928299695</v>
      </c>
      <c r="DU39" s="117">
        <f t="shared" si="71"/>
        <v>-10439.484775674413</v>
      </c>
      <c r="DV39" s="117">
        <f t="shared" si="71"/>
        <v>-10469.185501044596</v>
      </c>
      <c r="DW39" s="117">
        <f t="shared" si="71"/>
        <v>-10498.778496588035</v>
      </c>
      <c r="DX39" s="117">
        <f t="shared" si="71"/>
        <v>-10528.264153060019</v>
      </c>
      <c r="DY39" s="117">
        <f t="shared" si="71"/>
        <v>-10557.642859798501</v>
      </c>
      <c r="DZ39" s="117">
        <f t="shared" si="71"/>
        <v>-10586.915004729233</v>
      </c>
      <c r="EA39" s="117">
        <f t="shared" si="71"/>
        <v>-10616.080974370894</v>
      </c>
      <c r="EB39" s="117">
        <f t="shared" ref="EB39:GM39" si="72">EA39+EB38</f>
        <v>-10645.141153840188</v>
      </c>
      <c r="EC39" s="117">
        <f t="shared" si="72"/>
        <v>-10674.095926856933</v>
      </c>
      <c r="ED39" s="117">
        <f t="shared" si="72"/>
        <v>-10702.945675749128</v>
      </c>
      <c r="EE39" s="117">
        <f t="shared" si="72"/>
        <v>-10732.265683572175</v>
      </c>
      <c r="EF39" s="117">
        <f t="shared" si="72"/>
        <v>-10761.479342498906</v>
      </c>
      <c r="EG39" s="117">
        <f t="shared" si="72"/>
        <v>-10790.587038275729</v>
      </c>
      <c r="EH39" s="117">
        <f t="shared" si="72"/>
        <v>-10819.589155249883</v>
      </c>
      <c r="EI39" s="117">
        <f t="shared" si="72"/>
        <v>-10848.486076374513</v>
      </c>
      <c r="EJ39" s="117">
        <f t="shared" si="72"/>
        <v>-10877.278183213719</v>
      </c>
      <c r="EK39" s="117">
        <f t="shared" si="72"/>
        <v>-10905.965855947605</v>
      </c>
      <c r="EL39" s="117">
        <f t="shared" si="72"/>
        <v>-10934.549473377292</v>
      </c>
      <c r="EM39" s="117">
        <f t="shared" si="72"/>
        <v>-10963.029412929922</v>
      </c>
      <c r="EN39" s="117">
        <f t="shared" si="72"/>
        <v>-10991.406050663642</v>
      </c>
      <c r="EO39" s="117">
        <f t="shared" si="72"/>
        <v>-11019.679761272566</v>
      </c>
      <c r="EP39" s="117">
        <f t="shared" si="72"/>
        <v>-11047.850918091732</v>
      </c>
      <c r="EQ39" s="117">
        <f t="shared" si="72"/>
        <v>-11076.481272602225</v>
      </c>
      <c r="ER39" s="117">
        <f t="shared" si="72"/>
        <v>-11105.007779711936</v>
      </c>
      <c r="ES39" s="117">
        <f t="shared" si="72"/>
        <v>-11133.430816093904</v>
      </c>
      <c r="ET39" s="117">
        <f t="shared" si="72"/>
        <v>-11161.750757054906</v>
      </c>
      <c r="EU39" s="117">
        <f t="shared" si="72"/>
        <v>-11189.967976540418</v>
      </c>
      <c r="EV39" s="117">
        <f t="shared" si="72"/>
        <v>-11218.082847139549</v>
      </c>
      <c r="EW39" s="117">
        <f t="shared" si="72"/>
        <v>-11246.095740089957</v>
      </c>
      <c r="EX39" s="117">
        <f t="shared" si="72"/>
        <v>-11274.007025282759</v>
      </c>
      <c r="EY39" s="117">
        <f t="shared" si="72"/>
        <v>-11301.817071267407</v>
      </c>
      <c r="EZ39" s="117">
        <f t="shared" si="72"/>
        <v>-11329.526245256562</v>
      </c>
      <c r="FA39" s="117">
        <f t="shared" si="72"/>
        <v>-11357.134913130938</v>
      </c>
      <c r="FB39" s="117">
        <f t="shared" si="72"/>
        <v>-11384.643439444133</v>
      </c>
      <c r="FC39" s="117">
        <f t="shared" si="72"/>
        <v>-11412.600362387113</v>
      </c>
      <c r="FD39" s="117">
        <f t="shared" si="72"/>
        <v>-11440.455880585683</v>
      </c>
      <c r="FE39" s="117">
        <f t="shared" si="72"/>
        <v>-11468.210361852933</v>
      </c>
      <c r="FF39" s="117">
        <f t="shared" si="72"/>
        <v>-11495.864172667827</v>
      </c>
      <c r="FG39" s="117">
        <f t="shared" si="72"/>
        <v>-11523.417678180045</v>
      </c>
      <c r="FH39" s="117">
        <f t="shared" si="72"/>
        <v>-11550.871242214807</v>
      </c>
      <c r="FI39" s="117">
        <f t="shared" si="72"/>
        <v>-11578.225227277671</v>
      </c>
      <c r="FJ39" s="117">
        <f t="shared" si="72"/>
        <v>-11605.479994559324</v>
      </c>
      <c r="FK39" s="117">
        <f t="shared" si="72"/>
        <v>-11632.635903940349</v>
      </c>
      <c r="FL39" s="117">
        <f t="shared" si="72"/>
        <v>-11659.693313995978</v>
      </c>
      <c r="FM39" s="117">
        <f t="shared" si="72"/>
        <v>-11686.652582000828</v>
      </c>
      <c r="FN39" s="117">
        <f t="shared" si="72"/>
        <v>-11713.514063933617</v>
      </c>
      <c r="FO39" s="117">
        <f t="shared" si="72"/>
        <v>-11740.813395492829</v>
      </c>
      <c r="FP39" s="117">
        <f t="shared" si="72"/>
        <v>-11768.013707508833</v>
      </c>
      <c r="FQ39" s="117">
        <f t="shared" si="72"/>
        <v>-11795.115359143168</v>
      </c>
      <c r="FR39" s="117">
        <f t="shared" si="72"/>
        <v>-11822.118708254629</v>
      </c>
      <c r="FS39" s="117">
        <f t="shared" si="72"/>
        <v>-11849.024111403995</v>
      </c>
      <c r="FT39" s="117">
        <f t="shared" si="72"/>
        <v>-11875.831923858734</v>
      </c>
      <c r="FU39" s="117">
        <f t="shared" si="72"/>
        <v>-11902.542499597697</v>
      </c>
      <c r="FV39" s="117">
        <f t="shared" si="72"/>
        <v>-11929.156191315791</v>
      </c>
      <c r="FW39" s="117">
        <f t="shared" si="72"/>
        <v>-11955.673350428635</v>
      </c>
      <c r="FX39" s="117">
        <f t="shared" si="72"/>
        <v>-11982.094327077199</v>
      </c>
      <c r="FY39" s="117">
        <f t="shared" si="72"/>
        <v>-12008.419470132432</v>
      </c>
      <c r="FZ39" s="117">
        <f t="shared" si="72"/>
        <v>-12034.649127199866</v>
      </c>
      <c r="GA39" s="117">
        <f t="shared" si="72"/>
        <v>-12061.306334972687</v>
      </c>
      <c r="GB39" s="117">
        <f t="shared" si="72"/>
        <v>-12087.866852299769</v>
      </c>
      <c r="GC39" s="117">
        <f t="shared" si="72"/>
        <v>-12114.331029894596</v>
      </c>
      <c r="GD39" s="117">
        <f t="shared" si="72"/>
        <v>-12140.699217198558</v>
      </c>
      <c r="GE39" s="117">
        <f t="shared" si="72"/>
        <v>-12166.971762385554</v>
      </c>
      <c r="GF39" s="117">
        <f t="shared" si="72"/>
        <v>-12193.149012366595</v>
      </c>
      <c r="GG39" s="117">
        <f t="shared" si="72"/>
        <v>-12219.231312794387</v>
      </c>
      <c r="GH39" s="117">
        <f t="shared" si="72"/>
        <v>-12245.219008067888</v>
      </c>
      <c r="GI39" s="117">
        <f t="shared" si="72"/>
        <v>-12271.112441336862</v>
      </c>
      <c r="GJ39" s="117">
        <f t="shared" si="72"/>
        <v>-12296.911954506406</v>
      </c>
      <c r="GK39" s="117">
        <f t="shared" si="72"/>
        <v>-12322.617888241468</v>
      </c>
      <c r="GL39" s="117">
        <f t="shared" si="72"/>
        <v>-12348.230581971344</v>
      </c>
      <c r="GM39" s="117">
        <f t="shared" si="72"/>
        <v>-12374.260769732611</v>
      </c>
      <c r="GN39" s="117">
        <f t="shared" ref="GN39:IY39" si="73">GM39+GN38</f>
        <v>-12400.196541361522</v>
      </c>
      <c r="GO39" s="117">
        <f t="shared" si="73"/>
        <v>-12426.038239322223</v>
      </c>
      <c r="GP39" s="117">
        <f t="shared" si="73"/>
        <v>-12451.786204836682</v>
      </c>
      <c r="GQ39" s="117">
        <f t="shared" si="73"/>
        <v>-12477.440777889196</v>
      </c>
      <c r="GR39" s="117">
        <f t="shared" si="73"/>
        <v>-12503.002297230876</v>
      </c>
      <c r="GS39" s="117">
        <f t="shared" si="73"/>
        <v>-12528.471100384124</v>
      </c>
      <c r="GT39" s="117">
        <f t="shared" si="73"/>
        <v>-12553.847523647086</v>
      </c>
      <c r="GU39" s="117">
        <f t="shared" si="73"/>
        <v>-12579.131902098097</v>
      </c>
      <c r="GV39" s="117">
        <f t="shared" si="73"/>
        <v>-12604.324569600101</v>
      </c>
      <c r="GW39" s="117">
        <f t="shared" si="73"/>
        <v>-12629.425858805065</v>
      </c>
      <c r="GX39" s="117">
        <f t="shared" si="73"/>
        <v>-12654.436101158364</v>
      </c>
      <c r="GY39" s="117">
        <f t="shared" si="73"/>
        <v>-12679.85401741806</v>
      </c>
      <c r="GZ39" s="117">
        <f t="shared" si="73"/>
        <v>-12705.179738363306</v>
      </c>
      <c r="HA39" s="117">
        <f t="shared" si="73"/>
        <v>-12730.413598402947</v>
      </c>
      <c r="HB39" s="117">
        <f t="shared" si="73"/>
        <v>-12755.555930732868</v>
      </c>
      <c r="HC39" s="117">
        <f t="shared" si="73"/>
        <v>-12780.607067340392</v>
      </c>
      <c r="HD39" s="117">
        <f t="shared" si="73"/>
        <v>-12805.567339008665</v>
      </c>
      <c r="HE39" s="117">
        <f t="shared" si="73"/>
        <v>-12830.437075321022</v>
      </c>
      <c r="HF39" s="117">
        <f t="shared" si="73"/>
        <v>-12855.216604665344</v>
      </c>
      <c r="HG39" s="117">
        <f t="shared" si="73"/>
        <v>-12879.906254238387</v>
      </c>
      <c r="HH39" s="117">
        <f t="shared" si="73"/>
        <v>-12904.506350050109</v>
      </c>
      <c r="HI39" s="117">
        <f t="shared" si="73"/>
        <v>-12929.017216927969</v>
      </c>
      <c r="HJ39" s="117">
        <f t="shared" si="73"/>
        <v>-12953.439178521219</v>
      </c>
      <c r="HK39" s="117">
        <f t="shared" si="73"/>
        <v>-12978.259224880861</v>
      </c>
      <c r="HL39" s="117">
        <f t="shared" si="73"/>
        <v>-13002.989244506785</v>
      </c>
      <c r="HM39" s="117">
        <f t="shared" si="73"/>
        <v>-13027.629563942008</v>
      </c>
      <c r="HN39" s="117">
        <f t="shared" si="73"/>
        <v>-13052.180508545114</v>
      </c>
      <c r="HO39" s="117">
        <f t="shared" si="73"/>
        <v>-13076.642402494557</v>
      </c>
      <c r="HP39" s="117">
        <f t="shared" si="73"/>
        <v>-13101.015568792935</v>
      </c>
      <c r="HQ39" s="117">
        <f t="shared" si="73"/>
        <v>-13125.300329271258</v>
      </c>
      <c r="HR39" s="117">
        <f t="shared" si="73"/>
        <v>-13149.4970045932</v>
      </c>
      <c r="HS39" s="117">
        <f t="shared" si="73"/>
        <v>-13173.605914259331</v>
      </c>
      <c r="HT39" s="117">
        <f t="shared" si="73"/>
        <v>-13197.627376611332</v>
      </c>
      <c r="HU39" s="117">
        <f t="shared" si="73"/>
        <v>-13221.561708836203</v>
      </c>
      <c r="HV39" s="117">
        <f t="shared" si="73"/>
        <v>-13245.409226970452</v>
      </c>
      <c r="HW39" s="117">
        <f t="shared" si="73"/>
        <v>-13269.645466282942</v>
      </c>
      <c r="HX39" s="117">
        <f t="shared" si="73"/>
        <v>-13293.793796433971</v>
      </c>
      <c r="HY39" s="117">
        <f t="shared" si="73"/>
        <v>-13317.85453628574</v>
      </c>
      <c r="HZ39" s="117">
        <f t="shared" si="73"/>
        <v>-13341.828003543886</v>
      </c>
      <c r="IA39" s="117">
        <f t="shared" si="73"/>
        <v>-13365.714514761667</v>
      </c>
      <c r="IB39" s="117">
        <f t="shared" si="73"/>
        <v>-13389.514385344144</v>
      </c>
      <c r="IC39" s="117">
        <f t="shared" si="73"/>
        <v>-13413.227929552351</v>
      </c>
      <c r="ID39" s="117">
        <f t="shared" si="73"/>
        <v>-13436.855460507441</v>
      </c>
      <c r="IE39" s="117">
        <f t="shared" si="73"/>
        <v>-13460.397290194818</v>
      </c>
      <c r="IF39" s="117">
        <f t="shared" si="73"/>
        <v>-13483.853729468263</v>
      </c>
      <c r="IG39" s="117">
        <f t="shared" si="73"/>
        <v>-13507.22508805403</v>
      </c>
      <c r="IH39" s="117">
        <f t="shared" si="73"/>
        <v>-13530.511674554948</v>
      </c>
      <c r="II39" s="117">
        <f t="shared" si="73"/>
        <v>-13554.17783889247</v>
      </c>
      <c r="IJ39" s="117">
        <f t="shared" si="73"/>
        <v>-13577.758161832115</v>
      </c>
      <c r="IK39" s="117">
        <f t="shared" si="73"/>
        <v>-13601.252954735937</v>
      </c>
      <c r="IL39" s="117">
        <f t="shared" si="73"/>
        <v>-13624.662527836626</v>
      </c>
      <c r="IM39" s="117">
        <f t="shared" si="73"/>
        <v>-13647.987190241605</v>
      </c>
      <c r="IN39" s="117">
        <f t="shared" si="73"/>
        <v>-13671.227249937107</v>
      </c>
      <c r="IO39" s="117">
        <f t="shared" si="73"/>
        <v>-13694.383013792243</v>
      </c>
      <c r="IP39" s="117">
        <f t="shared" si="73"/>
        <v>-13717.454787563058</v>
      </c>
      <c r="IQ39" s="117">
        <f t="shared" si="73"/>
        <v>-13740.442875896562</v>
      </c>
      <c r="IR39" s="117">
        <f t="shared" si="73"/>
        <v>-13763.34758233476</v>
      </c>
      <c r="IS39" s="117">
        <f t="shared" si="73"/>
        <v>-13786.169209318652</v>
      </c>
      <c r="IT39" s="117">
        <f t="shared" si="73"/>
        <v>-13808.908058192234</v>
      </c>
      <c r="IU39" s="117">
        <f t="shared" si="73"/>
        <v>-13832.017556626755</v>
      </c>
      <c r="IV39" s="117">
        <f t="shared" si="73"/>
        <v>-13855.043232789885</v>
      </c>
      <c r="IW39" s="117">
        <f t="shared" si="73"/>
        <v>-13877.985390719949</v>
      </c>
      <c r="IX39" s="117">
        <f t="shared" si="73"/>
        <v>-13900.844333352468</v>
      </c>
      <c r="IY39" s="117">
        <f t="shared" si="73"/>
        <v>-13923.620362524165</v>
      </c>
      <c r="IZ39" s="117">
        <f t="shared" ref="IZ39:KP39" si="74">IY39+IZ38</f>
        <v>-13946.313778976946</v>
      </c>
      <c r="JA39" s="117">
        <f t="shared" si="74"/>
        <v>-13968.924882361875</v>
      </c>
      <c r="JB39" s="117">
        <f t="shared" si="74"/>
        <v>-13991.453971243123</v>
      </c>
      <c r="JC39" s="117">
        <f t="shared" si="74"/>
        <v>-14013.901343101921</v>
      </c>
      <c r="JD39" s="117">
        <f t="shared" si="74"/>
        <v>-14036.267294340478</v>
      </c>
      <c r="JE39" s="117">
        <f t="shared" si="74"/>
        <v>-14058.552120285902</v>
      </c>
      <c r="JF39" s="117">
        <f t="shared" si="74"/>
        <v>-14080.756115194097</v>
      </c>
      <c r="JG39" s="117">
        <f t="shared" si="74"/>
        <v>-14103.322041394838</v>
      </c>
      <c r="JH39" s="117">
        <f t="shared" si="74"/>
        <v>-14125.806116957603</v>
      </c>
      <c r="JI39" s="117">
        <f t="shared" si="74"/>
        <v>-14148.208638769249</v>
      </c>
      <c r="JJ39" s="117">
        <f t="shared" si="74"/>
        <v>-14170.529902639773</v>
      </c>
      <c r="JK39" s="117">
        <f t="shared" si="74"/>
        <v>-14192.770203306216</v>
      </c>
      <c r="JL39" s="117">
        <f t="shared" si="74"/>
        <v>-14214.929834436556</v>
      </c>
      <c r="JM39" s="117">
        <f t="shared" si="74"/>
        <v>-14237.009088633584</v>
      </c>
      <c r="JN39" s="117">
        <f t="shared" si="74"/>
        <v>-14259.008257438769</v>
      </c>
      <c r="JO39" s="117">
        <f t="shared" si="74"/>
        <v>-14280.927631336106</v>
      </c>
      <c r="JP39" s="117">
        <f t="shared" si="74"/>
        <v>-14302.767499755955</v>
      </c>
      <c r="JQ39" s="117">
        <f t="shared" si="74"/>
        <v>-14324.528151078859</v>
      </c>
      <c r="JR39" s="117">
        <f t="shared" si="74"/>
        <v>-14346.209872639352</v>
      </c>
      <c r="JS39" s="117">
        <f t="shared" si="74"/>
        <v>-14368.245012291567</v>
      </c>
      <c r="JT39" s="117">
        <f t="shared" si="74"/>
        <v>-14390.200226563258</v>
      </c>
      <c r="JU39" s="117">
        <f t="shared" si="74"/>
        <v>-14412.075805358032</v>
      </c>
      <c r="JV39" s="117">
        <f t="shared" si="74"/>
        <v>-14433.872037527964</v>
      </c>
      <c r="JW39" s="117">
        <f t="shared" si="74"/>
        <v>-14455.58921087741</v>
      </c>
      <c r="JX39" s="117">
        <f t="shared" si="74"/>
        <v>-14477.227612166807</v>
      </c>
      <c r="JY39" s="117">
        <f t="shared" si="74"/>
        <v>-14498.787527116465</v>
      </c>
      <c r="JZ39" s="117">
        <f t="shared" si="74"/>
        <v>-14520.269240410331</v>
      </c>
      <c r="KA39" s="117">
        <f t="shared" si="74"/>
        <v>-14541.673035699756</v>
      </c>
      <c r="KB39" s="117">
        <f t="shared" si="74"/>
        <v>-14562.999195607234</v>
      </c>
      <c r="KC39" s="117">
        <f t="shared" si="74"/>
        <v>-14584.248001730139</v>
      </c>
      <c r="KD39" s="117">
        <f t="shared" si="74"/>
        <v>-14605.419734644438</v>
      </c>
      <c r="KE39" s="117">
        <f t="shared" si="74"/>
        <v>-14626.936572693683</v>
      </c>
      <c r="KF39" s="117">
        <f t="shared" si="74"/>
        <v>-14648.375365334736</v>
      </c>
      <c r="KG39" s="117">
        <f t="shared" si="74"/>
        <v>-14669.736395652208</v>
      </c>
      <c r="KH39" s="117">
        <f t="shared" si="74"/>
        <v>-14691.019945703911</v>
      </c>
      <c r="KI39" s="117">
        <f t="shared" si="74"/>
        <v>-14712.226296524585</v>
      </c>
      <c r="KJ39" s="117">
        <f t="shared" si="74"/>
        <v>-14733.355728129607</v>
      </c>
      <c r="KK39" s="117">
        <f t="shared" si="74"/>
        <v>-14754.408519518687</v>
      </c>
      <c r="KL39" s="117">
        <f t="shared" si="74"/>
        <v>-14775.384948679553</v>
      </c>
      <c r="KM39" s="117">
        <f t="shared" si="74"/>
        <v>-14796.285292591623</v>
      </c>
      <c r="KN39" s="117">
        <f t="shared" si="74"/>
        <v>-14817.10982722966</v>
      </c>
      <c r="KO39" s="117">
        <f t="shared" si="74"/>
        <v>-14837.858827567419</v>
      </c>
      <c r="KP39" s="117">
        <f t="shared" si="74"/>
        <v>-14858.532567581275</v>
      </c>
    </row>
    <row r="41" spans="1:302" ht="18" customHeight="1" x14ac:dyDescent="0.2">
      <c r="A41" s="156" t="s">
        <v>453</v>
      </c>
      <c r="B41" s="153"/>
    </row>
    <row r="42" spans="1:302" ht="14" customHeight="1" x14ac:dyDescent="0.2">
      <c r="A42" s="76" t="s">
        <v>29</v>
      </c>
      <c r="B42" s="76" t="s">
        <v>454</v>
      </c>
      <c r="C42" s="76" t="s">
        <v>31</v>
      </c>
      <c r="D42" s="76" t="s">
        <v>32</v>
      </c>
      <c r="E42" s="76" t="s">
        <v>33</v>
      </c>
    </row>
    <row r="43" spans="1:302" ht="18" customHeight="1" x14ac:dyDescent="0.2">
      <c r="A43" s="108" t="s">
        <v>455</v>
      </c>
      <c r="B43" s="118">
        <f>SUM(C14:KP14)-Assumptions!$E$31</f>
        <v>10064.574409195615</v>
      </c>
      <c r="C43" s="118">
        <f>SUMPRODUCT(C12:KP12,C53:KP53)-Assumptions!$E$31</f>
        <v>8989.191577809841</v>
      </c>
      <c r="D43" s="118">
        <f>C43-B43</f>
        <v>-1075.3828313857739</v>
      </c>
      <c r="E43" s="119">
        <f>IF(B43&lt;&gt;0,D43/ABS(B43),0)</f>
        <v>-0.10684831644776135</v>
      </c>
    </row>
    <row r="44" spans="1:302" ht="18" customHeight="1" x14ac:dyDescent="0.2">
      <c r="A44" s="112" t="s">
        <v>456</v>
      </c>
      <c r="B44" s="120">
        <f>SUM(C26:KP26)-Assumptions!$E$31</f>
        <v>-21922.331993168176</v>
      </c>
      <c r="C44" s="120">
        <f>SUMPRODUCT(C24:KP24,C53:KP53)-Assumptions!$E$31</f>
        <v>-21904.569502395036</v>
      </c>
      <c r="D44" s="120">
        <f>C44-B44</f>
        <v>17.762490773140598</v>
      </c>
      <c r="E44" s="121">
        <f>IF(B44&lt;&gt;0,D44/ABS(B44),0)</f>
        <v>8.1024640894390514E-4</v>
      </c>
    </row>
    <row r="45" spans="1:302" ht="18" customHeight="1" x14ac:dyDescent="0.2">
      <c r="A45" s="115" t="s">
        <v>457</v>
      </c>
      <c r="B45" s="122">
        <f>SUM(C38:KP38)-Assumptions!$E$31</f>
        <v>-14858.532567581282</v>
      </c>
      <c r="C45" s="122">
        <f>SUMPRODUCT(C36:KP36,C53:KP53)-Assumptions!$E$31</f>
        <v>-15072.595135697036</v>
      </c>
      <c r="D45" s="122">
        <f>C45-B45</f>
        <v>-214.0625681157544</v>
      </c>
      <c r="E45" s="123">
        <f>IF(B45&lt;&gt;0,D45/ABS(B45),0)</f>
        <v>-1.4406709891581182E-2</v>
      </c>
    </row>
    <row r="53" spans="3:302" x14ac:dyDescent="0.2">
      <c r="C53" s="124">
        <f>1/(1+(120/300*WACC!$E$34+180/300*WACC!$E$35))^1</f>
        <v>0.99671412870628184</v>
      </c>
      <c r="D53" s="124">
        <f>1/(1+(120/300*WACC!$E$34+180/300*WACC!$E$35))^2</f>
        <v>0.9934390543627224</v>
      </c>
      <c r="E53" s="124">
        <f>1/(1+(120/300*WACC!$E$34+180/300*WACC!$E$35))^3</f>
        <v>0.99017474149193341</v>
      </c>
      <c r="F53" s="124">
        <f>1/(1+(120/300*WACC!$E$34+180/300*WACC!$E$35))^4</f>
        <v>0.98692115473310016</v>
      </c>
      <c r="G53" s="124">
        <f>1/(1+(120/300*WACC!$E$34+180/300*WACC!$E$35))^5</f>
        <v>0.98367825884159932</v>
      </c>
      <c r="H53" s="124">
        <f>1/(1+(120/300*WACC!$E$34+180/300*WACC!$E$35))^6</f>
        <v>0.98044601868861703</v>
      </c>
      <c r="I53" s="124">
        <f>1/(1+(120/300*WACC!$E$34+180/300*WACC!$E$35))^7</f>
        <v>0.97722439926076787</v>
      </c>
      <c r="J53" s="124">
        <f>1/(1+(120/300*WACC!$E$34+180/300*WACC!$E$35))^8</f>
        <v>0.97401336565971575</v>
      </c>
      <c r="K53" s="124">
        <f>1/(1+(120/300*WACC!$E$34+180/300*WACC!$E$35))^9</f>
        <v>0.9708128831017967</v>
      </c>
      <c r="L53" s="124">
        <f>1/(1+(120/300*WACC!$E$34+180/300*WACC!$E$35))^10</f>
        <v>0.96762291691764069</v>
      </c>
      <c r="M53" s="124">
        <f>1/(1+(120/300*WACC!$E$34+180/300*WACC!$E$35))^11</f>
        <v>0.9644434325517971</v>
      </c>
      <c r="N53" s="124">
        <f>1/(1+(120/300*WACC!$E$34+180/300*WACC!$E$35))^12</f>
        <v>0.96127439556235983</v>
      </c>
      <c r="O53" s="124">
        <f>1/(1+(120/300*WACC!$E$34+180/300*WACC!$E$35))^13</f>
        <v>0.95811577162059525</v>
      </c>
      <c r="P53" s="124">
        <f>1/(1+(120/300*WACC!$E$34+180/300*WACC!$E$35))^14</f>
        <v>0.95496752651056838</v>
      </c>
      <c r="Q53" s="124">
        <f>1/(1+(120/300*WACC!$E$34+180/300*WACC!$E$35))^15</f>
        <v>0.95182962612877431</v>
      </c>
      <c r="R53" s="124">
        <f>1/(1+(120/300*WACC!$E$34+180/300*WACC!$E$35))^16</f>
        <v>0.94870203648376705</v>
      </c>
      <c r="S53" s="124">
        <f>1/(1+(120/300*WACC!$E$34+180/300*WACC!$E$35))^17</f>
        <v>0.94558472369579305</v>
      </c>
      <c r="T53" s="124">
        <f>1/(1+(120/300*WACC!$E$34+180/300*WACC!$E$35))^18</f>
        <v>0.94247765399642269</v>
      </c>
      <c r="U53" s="124">
        <f>1/(1+(120/300*WACC!$E$34+180/300*WACC!$E$35))^19</f>
        <v>0.93938079372818484</v>
      </c>
      <c r="V53" s="124">
        <f>1/(1+(120/300*WACC!$E$34+180/300*WACC!$E$35))^20</f>
        <v>0.93629410934420298</v>
      </c>
      <c r="W53" s="124">
        <f>1/(1+(120/300*WACC!$E$34+180/300*WACC!$E$35))^21</f>
        <v>0.93321756740783157</v>
      </c>
      <c r="X53" s="124">
        <f>1/(1+(120/300*WACC!$E$34+180/300*WACC!$E$35))^22</f>
        <v>0.93015113459229248</v>
      </c>
      <c r="Y53" s="124">
        <f>1/(1+(120/300*WACC!$E$34+180/300*WACC!$E$35))^23</f>
        <v>0.92709477768031645</v>
      </c>
      <c r="Z53" s="124">
        <f>1/(1+(120/300*WACC!$E$34+180/300*WACC!$E$35))^24</f>
        <v>0.92404846356378045</v>
      </c>
      <c r="AA53" s="124">
        <f>1/(1+(120/300*WACC!$E$34+180/300*WACC!$E$35))^25</f>
        <v>0.92101215924335189</v>
      </c>
      <c r="AB53" s="124">
        <f>1/(1+(120/300*WACC!$E$34+180/300*WACC!$E$35))^26</f>
        <v>0.91798583182812865</v>
      </c>
      <c r="AC53" s="124">
        <f>1/(1+(120/300*WACC!$E$34+180/300*WACC!$E$35))^27</f>
        <v>0.91496944853528461</v>
      </c>
      <c r="AD53" s="124">
        <f>1/(1+(120/300*WACC!$E$34+180/300*WACC!$E$35))^28</f>
        <v>0.91196297668971316</v>
      </c>
      <c r="AE53" s="124">
        <f>1/(1+(120/300*WACC!$E$34+180/300*WACC!$E$35))^29</f>
        <v>0.90896638372367455</v>
      </c>
      <c r="AF53" s="124">
        <f>1/(1+(120/300*WACC!$E$34+180/300*WACC!$E$35))^30</f>
        <v>0.90597963717644214</v>
      </c>
      <c r="AG53" s="124">
        <f>1/(1+(120/300*WACC!$E$34+180/300*WACC!$E$35))^31</f>
        <v>0.90300270469395083</v>
      </c>
      <c r="AH53" s="124">
        <f>1/(1+(120/300*WACC!$E$34+180/300*WACC!$E$35))^32</f>
        <v>0.90003555402844704</v>
      </c>
      <c r="AI53" s="124">
        <f>1/(1+(120/300*WACC!$E$34+180/300*WACC!$E$35))^33</f>
        <v>0.8970781530381392</v>
      </c>
      <c r="AJ53" s="124">
        <f>1/(1+(120/300*WACC!$E$34+180/300*WACC!$E$35))^34</f>
        <v>0.89413046968684928</v>
      </c>
      <c r="AK53" s="124">
        <f>1/(1+(120/300*WACC!$E$34+180/300*WACC!$E$35))^35</f>
        <v>0.89119247204366658</v>
      </c>
      <c r="AL53" s="124">
        <f>1/(1+(120/300*WACC!$E$34+180/300*WACC!$E$35))^36</f>
        <v>0.88826412828260037</v>
      </c>
      <c r="AM53" s="124">
        <f>1/(1+(120/300*WACC!$E$34+180/300*WACC!$E$35))^37</f>
        <v>0.88534540668223705</v>
      </c>
      <c r="AN53" s="124">
        <f>1/(1+(120/300*WACC!$E$34+180/300*WACC!$E$35))^38</f>
        <v>0.88243627562539451</v>
      </c>
      <c r="AO53" s="124">
        <f>1/(1+(120/300*WACC!$E$34+180/300*WACC!$E$35))^39</f>
        <v>0.87953670359878156</v>
      </c>
      <c r="AP53" s="124">
        <f>1/(1+(120/300*WACC!$E$34+180/300*WACC!$E$35))^40</f>
        <v>0.87664665919265461</v>
      </c>
      <c r="AQ53" s="124">
        <f>1/(1+(120/300*WACC!$E$34+180/300*WACC!$E$35))^41</f>
        <v>0.87376611110047953</v>
      </c>
      <c r="AR53" s="124">
        <f>1/(1+(120/300*WACC!$E$34+180/300*WACC!$E$35))^42</f>
        <v>0.87089502811859065</v>
      </c>
      <c r="AS53" s="124">
        <f>1/(1+(120/300*WACC!$E$34+180/300*WACC!$E$35))^43</f>
        <v>0.86803337914585388</v>
      </c>
      <c r="AT53" s="124">
        <f>1/(1+(120/300*WACC!$E$34+180/300*WACC!$E$35))^44</f>
        <v>0.86518113318332901</v>
      </c>
      <c r="AU53" s="124">
        <f>1/(1+(120/300*WACC!$E$34+180/300*WACC!$E$35))^45</f>
        <v>0.86233825933393538</v>
      </c>
      <c r="AV53" s="124">
        <f>1/(1+(120/300*WACC!$E$34+180/300*WACC!$E$35))^46</f>
        <v>0.85950472680211509</v>
      </c>
      <c r="AW53" s="124">
        <f>1/(1+(120/300*WACC!$E$34+180/300*WACC!$E$35))^47</f>
        <v>0.856680504893501</v>
      </c>
      <c r="AX53" s="124">
        <f>1/(1+(120/300*WACC!$E$34+180/300*WACC!$E$35))^48</f>
        <v>0.85386556301458316</v>
      </c>
      <c r="AY53" s="124">
        <f>1/(1+(120/300*WACC!$E$34+180/300*WACC!$E$35))^49</f>
        <v>0.85105987067237909</v>
      </c>
      <c r="AZ53" s="124">
        <f>1/(1+(120/300*WACC!$E$34+180/300*WACC!$E$35))^50</f>
        <v>0.84826339747410118</v>
      </c>
      <c r="BA53" s="124">
        <f>1/(1+(120/300*WACC!$E$34+180/300*WACC!$E$35))^51</f>
        <v>0.84547611312682913</v>
      </c>
      <c r="BB53" s="124">
        <f>1/(1+(120/300*WACC!$E$34+180/300*WACC!$E$35))^52</f>
        <v>0.84269798743718105</v>
      </c>
      <c r="BC53" s="124">
        <f>1/(1+(120/300*WACC!$E$34+180/300*WACC!$E$35))^53</f>
        <v>0.83992899031098722</v>
      </c>
      <c r="BD53" s="124">
        <f>1/(1+(120/300*WACC!$E$34+180/300*WACC!$E$35))^54</f>
        <v>0.8371690917529625</v>
      </c>
      <c r="BE53" s="124">
        <f>1/(1+(120/300*WACC!$E$34+180/300*WACC!$E$35))^55</f>
        <v>0.83441826186638357</v>
      </c>
      <c r="BF53" s="124">
        <f>1/(1+(120/300*WACC!$E$34+180/300*WACC!$E$35))^56</f>
        <v>0.83167647085276231</v>
      </c>
      <c r="BG53" s="124">
        <f>1/(1+(120/300*WACC!$E$34+180/300*WACC!$E$35))^57</f>
        <v>0.82894368901152649</v>
      </c>
      <c r="BH53" s="124">
        <f>1/(1+(120/300*WACC!$E$34+180/300*WACC!$E$35))^58</f>
        <v>0.8262198867396946</v>
      </c>
      <c r="BI53" s="124">
        <f>1/(1+(120/300*WACC!$E$34+180/300*WACC!$E$35))^59</f>
        <v>0.82350503453155754</v>
      </c>
      <c r="BJ53" s="124">
        <f>1/(1+(120/300*WACC!$E$34+180/300*WACC!$E$35))^60</f>
        <v>0.82079910297835756</v>
      </c>
      <c r="BK53" s="124">
        <f>1/(1+(120/300*WACC!$E$34+180/300*WACC!$E$35))^61</f>
        <v>0.81810206276797148</v>
      </c>
      <c r="BL53" s="124">
        <f>1/(1+(120/300*WACC!$E$34+180/300*WACC!$E$35))^62</f>
        <v>0.81541388468459053</v>
      </c>
      <c r="BM53" s="124">
        <f>1/(1+(120/300*WACC!$E$34+180/300*WACC!$E$35))^63</f>
        <v>0.81273453960840614</v>
      </c>
      <c r="BN53" s="124">
        <f>1/(1+(120/300*WACC!$E$34+180/300*WACC!$E$35))^64</f>
        <v>0.81006399851529354</v>
      </c>
      <c r="BO53" s="124">
        <f>1/(1+(120/300*WACC!$E$34+180/300*WACC!$E$35))^65</f>
        <v>0.80740223247649745</v>
      </c>
      <c r="BP53" s="124">
        <f>1/(1+(120/300*WACC!$E$34+180/300*WACC!$E$35))^66</f>
        <v>0.804749212658319</v>
      </c>
      <c r="BQ53" s="124">
        <f>1/(1+(120/300*WACC!$E$34+180/300*WACC!$E$35))^67</f>
        <v>0.80210491032180276</v>
      </c>
      <c r="BR53" s="124">
        <f>1/(1+(120/300*WACC!$E$34+180/300*WACC!$E$35))^68</f>
        <v>0.79946929682242573</v>
      </c>
      <c r="BS53" s="124">
        <f>1/(1+(120/300*WACC!$E$34+180/300*WACC!$E$35))^69</f>
        <v>0.7968423436097879</v>
      </c>
      <c r="BT53" s="124">
        <f>1/(1+(120/300*WACC!$E$34+180/300*WACC!$E$35))^70</f>
        <v>0.79422402222730137</v>
      </c>
      <c r="BU53" s="124">
        <f>1/(1+(120/300*WACC!$E$34+180/300*WACC!$E$35))^71</f>
        <v>0.79161430431188329</v>
      </c>
      <c r="BV53" s="124">
        <f>1/(1+(120/300*WACC!$E$34+180/300*WACC!$E$35))^72</f>
        <v>0.78901316159364798</v>
      </c>
      <c r="BW53" s="124">
        <f>1/(1+(120/300*WACC!$E$34+180/300*WACC!$E$35))^73</f>
        <v>0.78642056589560172</v>
      </c>
      <c r="BX53" s="124">
        <f>1/(1+(120/300*WACC!$E$34+180/300*WACC!$E$35))^74</f>
        <v>0.78383648913333559</v>
      </c>
      <c r="BY53" s="124">
        <f>1/(1+(120/300*WACC!$E$34+180/300*WACC!$E$35))^75</f>
        <v>0.78126090331472364</v>
      </c>
      <c r="BZ53" s="124">
        <f>1/(1+(120/300*WACC!$E$34+180/300*WACC!$E$35))^76</f>
        <v>0.77869378053961724</v>
      </c>
      <c r="CA53" s="124">
        <f>1/(1+(120/300*WACC!$E$34+180/300*WACC!$E$35))^77</f>
        <v>0.7761350929995452</v>
      </c>
      <c r="CB53" s="124">
        <f>1/(1+(120/300*WACC!$E$34+180/300*WACC!$E$35))^78</f>
        <v>0.77358481297741055</v>
      </c>
      <c r="CC53" s="124">
        <f>1/(1+(120/300*WACC!$E$34+180/300*WACC!$E$35))^79</f>
        <v>0.77104291284719184</v>
      </c>
      <c r="CD53" s="124">
        <f>1/(1+(120/300*WACC!$E$34+180/300*WACC!$E$35))^80</f>
        <v>0.76850936507364231</v>
      </c>
      <c r="CE53" s="124">
        <f>1/(1+(120/300*WACC!$E$34+180/300*WACC!$E$35))^81</f>
        <v>0.76598414221199307</v>
      </c>
      <c r="CF53" s="124">
        <f>1/(1+(120/300*WACC!$E$34+180/300*WACC!$E$35))^82</f>
        <v>0.76346721690765551</v>
      </c>
      <c r="CG53" s="124">
        <f>1/(1+(120/300*WACC!$E$34+180/300*WACC!$E$35))^83</f>
        <v>0.76095856189592359</v>
      </c>
      <c r="CH53" s="124">
        <f>1/(1+(120/300*WACC!$E$34+180/300*WACC!$E$35))^84</f>
        <v>0.7584581500016806</v>
      </c>
      <c r="CI53" s="124">
        <f>1/(1+(120/300*WACC!$E$34+180/300*WACC!$E$35))^85</f>
        <v>0.7559659541391035</v>
      </c>
      <c r="CJ53" s="124">
        <f>1/(1+(120/300*WACC!$E$34+180/300*WACC!$E$35))^86</f>
        <v>0.75348194731136942</v>
      </c>
      <c r="CK53" s="124">
        <f>1/(1+(120/300*WACC!$E$34+180/300*WACC!$E$35))^87</f>
        <v>0.75100610261036427</v>
      </c>
      <c r="CL53" s="124">
        <f>1/(1+(120/300*WACC!$E$34+180/300*WACC!$E$35))^88</f>
        <v>0.7485383932163896</v>
      </c>
      <c r="CM53" s="124">
        <f>1/(1+(120/300*WACC!$E$34+180/300*WACC!$E$35))^89</f>
        <v>0.74607879239787389</v>
      </c>
      <c r="CN53" s="124">
        <f>1/(1+(120/300*WACC!$E$34+180/300*WACC!$E$35))^90</f>
        <v>0.74362727351108171</v>
      </c>
      <c r="CO53" s="124">
        <f>1/(1+(120/300*WACC!$E$34+180/300*WACC!$E$35))^91</f>
        <v>0.74118380999982569</v>
      </c>
      <c r="CP53" s="124">
        <f>1/(1+(120/300*WACC!$E$34+180/300*WACC!$E$35))^92</f>
        <v>0.73874837539517846</v>
      </c>
      <c r="CQ53" s="124">
        <f>1/(1+(120/300*WACC!$E$34+180/300*WACC!$E$35))^93</f>
        <v>0.73632094331518649</v>
      </c>
      <c r="CR53" s="124">
        <f>1/(1+(120/300*WACC!$E$34+180/300*WACC!$E$35))^94</f>
        <v>0.7339014874645835</v>
      </c>
      <c r="CS53" s="124">
        <f>1/(1+(120/300*WACC!$E$34+180/300*WACC!$E$35))^95</f>
        <v>0.73148998163450663</v>
      </c>
      <c r="CT53" s="124">
        <f>1/(1+(120/300*WACC!$E$34+180/300*WACC!$E$35))^96</f>
        <v>0.72908639970221123</v>
      </c>
      <c r="CU53" s="124">
        <f>1/(1+(120/300*WACC!$E$34+180/300*WACC!$E$35))^97</f>
        <v>0.72669071563078946</v>
      </c>
      <c r="CV53" s="124">
        <f>1/(1+(120/300*WACC!$E$34+180/300*WACC!$E$35))^98</f>
        <v>0.72430290346888659</v>
      </c>
      <c r="CW53" s="124">
        <f>1/(1+(120/300*WACC!$E$34+180/300*WACC!$E$35))^99</f>
        <v>0.72192293735042157</v>
      </c>
      <c r="CX53" s="124">
        <f>1/(1+(120/300*WACC!$E$34+180/300*WACC!$E$35))^100</f>
        <v>0.7195507914943049</v>
      </c>
      <c r="CY53" s="124">
        <f>1/(1+(120/300*WACC!$E$34+180/300*WACC!$E$35))^101</f>
        <v>0.71718644020416156</v>
      </c>
      <c r="CZ53" s="124">
        <f>1/(1+(120/300*WACC!$E$34+180/300*WACC!$E$35))^102</f>
        <v>0.71482985786805076</v>
      </c>
      <c r="DA53" s="124">
        <f>1/(1+(120/300*WACC!$E$34+180/300*WACC!$E$35))^103</f>
        <v>0.7124810189581896</v>
      </c>
      <c r="DB53" s="124">
        <f>1/(1+(120/300*WACC!$E$34+180/300*WACC!$E$35))^104</f>
        <v>0.71013989803067556</v>
      </c>
      <c r="DC53" s="124">
        <f>1/(1+(120/300*WACC!$E$34+180/300*WACC!$E$35))^105</f>
        <v>0.70780646972521266</v>
      </c>
      <c r="DD53" s="124">
        <f>1/(1+(120/300*WACC!$E$34+180/300*WACC!$E$35))^106</f>
        <v>0.7054807087648346</v>
      </c>
      <c r="DE53" s="124">
        <f>1/(1+(120/300*WACC!$E$34+180/300*WACC!$E$35))^107</f>
        <v>0.70316258995563219</v>
      </c>
      <c r="DF53" s="124">
        <f>1/(1+(120/300*WACC!$E$34+180/300*WACC!$E$35))^108</f>
        <v>0.70085208818648015</v>
      </c>
      <c r="DG53" s="124">
        <f>1/(1+(120/300*WACC!$E$34+180/300*WACC!$E$35))^109</f>
        <v>0.69854917842876585</v>
      </c>
      <c r="DH53" s="124">
        <f>1/(1+(120/300*WACC!$E$34+180/300*WACC!$E$35))^110</f>
        <v>0.69625383573611632</v>
      </c>
      <c r="DI53" s="124">
        <f>1/(1+(120/300*WACC!$E$34+180/300*WACC!$E$35))^111</f>
        <v>0.69396603524413003</v>
      </c>
      <c r="DJ53" s="124">
        <f>1/(1+(120/300*WACC!$E$34+180/300*WACC!$E$35))^112</f>
        <v>0.69168575217010564</v>
      </c>
      <c r="DK53" s="124">
        <f>1/(1+(120/300*WACC!$E$34+180/300*WACC!$E$35))^113</f>
        <v>0.689412961812776</v>
      </c>
      <c r="DL53" s="124">
        <f>1/(1+(120/300*WACC!$E$34+180/300*WACC!$E$35))^114</f>
        <v>0.68714763955203817</v>
      </c>
      <c r="DM53" s="124">
        <f>1/(1+(120/300*WACC!$E$34+180/300*WACC!$E$35))^115</f>
        <v>0.6848897608486878</v>
      </c>
      <c r="DN53" s="124">
        <f>1/(1+(120/300*WACC!$E$34+180/300*WACC!$E$35))^116</f>
        <v>0.68263930124415351</v>
      </c>
      <c r="DO53" s="124">
        <f>1/(1+(120/300*WACC!$E$34+180/300*WACC!$E$35))^117</f>
        <v>0.68039623636023161</v>
      </c>
      <c r="DP53" s="124">
        <f>1/(1+(120/300*WACC!$E$34+180/300*WACC!$E$35))^118</f>
        <v>0.67816054189882136</v>
      </c>
      <c r="DQ53" s="124">
        <f>1/(1+(120/300*WACC!$E$34+180/300*WACC!$E$35))^119</f>
        <v>0.6759321936416639</v>
      </c>
      <c r="DR53" s="124">
        <f>1/(1+(120/300*WACC!$E$34+180/300*WACC!$E$35))^120</f>
        <v>0.67371116745007653</v>
      </c>
      <c r="DS53" s="124">
        <f>1/(1+(120/300*WACC!$E$34+180/300*WACC!$E$35))^121</f>
        <v>0.67149743926469518</v>
      </c>
      <c r="DT53" s="124">
        <f>1/(1+(120/300*WACC!$E$34+180/300*WACC!$E$35))^122</f>
        <v>0.6692909851052099</v>
      </c>
      <c r="DU53" s="124">
        <f>1/(1+(120/300*WACC!$E$34+180/300*WACC!$E$35))^123</f>
        <v>0.66709178107010836</v>
      </c>
      <c r="DV53" s="124">
        <f>1/(1+(120/300*WACC!$E$34+180/300*WACC!$E$35))^124</f>
        <v>0.66489980333641452</v>
      </c>
      <c r="DW53" s="124">
        <f>1/(1+(120/300*WACC!$E$34+180/300*WACC!$E$35))^125</f>
        <v>0.66271502815943251</v>
      </c>
      <c r="DX53" s="124">
        <f>1/(1+(120/300*WACC!$E$34+180/300*WACC!$E$35))^126</f>
        <v>0.66053743187248792</v>
      </c>
      <c r="DY53" s="124">
        <f>1/(1+(120/300*WACC!$E$34+180/300*WACC!$E$35))^127</f>
        <v>0.65836699088667161</v>
      </c>
      <c r="DZ53" s="124">
        <f>1/(1+(120/300*WACC!$E$34+180/300*WACC!$E$35))^128</f>
        <v>0.65620368169058541</v>
      </c>
      <c r="EA53" s="124">
        <f>1/(1+(120/300*WACC!$E$34+180/300*WACC!$E$35))^129</f>
        <v>0.65404748085008624</v>
      </c>
      <c r="EB53" s="124">
        <f>1/(1+(120/300*WACC!$E$34+180/300*WACC!$E$35))^130</f>
        <v>0.65189836500803222</v>
      </c>
      <c r="EC53" s="124">
        <f>1/(1+(120/300*WACC!$E$34+180/300*WACC!$E$35))^131</f>
        <v>0.64975631088403041</v>
      </c>
      <c r="ED53" s="124">
        <f>1/(1+(120/300*WACC!$E$34+180/300*WACC!$E$35))^132</f>
        <v>0.64762129527418422</v>
      </c>
      <c r="EE53" s="124">
        <f>1/(1+(120/300*WACC!$E$34+180/300*WACC!$E$35))^133</f>
        <v>0.64549329505084219</v>
      </c>
      <c r="EF53" s="124">
        <f>1/(1+(120/300*WACC!$E$34+180/300*WACC!$E$35))^134</f>
        <v>0.64337228716234707</v>
      </c>
      <c r="EG53" s="124">
        <f>1/(1+(120/300*WACC!$E$34+180/300*WACC!$E$35))^135</f>
        <v>0.64125824863278647</v>
      </c>
      <c r="EH53" s="124">
        <f>1/(1+(120/300*WACC!$E$34+180/300*WACC!$E$35))^136</f>
        <v>0.63915115656174404</v>
      </c>
      <c r="EI53" s="124">
        <f>1/(1+(120/300*WACC!$E$34+180/300*WACC!$E$35))^137</f>
        <v>0.63705098812405092</v>
      </c>
      <c r="EJ53" s="124">
        <f>1/(1+(120/300*WACC!$E$34+180/300*WACC!$E$35))^138</f>
        <v>0.63495772056953925</v>
      </c>
      <c r="EK53" s="124">
        <f>1/(1+(120/300*WACC!$E$34+180/300*WACC!$E$35))^139</f>
        <v>0.63287133122279515</v>
      </c>
      <c r="EL53" s="124">
        <f>1/(1+(120/300*WACC!$E$34+180/300*WACC!$E$35))^140</f>
        <v>0.63079179748291281</v>
      </c>
      <c r="EM53" s="124">
        <f>1/(1+(120/300*WACC!$E$34+180/300*WACC!$E$35))^141</f>
        <v>0.62871909682325078</v>
      </c>
      <c r="EN53" s="124">
        <f>1/(1+(120/300*WACC!$E$34+180/300*WACC!$E$35))^142</f>
        <v>0.62665320679118675</v>
      </c>
      <c r="EO53" s="124">
        <f>1/(1+(120/300*WACC!$E$34+180/300*WACC!$E$35))^143</f>
        <v>0.62459410500787516</v>
      </c>
      <c r="EP53" s="124">
        <f>1/(1+(120/300*WACC!$E$34+180/300*WACC!$E$35))^144</f>
        <v>0.62254176916800408</v>
      </c>
      <c r="EQ53" s="124">
        <f>1/(1+(120/300*WACC!$E$34+180/300*WACC!$E$35))^145</f>
        <v>0.6204961770395544</v>
      </c>
      <c r="ER53" s="124">
        <f>1/(1+(120/300*WACC!$E$34+180/300*WACC!$E$35))^146</f>
        <v>0.61845730646355823</v>
      </c>
      <c r="ES53" s="124">
        <f>1/(1+(120/300*WACC!$E$34+180/300*WACC!$E$35))^147</f>
        <v>0.61642513535385934</v>
      </c>
      <c r="ET53" s="124">
        <f>1/(1+(120/300*WACC!$E$34+180/300*WACC!$E$35))^148</f>
        <v>0.61439964169687356</v>
      </c>
      <c r="EU53" s="124">
        <f>1/(1+(120/300*WACC!$E$34+180/300*WACC!$E$35))^149</f>
        <v>0.61238080355135116</v>
      </c>
      <c r="EV53" s="124">
        <f>1/(1+(120/300*WACC!$E$34+180/300*WACC!$E$35))^150</f>
        <v>0.61036859904813756</v>
      </c>
      <c r="EW53" s="124">
        <f>1/(1+(120/300*WACC!$E$34+180/300*WACC!$E$35))^151</f>
        <v>0.60836300638993845</v>
      </c>
      <c r="EX53" s="124">
        <f>1/(1+(120/300*WACC!$E$34+180/300*WACC!$E$35))^152</f>
        <v>0.60636400385108158</v>
      </c>
      <c r="EY53" s="124">
        <f>1/(1+(120/300*WACC!$E$34+180/300*WACC!$E$35))^153</f>
        <v>0.60437156977728324</v>
      </c>
      <c r="EZ53" s="124">
        <f>1/(1+(120/300*WACC!$E$34+180/300*WACC!$E$35))^154</f>
        <v>0.6023856825854127</v>
      </c>
      <c r="FA53" s="124">
        <f>1/(1+(120/300*WACC!$E$34+180/300*WACC!$E$35))^155</f>
        <v>0.60040632076325839</v>
      </c>
      <c r="FB53" s="124">
        <f>1/(1+(120/300*WACC!$E$34+180/300*WACC!$E$35))^156</f>
        <v>0.59843346286929533</v>
      </c>
      <c r="FC53" s="124">
        <f>1/(1+(120/300*WACC!$E$34+180/300*WACC!$E$35))^157</f>
        <v>0.5964670875324527</v>
      </c>
      <c r="FD53" s="124">
        <f>1/(1+(120/300*WACC!$E$34+180/300*WACC!$E$35))^158</f>
        <v>0.59450717345188209</v>
      </c>
      <c r="FE53" s="124">
        <f>1/(1+(120/300*WACC!$E$34+180/300*WACC!$E$35))^159</f>
        <v>0.59255369939672697</v>
      </c>
      <c r="FF53" s="124">
        <f>1/(1+(120/300*WACC!$E$34+180/300*WACC!$E$35))^160</f>
        <v>0.59060664420589282</v>
      </c>
      <c r="FG53" s="124">
        <f>1/(1+(120/300*WACC!$E$34+180/300*WACC!$E$35))^161</f>
        <v>0.58866598678781745</v>
      </c>
      <c r="FH53" s="124">
        <f>1/(1+(120/300*WACC!$E$34+180/300*WACC!$E$35))^162</f>
        <v>0.58673170612024295</v>
      </c>
      <c r="FI53" s="124">
        <f>1/(1+(120/300*WACC!$E$34+180/300*WACC!$E$35))^163</f>
        <v>0.58480378124998822</v>
      </c>
      <c r="FJ53" s="124">
        <f>1/(1+(120/300*WACC!$E$34+180/300*WACC!$E$35))^164</f>
        <v>0.5828821912927209</v>
      </c>
      <c r="FK53" s="124">
        <f>1/(1+(120/300*WACC!$E$34+180/300*WACC!$E$35))^165</f>
        <v>0.5809669154327326</v>
      </c>
      <c r="FL53" s="124">
        <f>1/(1+(120/300*WACC!$E$34+180/300*WACC!$E$35))^166</f>
        <v>0.57905793292271202</v>
      </c>
      <c r="FM53" s="124">
        <f>1/(1+(120/300*WACC!$E$34+180/300*WACC!$E$35))^167</f>
        <v>0.57715522308352174</v>
      </c>
      <c r="FN53" s="124">
        <f>1/(1+(120/300*WACC!$E$34+180/300*WACC!$E$35))^168</f>
        <v>0.5752587653039718</v>
      </c>
      <c r="FO53" s="124">
        <f>1/(1+(120/300*WACC!$E$34+180/300*WACC!$E$35))^169</f>
        <v>0.57336853904059981</v>
      </c>
      <c r="FP53" s="124">
        <f>1/(1+(120/300*WACC!$E$34+180/300*WACC!$E$35))^170</f>
        <v>0.57148452381744508</v>
      </c>
      <c r="FQ53" s="124">
        <f>1/(1+(120/300*WACC!$E$34+180/300*WACC!$E$35))^171</f>
        <v>0.56960669922582918</v>
      </c>
      <c r="FR53" s="124">
        <f>1/(1+(120/300*WACC!$E$34+180/300*WACC!$E$35))^172</f>
        <v>0.56773504492413329</v>
      </c>
      <c r="FS53" s="124">
        <f>1/(1+(120/300*WACC!$E$34+180/300*WACC!$E$35))^173</f>
        <v>0.56586954063757933</v>
      </c>
      <c r="FT53" s="124">
        <f>1/(1+(120/300*WACC!$E$34+180/300*WACC!$E$35))^174</f>
        <v>0.5640101661580087</v>
      </c>
      <c r="FU53" s="124">
        <f>1/(1+(120/300*WACC!$E$34+180/300*WACC!$E$35))^175</f>
        <v>0.56215690134366503</v>
      </c>
      <c r="FV53" s="124">
        <f>1/(1+(120/300*WACC!$E$34+180/300*WACC!$E$35))^176</f>
        <v>0.56030972611897412</v>
      </c>
      <c r="FW53" s="124">
        <f>1/(1+(120/300*WACC!$E$34+180/300*WACC!$E$35))^177</f>
        <v>0.55846862047432866</v>
      </c>
      <c r="FX53" s="124">
        <f>1/(1+(120/300*WACC!$E$34+180/300*WACC!$E$35))^178</f>
        <v>0.55663356446586965</v>
      </c>
      <c r="FY53" s="124">
        <f>1/(1+(120/300*WACC!$E$34+180/300*WACC!$E$35))^179</f>
        <v>0.5548045382152712</v>
      </c>
      <c r="FZ53" s="124">
        <f>1/(1+(120/300*WACC!$E$34+180/300*WACC!$E$35))^180</f>
        <v>0.55298152190952499</v>
      </c>
      <c r="GA53" s="124">
        <f>1/(1+(120/300*WACC!$E$34+180/300*WACC!$E$35))^181</f>
        <v>0.55116449580072591</v>
      </c>
      <c r="GB53" s="124">
        <f>1/(1+(120/300*WACC!$E$34+180/300*WACC!$E$35))^182</f>
        <v>0.54935344020585752</v>
      </c>
      <c r="GC53" s="124">
        <f>1/(1+(120/300*WACC!$E$34+180/300*WACC!$E$35))^183</f>
        <v>0.54754833550657989</v>
      </c>
      <c r="GD53" s="124">
        <f>1/(1+(120/300*WACC!$E$34+180/300*WACC!$E$35))^184</f>
        <v>0.54574916214901559</v>
      </c>
      <c r="GE53" s="124">
        <f>1/(1+(120/300*WACC!$E$34+180/300*WACC!$E$35))^185</f>
        <v>0.54395590064353938</v>
      </c>
      <c r="GF53" s="124">
        <f>1/(1+(120/300*WACC!$E$34+180/300*WACC!$E$35))^186</f>
        <v>0.54216853156456613</v>
      </c>
      <c r="GG53" s="124">
        <f>1/(1+(120/300*WACC!$E$34+180/300*WACC!$E$35))^187</f>
        <v>0.54038703555034073</v>
      </c>
      <c r="GH53" s="124">
        <f>1/(1+(120/300*WACC!$E$34+180/300*WACC!$E$35))^188</f>
        <v>0.53861139330272823</v>
      </c>
      <c r="GI53" s="124">
        <f>1/(1+(120/300*WACC!$E$34+180/300*WACC!$E$35))^189</f>
        <v>0.53684158558700534</v>
      </c>
      <c r="GJ53" s="124">
        <f>1/(1+(120/300*WACC!$E$34+180/300*WACC!$E$35))^190</f>
        <v>0.53507759323165083</v>
      </c>
      <c r="GK53" s="124">
        <f>1/(1+(120/300*WACC!$E$34+180/300*WACC!$E$35))^191</f>
        <v>0.53331939712813903</v>
      </c>
      <c r="GL53" s="124">
        <f>1/(1+(120/300*WACC!$E$34+180/300*WACC!$E$35))^192</f>
        <v>0.53156697823073251</v>
      </c>
      <c r="GM53" s="124">
        <f>1/(1+(120/300*WACC!$E$34+180/300*WACC!$E$35))^193</f>
        <v>0.52982031755627568</v>
      </c>
      <c r="GN53" s="124">
        <f>1/(1+(120/300*WACC!$E$34+180/300*WACC!$E$35))^194</f>
        <v>0.52807939618398891</v>
      </c>
      <c r="GO53" s="124">
        <f>1/(1+(120/300*WACC!$E$34+180/300*WACC!$E$35))^195</f>
        <v>0.52634419525526377</v>
      </c>
      <c r="GP53" s="124">
        <f>1/(1+(120/300*WACC!$E$34+180/300*WACC!$E$35))^196</f>
        <v>0.52461469597345922</v>
      </c>
      <c r="GQ53" s="124">
        <f>1/(1+(120/300*WACC!$E$34+180/300*WACC!$E$35))^197</f>
        <v>0.5228908796036974</v>
      </c>
      <c r="GR53" s="124">
        <f>1/(1+(120/300*WACC!$E$34+180/300*WACC!$E$35))^198</f>
        <v>0.52117272747266052</v>
      </c>
      <c r="GS53" s="124">
        <f>1/(1+(120/300*WACC!$E$34+180/300*WACC!$E$35))^199</f>
        <v>0.5194602209683894</v>
      </c>
      <c r="GT53" s="124">
        <f>1/(1+(120/300*WACC!$E$34+180/300*WACC!$E$35))^200</f>
        <v>0.51775334154008068</v>
      </c>
      <c r="GU53" s="124">
        <f>1/(1+(120/300*WACC!$E$34+180/300*WACC!$E$35))^201</f>
        <v>0.5160520706978875</v>
      </c>
      <c r="GV53" s="124">
        <f>1/(1+(120/300*WACC!$E$34+180/300*WACC!$E$35))^202</f>
        <v>0.51435639001271738</v>
      </c>
      <c r="GW53" s="124">
        <f>1/(1+(120/300*WACC!$E$34+180/300*WACC!$E$35))^203</f>
        <v>0.51266628111603418</v>
      </c>
      <c r="GX53" s="124">
        <f>1/(1+(120/300*WACC!$E$34+180/300*WACC!$E$35))^204</f>
        <v>0.51098172569965761</v>
      </c>
      <c r="GY53" s="124">
        <f>1/(1+(120/300*WACC!$E$34+180/300*WACC!$E$35))^205</f>
        <v>0.50930270551556645</v>
      </c>
      <c r="GZ53" s="124">
        <f>1/(1+(120/300*WACC!$E$34+180/300*WACC!$E$35))^206</f>
        <v>0.50762920237569986</v>
      </c>
      <c r="HA53" s="124">
        <f>1/(1+(120/300*WACC!$E$34+180/300*WACC!$E$35))^207</f>
        <v>0.50596119815176055</v>
      </c>
      <c r="HB53" s="124">
        <f>1/(1+(120/300*WACC!$E$34+180/300*WACC!$E$35))^208</f>
        <v>0.50429867477501833</v>
      </c>
      <c r="HC53" s="124">
        <f>1/(1+(120/300*WACC!$E$34+180/300*WACC!$E$35))^209</f>
        <v>0.50264161423611486</v>
      </c>
      <c r="HD53" s="124">
        <f>1/(1+(120/300*WACC!$E$34+180/300*WACC!$E$35))^210</f>
        <v>0.50098999858486837</v>
      </c>
      <c r="HE53" s="124">
        <f>1/(1+(120/300*WACC!$E$34+180/300*WACC!$E$35))^211</f>
        <v>0.49934380993007826</v>
      </c>
      <c r="HF53" s="124">
        <f>1/(1+(120/300*WACC!$E$34+180/300*WACC!$E$35))^212</f>
        <v>0.49770303043933317</v>
      </c>
      <c r="HG53" s="124">
        <f>1/(1+(120/300*WACC!$E$34+180/300*WACC!$E$35))^213</f>
        <v>0.49606764233881601</v>
      </c>
      <c r="HH53" s="124">
        <f>1/(1+(120/300*WACC!$E$34+180/300*WACC!$E$35))^214</f>
        <v>0.4944376279131123</v>
      </c>
      <c r="HI53" s="124">
        <f>1/(1+(120/300*WACC!$E$34+180/300*WACC!$E$35))^215</f>
        <v>0.49281296950501868</v>
      </c>
      <c r="HJ53" s="124">
        <f>1/(1+(120/300*WACC!$E$34+180/300*WACC!$E$35))^216</f>
        <v>0.49119364951534999</v>
      </c>
      <c r="HK53" s="124">
        <f>1/(1+(120/300*WACC!$E$34+180/300*WACC!$E$35))^217</f>
        <v>0.48957965040275081</v>
      </c>
      <c r="HL53" s="124">
        <f>1/(1+(120/300*WACC!$E$34+180/300*WACC!$E$35))^218</f>
        <v>0.48797095468350382</v>
      </c>
      <c r="HM53" s="124">
        <f>1/(1+(120/300*WACC!$E$34+180/300*WACC!$E$35))^219</f>
        <v>0.48636754493134099</v>
      </c>
      <c r="HN53" s="124">
        <f>1/(1+(120/300*WACC!$E$34+180/300*WACC!$E$35))^220</f>
        <v>0.48476940377725475</v>
      </c>
      <c r="HO53" s="124">
        <f>1/(1+(120/300*WACC!$E$34+180/300*WACC!$E$35))^221</f>
        <v>0.48317651390931016</v>
      </c>
      <c r="HP53" s="124">
        <f>1/(1+(120/300*WACC!$E$34+180/300*WACC!$E$35))^222</f>
        <v>0.48158885807245672</v>
      </c>
      <c r="HQ53" s="124">
        <f>1/(1+(120/300*WACC!$E$34+180/300*WACC!$E$35))^223</f>
        <v>0.48000641906834196</v>
      </c>
      <c r="HR53" s="124">
        <f>1/(1+(120/300*WACC!$E$34+180/300*WACC!$E$35))^224</f>
        <v>0.47842917975512478</v>
      </c>
      <c r="HS53" s="124">
        <f>1/(1+(120/300*WACC!$E$34+180/300*WACC!$E$35))^225</f>
        <v>0.47685712304729033</v>
      </c>
      <c r="HT53" s="124">
        <f>1/(1+(120/300*WACC!$E$34+180/300*WACC!$E$35))^226</f>
        <v>0.4752902319154641</v>
      </c>
      <c r="HU53" s="124">
        <f>1/(1+(120/300*WACC!$E$34+180/300*WACC!$E$35))^227</f>
        <v>0.47372848938622852</v>
      </c>
      <c r="HV53" s="124">
        <f>1/(1+(120/300*WACC!$E$34+180/300*WACC!$E$35))^228</f>
        <v>0.47217187854193771</v>
      </c>
      <c r="HW53" s="124">
        <f>1/(1+(120/300*WACC!$E$34+180/300*WACC!$E$35))^229</f>
        <v>0.47062038252053573</v>
      </c>
      <c r="HX53" s="124">
        <f>1/(1+(120/300*WACC!$E$34+180/300*WACC!$E$35))^230</f>
        <v>0.4690739845153728</v>
      </c>
      <c r="HY53" s="124">
        <f>1/(1+(120/300*WACC!$E$34+180/300*WACC!$E$35))^231</f>
        <v>0.46753266777502384</v>
      </c>
      <c r="HZ53" s="124">
        <f>1/(1+(120/300*WACC!$E$34+180/300*WACC!$E$35))^232</f>
        <v>0.46599641560310623</v>
      </c>
      <c r="IA53" s="124">
        <f>1/(1+(120/300*WACC!$E$34+180/300*WACC!$E$35))^233</f>
        <v>0.46446521135810048</v>
      </c>
      <c r="IB53" s="124">
        <f>1/(1+(120/300*WACC!$E$34+180/300*WACC!$E$35))^234</f>
        <v>0.46293903845316808</v>
      </c>
      <c r="IC53" s="124">
        <f>1/(1+(120/300*WACC!$E$34+180/300*WACC!$E$35))^235</f>
        <v>0.46141788035597331</v>
      </c>
      <c r="ID53" s="124">
        <f>1/(1+(120/300*WACC!$E$34+180/300*WACC!$E$35))^236</f>
        <v>0.45990172058850315</v>
      </c>
      <c r="IE53" s="124">
        <f>1/(1+(120/300*WACC!$E$34+180/300*WACC!$E$35))^237</f>
        <v>0.45839054272688984</v>
      </c>
      <c r="IF53" s="124">
        <f>1/(1+(120/300*WACC!$E$34+180/300*WACC!$E$35))^238</f>
        <v>0.45688433040123166</v>
      </c>
      <c r="IG53" s="124">
        <f>1/(1+(120/300*WACC!$E$34+180/300*WACC!$E$35))^239</f>
        <v>0.45538306729541672</v>
      </c>
      <c r="IH53" s="124">
        <f>1/(1+(120/300*WACC!$E$34+180/300*WACC!$E$35))^240</f>
        <v>0.45388673714694522</v>
      </c>
      <c r="II53" s="124">
        <f>1/(1+(120/300*WACC!$E$34+180/300*WACC!$E$35))^241</f>
        <v>0.45239532374675456</v>
      </c>
      <c r="IJ53" s="124">
        <f>1/(1+(120/300*WACC!$E$34+180/300*WACC!$E$35))^242</f>
        <v>0.45090881093904284</v>
      </c>
      <c r="IK53" s="124">
        <f>1/(1+(120/300*WACC!$E$34+180/300*WACC!$E$35))^243</f>
        <v>0.44942718262109355</v>
      </c>
      <c r="IL53" s="124">
        <f>1/(1+(120/300*WACC!$E$34+180/300*WACC!$E$35))^244</f>
        <v>0.44795042274310209</v>
      </c>
      <c r="IM53" s="124">
        <f>1/(1+(120/300*WACC!$E$34+180/300*WACC!$E$35))^245</f>
        <v>0.44647851530800176</v>
      </c>
      <c r="IN53" s="124">
        <f>1/(1+(120/300*WACC!$E$34+180/300*WACC!$E$35))^246</f>
        <v>0.44501144437128914</v>
      </c>
      <c r="IO53" s="124">
        <f>1/(1+(120/300*WACC!$E$34+180/300*WACC!$E$35))^247</f>
        <v>0.44354919404085358</v>
      </c>
      <c r="IP53" s="124">
        <f>1/(1+(120/300*WACC!$E$34+180/300*WACC!$E$35))^248</f>
        <v>0.44209174847680277</v>
      </c>
      <c r="IQ53" s="124">
        <f>1/(1+(120/300*WACC!$E$34+180/300*WACC!$E$35))^249</f>
        <v>0.44063909189129324</v>
      </c>
      <c r="IR53" s="124">
        <f>1/(1+(120/300*WACC!$E$34+180/300*WACC!$E$35))^250</f>
        <v>0.43919120854835758</v>
      </c>
      <c r="IS53" s="124">
        <f>1/(1+(120/300*WACC!$E$34+180/300*WACC!$E$35))^251</f>
        <v>0.43774808276373506</v>
      </c>
      <c r="IT53" s="124">
        <f>1/(1+(120/300*WACC!$E$34+180/300*WACC!$E$35))^252</f>
        <v>0.43630969890470139</v>
      </c>
      <c r="IU53" s="124">
        <f>1/(1+(120/300*WACC!$E$34+180/300*WACC!$E$35))^253</f>
        <v>0.4348760413898996</v>
      </c>
      <c r="IV53" s="124">
        <f>1/(1+(120/300*WACC!$E$34+180/300*WACC!$E$35))^254</f>
        <v>0.43344709468917081</v>
      </c>
      <c r="IW53" s="124">
        <f>1/(1+(120/300*WACC!$E$34+180/300*WACC!$E$35))^255</f>
        <v>0.43202284332338609</v>
      </c>
      <c r="IX53" s="124">
        <f>1/(1+(120/300*WACC!$E$34+180/300*WACC!$E$35))^256</f>
        <v>0.43060327186427921</v>
      </c>
      <c r="IY53" s="124">
        <f>1/(1+(120/300*WACC!$E$34+180/300*WACC!$E$35))^257</f>
        <v>0.42918836493427925</v>
      </c>
      <c r="IZ53" s="124">
        <f>1/(1+(120/300*WACC!$E$34+180/300*WACC!$E$35))^258</f>
        <v>0.42777810720634379</v>
      </c>
      <c r="JA53" s="124">
        <f>1/(1+(120/300*WACC!$E$34+180/300*WACC!$E$35))^259</f>
        <v>0.42637248340379336</v>
      </c>
      <c r="JB53" s="124">
        <f>1/(1+(120/300*WACC!$E$34+180/300*WACC!$E$35))^260</f>
        <v>0.42497147830014542</v>
      </c>
      <c r="JC53" s="124">
        <f>1/(1+(120/300*WACC!$E$34+180/300*WACC!$E$35))^261</f>
        <v>0.42357507671895001</v>
      </c>
      <c r="JD53" s="124">
        <f>1/(1+(120/300*WACC!$E$34+180/300*WACC!$E$35))^262</f>
        <v>0.42218326353362468</v>
      </c>
      <c r="JE53" s="124">
        <f>1/(1+(120/300*WACC!$E$34+180/300*WACC!$E$35))^263</f>
        <v>0.42079602366729135</v>
      </c>
      <c r="JF53" s="124">
        <f>1/(1+(120/300*WACC!$E$34+180/300*WACC!$E$35))^264</f>
        <v>0.41941334209261222</v>
      </c>
      <c r="JG53" s="124">
        <f>1/(1+(120/300*WACC!$E$34+180/300*WACC!$E$35))^265</f>
        <v>0.41803520383162768</v>
      </c>
      <c r="JH53" s="124">
        <f>1/(1+(120/300*WACC!$E$34+180/300*WACC!$E$35))^266</f>
        <v>0.41666159395559371</v>
      </c>
      <c r="JI53" s="124">
        <f>1/(1+(120/300*WACC!$E$34+180/300*WACC!$E$35))^267</f>
        <v>0.41529249758482006</v>
      </c>
      <c r="JJ53" s="124">
        <f>1/(1+(120/300*WACC!$E$34+180/300*WACC!$E$35))^268</f>
        <v>0.41392789988850948</v>
      </c>
      <c r="JK53" s="124">
        <f>1/(1+(120/300*WACC!$E$34+180/300*WACC!$E$35))^269</f>
        <v>0.41256778608459677</v>
      </c>
      <c r="JL53" s="124">
        <f>1/(1+(120/300*WACC!$E$34+180/300*WACC!$E$35))^270</f>
        <v>0.41121214143958856</v>
      </c>
      <c r="JM53" s="124">
        <f>1/(1+(120/300*WACC!$E$34+180/300*WACC!$E$35))^271</f>
        <v>0.40986095126840383</v>
      </c>
      <c r="JN53" s="124">
        <f>1/(1+(120/300*WACC!$E$34+180/300*WACC!$E$35))^272</f>
        <v>0.40851420093421492</v>
      </c>
      <c r="JO53" s="124">
        <f>1/(1+(120/300*WACC!$E$34+180/300*WACC!$E$35))^273</f>
        <v>0.40717187584828896</v>
      </c>
      <c r="JP53" s="124">
        <f>1/(1+(120/300*WACC!$E$34+180/300*WACC!$E$35))^274</f>
        <v>0.4058339614698297</v>
      </c>
      <c r="JQ53" s="124">
        <f>1/(1+(120/300*WACC!$E$34+180/300*WACC!$E$35))^275</f>
        <v>0.40450044330581997</v>
      </c>
      <c r="JR53" s="124">
        <f>1/(1+(120/300*WACC!$E$34+180/300*WACC!$E$35))^276</f>
        <v>0.40317130691086506</v>
      </c>
      <c r="JS53" s="124">
        <f>1/(1+(120/300*WACC!$E$34+180/300*WACC!$E$35))^277</f>
        <v>0.40184653788703578</v>
      </c>
      <c r="JT53" s="124">
        <f>1/(1+(120/300*WACC!$E$34+180/300*WACC!$E$35))^278</f>
        <v>0.40052612188371267</v>
      </c>
      <c r="JU53" s="124">
        <f>1/(1+(120/300*WACC!$E$34+180/300*WACC!$E$35))^279</f>
        <v>0.39921004459743081</v>
      </c>
      <c r="JV53" s="124">
        <f>1/(1+(120/300*WACC!$E$34+180/300*WACC!$E$35))^280</f>
        <v>0.39789829177172409</v>
      </c>
      <c r="JW53" s="124">
        <f>1/(1+(120/300*WACC!$E$34+180/300*WACC!$E$35))^281</f>
        <v>0.39659084919697185</v>
      </c>
      <c r="JX53" s="124">
        <f>1/(1+(120/300*WACC!$E$34+180/300*WACC!$E$35))^282</f>
        <v>0.39528770271024416</v>
      </c>
      <c r="JY53" s="124">
        <f>1/(1+(120/300*WACC!$E$34+180/300*WACC!$E$35))^283</f>
        <v>0.39398883819514874</v>
      </c>
      <c r="JZ53" s="124">
        <f>1/(1+(120/300*WACC!$E$34+180/300*WACC!$E$35))^284</f>
        <v>0.39269424158167787</v>
      </c>
      <c r="KA53" s="124">
        <f>1/(1+(120/300*WACC!$E$34+180/300*WACC!$E$35))^285</f>
        <v>0.3914038988460562</v>
      </c>
      <c r="KB53" s="124">
        <f>1/(1+(120/300*WACC!$E$34+180/300*WACC!$E$35))^286</f>
        <v>0.39011779601058855</v>
      </c>
      <c r="KC53" s="124">
        <f>1/(1+(120/300*WACC!$E$34+180/300*WACC!$E$35))^287</f>
        <v>0.38883591914350873</v>
      </c>
      <c r="KD53" s="124">
        <f>1/(1+(120/300*WACC!$E$34+180/300*WACC!$E$35))^288</f>
        <v>0.38755825435882851</v>
      </c>
      <c r="KE53" s="124">
        <f>1/(1+(120/300*WACC!$E$34+180/300*WACC!$E$35))^289</f>
        <v>0.3862847878161873</v>
      </c>
      <c r="KF53" s="124">
        <f>1/(1+(120/300*WACC!$E$34+180/300*WACC!$E$35))^290</f>
        <v>0.38501550572070198</v>
      </c>
      <c r="KG53" s="124">
        <f>1/(1+(120/300*WACC!$E$34+180/300*WACC!$E$35))^291</f>
        <v>0.38375039432281799</v>
      </c>
      <c r="KH53" s="124">
        <f>1/(1+(120/300*WACC!$E$34+180/300*WACC!$E$35))^292</f>
        <v>0.38248943991815959</v>
      </c>
      <c r="KI53" s="124">
        <f>1/(1+(120/300*WACC!$E$34+180/300*WACC!$E$35))^293</f>
        <v>0.38123262884738213</v>
      </c>
      <c r="KJ53" s="124">
        <f>1/(1+(120/300*WACC!$E$34+180/300*WACC!$E$35))^294</f>
        <v>0.37997994749602371</v>
      </c>
      <c r="KK53" s="124">
        <f>1/(1+(120/300*WACC!$E$34+180/300*WACC!$E$35))^295</f>
        <v>0.37873138229435815</v>
      </c>
      <c r="KL53" s="124">
        <f>1/(1+(120/300*WACC!$E$34+180/300*WACC!$E$35))^296</f>
        <v>0.37748691971724679</v>
      </c>
      <c r="KM53" s="124">
        <f>1/(1+(120/300*WACC!$E$34+180/300*WACC!$E$35))^297</f>
        <v>0.37624654628399384</v>
      </c>
      <c r="KN53" s="124">
        <f>1/(1+(120/300*WACC!$E$34+180/300*WACC!$E$35))^298</f>
        <v>0.37501024855819859</v>
      </c>
      <c r="KO53" s="124">
        <f>1/(1+(120/300*WACC!$E$34+180/300*WACC!$E$35))^299</f>
        <v>0.37377801314761111</v>
      </c>
      <c r="KP53" s="124">
        <f>1/(1+(120/300*WACC!$E$34+180/300*WACC!$E$35))^300</f>
        <v>0.37254982670398618</v>
      </c>
    </row>
  </sheetData>
  <mergeCells count="6">
    <mergeCell ref="A2:B2"/>
    <mergeCell ref="A29:B29"/>
    <mergeCell ref="A41:B41"/>
    <mergeCell ref="A5:B5"/>
    <mergeCell ref="A1:B1"/>
    <mergeCell ref="A17:B17"/>
  </mergeCells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320"/>
  <sheetViews>
    <sheetView workbookViewId="0">
      <selection activeCell="K31" sqref="K31"/>
    </sheetView>
  </sheetViews>
  <sheetFormatPr baseColWidth="10" defaultRowHeight="16" x14ac:dyDescent="0.2"/>
  <cols>
    <col min="7" max="7" width="26.6640625" bestFit="1" customWidth="1"/>
    <col min="8" max="8" width="24" bestFit="1" customWidth="1"/>
    <col min="9" max="9" width="20.83203125" bestFit="1" customWidth="1"/>
  </cols>
  <sheetData>
    <row r="1" spans="1:9" x14ac:dyDescent="0.2">
      <c r="A1" t="s">
        <v>458</v>
      </c>
    </row>
    <row r="2" spans="1:9" x14ac:dyDescent="0.2">
      <c r="A2" t="s">
        <v>459</v>
      </c>
    </row>
    <row r="4" spans="1:9" x14ac:dyDescent="0.2">
      <c r="A4" t="s">
        <v>460</v>
      </c>
    </row>
    <row r="5" spans="1:9" x14ac:dyDescent="0.2">
      <c r="A5" t="s">
        <v>29</v>
      </c>
      <c r="B5" t="s">
        <v>461</v>
      </c>
      <c r="C5" t="s">
        <v>462</v>
      </c>
      <c r="D5" t="s">
        <v>463</v>
      </c>
      <c r="E5" t="s">
        <v>464</v>
      </c>
      <c r="F5" t="s">
        <v>465</v>
      </c>
    </row>
    <row r="6" spans="1:9" x14ac:dyDescent="0.2">
      <c r="A6" t="s">
        <v>35</v>
      </c>
      <c r="B6">
        <v>125.86</v>
      </c>
      <c r="C6">
        <v>0</v>
      </c>
      <c r="D6" t="s">
        <v>466</v>
      </c>
      <c r="E6" t="s">
        <v>466</v>
      </c>
      <c r="F6">
        <v>9286</v>
      </c>
    </row>
    <row r="7" spans="1:9" x14ac:dyDescent="0.2">
      <c r="A7" t="s">
        <v>37</v>
      </c>
      <c r="B7">
        <v>-7.88</v>
      </c>
      <c r="C7">
        <v>29</v>
      </c>
      <c r="D7">
        <v>267</v>
      </c>
      <c r="E7">
        <v>22.2</v>
      </c>
      <c r="F7">
        <v>909</v>
      </c>
    </row>
    <row r="8" spans="1:9" x14ac:dyDescent="0.2">
      <c r="A8" t="s">
        <v>39</v>
      </c>
      <c r="B8">
        <v>-155.80000000000001</v>
      </c>
      <c r="C8">
        <v>180</v>
      </c>
      <c r="D8">
        <v>121</v>
      </c>
      <c r="E8">
        <v>10.1</v>
      </c>
      <c r="F8">
        <v>0</v>
      </c>
    </row>
    <row r="10" spans="1:9" x14ac:dyDescent="0.2">
      <c r="A10" t="s">
        <v>467</v>
      </c>
    </row>
    <row r="11" spans="1:9" x14ac:dyDescent="0.2">
      <c r="A11" t="s">
        <v>29</v>
      </c>
      <c r="B11" t="s">
        <v>42</v>
      </c>
      <c r="C11" t="s">
        <v>43</v>
      </c>
      <c r="D11" t="s">
        <v>44</v>
      </c>
      <c r="E11" t="s">
        <v>45</v>
      </c>
      <c r="F11" t="s">
        <v>46</v>
      </c>
      <c r="G11" t="s">
        <v>462</v>
      </c>
      <c r="H11" t="s">
        <v>468</v>
      </c>
      <c r="I11" t="s">
        <v>469</v>
      </c>
    </row>
    <row r="12" spans="1:9" x14ac:dyDescent="0.2">
      <c r="A12" t="s">
        <v>35</v>
      </c>
      <c r="B12">
        <v>19541</v>
      </c>
      <c r="C12">
        <v>0.84960000000000002</v>
      </c>
      <c r="D12">
        <v>1.27</v>
      </c>
      <c r="E12">
        <v>1.2</v>
      </c>
      <c r="F12">
        <v>1.35</v>
      </c>
      <c r="G12">
        <v>0</v>
      </c>
      <c r="H12">
        <v>13745</v>
      </c>
      <c r="I12">
        <v>300</v>
      </c>
    </row>
    <row r="13" spans="1:9" x14ac:dyDescent="0.2">
      <c r="A13" t="s">
        <v>37</v>
      </c>
      <c r="B13">
        <v>11164</v>
      </c>
      <c r="C13">
        <v>0.4854</v>
      </c>
      <c r="D13">
        <v>1.21</v>
      </c>
      <c r="E13">
        <v>1.2</v>
      </c>
      <c r="F13">
        <v>1.35</v>
      </c>
      <c r="G13">
        <v>29</v>
      </c>
      <c r="H13">
        <v>1346</v>
      </c>
      <c r="I13">
        <v>288</v>
      </c>
    </row>
    <row r="14" spans="1:9" x14ac:dyDescent="0.2">
      <c r="A14" t="s">
        <v>39</v>
      </c>
      <c r="B14">
        <v>10255</v>
      </c>
      <c r="C14">
        <v>0.44590000000000002</v>
      </c>
      <c r="D14">
        <v>1.2</v>
      </c>
      <c r="E14">
        <v>1.2</v>
      </c>
      <c r="F14" t="s">
        <v>470</v>
      </c>
      <c r="G14">
        <v>180</v>
      </c>
      <c r="H14">
        <v>0</v>
      </c>
      <c r="I14">
        <v>120</v>
      </c>
    </row>
    <row r="16" spans="1:9" x14ac:dyDescent="0.2">
      <c r="A16" t="s">
        <v>471</v>
      </c>
      <c r="B16">
        <v>-0.42870000000000003</v>
      </c>
    </row>
    <row r="17" spans="1:8" x14ac:dyDescent="0.2">
      <c r="A17" t="s">
        <v>472</v>
      </c>
      <c r="B17">
        <v>-0.47520000000000001</v>
      </c>
    </row>
    <row r="19" spans="1:8" x14ac:dyDescent="0.2">
      <c r="A19" t="s">
        <v>473</v>
      </c>
    </row>
    <row r="20" spans="1:8" x14ac:dyDescent="0.2">
      <c r="A20" t="s">
        <v>264</v>
      </c>
      <c r="B20" t="s">
        <v>419</v>
      </c>
      <c r="C20" t="s">
        <v>474</v>
      </c>
      <c r="D20" t="s">
        <v>475</v>
      </c>
      <c r="E20" t="s">
        <v>476</v>
      </c>
      <c r="F20" t="s">
        <v>477</v>
      </c>
      <c r="G20" t="s">
        <v>478</v>
      </c>
      <c r="H20" t="s">
        <v>479</v>
      </c>
    </row>
    <row r="21" spans="1:8" x14ac:dyDescent="0.2">
      <c r="A21">
        <v>1</v>
      </c>
      <c r="B21">
        <v>8.3299999999999999E-2</v>
      </c>
      <c r="C21">
        <v>129.77459999999999</v>
      </c>
      <c r="D21">
        <v>36.5488</v>
      </c>
      <c r="E21">
        <v>71.596800000000002</v>
      </c>
      <c r="F21">
        <v>108.1455</v>
      </c>
      <c r="G21">
        <v>11092.632299999999</v>
      </c>
      <c r="H21">
        <v>1.2</v>
      </c>
    </row>
    <row r="22" spans="1:8" x14ac:dyDescent="0.2">
      <c r="A22">
        <v>2</v>
      </c>
      <c r="B22">
        <v>0.16669999999999999</v>
      </c>
      <c r="C22">
        <v>129.77459999999999</v>
      </c>
      <c r="D22">
        <v>36.314399999999999</v>
      </c>
      <c r="E22">
        <v>71.831100000000006</v>
      </c>
      <c r="F22">
        <v>108.1455</v>
      </c>
      <c r="G22">
        <v>11020.801100000001</v>
      </c>
      <c r="H22">
        <v>1.2</v>
      </c>
    </row>
    <row r="23" spans="1:8" x14ac:dyDescent="0.2">
      <c r="A23">
        <v>3</v>
      </c>
      <c r="B23">
        <v>0.25</v>
      </c>
      <c r="C23">
        <v>129.77459999999999</v>
      </c>
      <c r="D23">
        <v>36.0792</v>
      </c>
      <c r="E23">
        <v>72.066299999999998</v>
      </c>
      <c r="F23">
        <v>108.1455</v>
      </c>
      <c r="G23">
        <v>10948.7348</v>
      </c>
      <c r="H23">
        <v>1.2</v>
      </c>
    </row>
    <row r="24" spans="1:8" x14ac:dyDescent="0.2">
      <c r="A24">
        <v>4</v>
      </c>
      <c r="B24">
        <v>0.33329999999999999</v>
      </c>
      <c r="C24">
        <v>129.77459999999999</v>
      </c>
      <c r="D24">
        <v>35.843299999999999</v>
      </c>
      <c r="E24">
        <v>72.302199999999999</v>
      </c>
      <c r="F24">
        <v>108.1455</v>
      </c>
      <c r="G24">
        <v>10876.4326</v>
      </c>
      <c r="H24">
        <v>1.2</v>
      </c>
    </row>
    <row r="25" spans="1:8" x14ac:dyDescent="0.2">
      <c r="A25">
        <v>5</v>
      </c>
      <c r="B25">
        <v>0.41670000000000001</v>
      </c>
      <c r="C25">
        <v>129.77459999999999</v>
      </c>
      <c r="D25">
        <v>35.6066</v>
      </c>
      <c r="E25">
        <v>72.538899999999998</v>
      </c>
      <c r="F25">
        <v>108.1455</v>
      </c>
      <c r="G25">
        <v>10803.893700000001</v>
      </c>
      <c r="H25">
        <v>1.2</v>
      </c>
    </row>
    <row r="26" spans="1:8" x14ac:dyDescent="0.2">
      <c r="A26">
        <v>6</v>
      </c>
      <c r="B26">
        <v>0.5</v>
      </c>
      <c r="C26">
        <v>129.77459999999999</v>
      </c>
      <c r="D26">
        <v>35.369100000000003</v>
      </c>
      <c r="E26">
        <v>72.776399999999995</v>
      </c>
      <c r="F26">
        <v>108.1455</v>
      </c>
      <c r="G26">
        <v>10731.1173</v>
      </c>
      <c r="H26">
        <v>1.2</v>
      </c>
    </row>
    <row r="27" spans="1:8" x14ac:dyDescent="0.2">
      <c r="A27">
        <v>7</v>
      </c>
      <c r="B27">
        <v>0.58330000000000004</v>
      </c>
      <c r="C27">
        <v>129.77459999999999</v>
      </c>
      <c r="D27">
        <v>35.130899999999997</v>
      </c>
      <c r="E27">
        <v>73.014700000000005</v>
      </c>
      <c r="F27">
        <v>108.1455</v>
      </c>
      <c r="G27">
        <v>10658.1026</v>
      </c>
      <c r="H27">
        <v>1.2</v>
      </c>
    </row>
    <row r="28" spans="1:8" x14ac:dyDescent="0.2">
      <c r="A28">
        <v>8</v>
      </c>
      <c r="B28">
        <v>0.66669999999999996</v>
      </c>
      <c r="C28">
        <v>129.77459999999999</v>
      </c>
      <c r="D28">
        <v>34.8919</v>
      </c>
      <c r="E28">
        <v>73.253699999999995</v>
      </c>
      <c r="F28">
        <v>108.1455</v>
      </c>
      <c r="G28">
        <v>10584.848900000001</v>
      </c>
      <c r="H28">
        <v>1.2</v>
      </c>
    </row>
    <row r="29" spans="1:8" x14ac:dyDescent="0.2">
      <c r="A29">
        <v>9</v>
      </c>
      <c r="B29">
        <v>0.75</v>
      </c>
      <c r="C29">
        <v>129.77459999999999</v>
      </c>
      <c r="D29">
        <v>34.652000000000001</v>
      </c>
      <c r="E29">
        <v>73.493499999999997</v>
      </c>
      <c r="F29">
        <v>108.1455</v>
      </c>
      <c r="G29">
        <v>10511.3554</v>
      </c>
      <c r="H29">
        <v>1.2</v>
      </c>
    </row>
    <row r="30" spans="1:8" x14ac:dyDescent="0.2">
      <c r="A30">
        <v>10</v>
      </c>
      <c r="B30">
        <v>0.83330000000000004</v>
      </c>
      <c r="C30">
        <v>129.77459999999999</v>
      </c>
      <c r="D30">
        <v>34.4114</v>
      </c>
      <c r="E30">
        <v>73.734099999999998</v>
      </c>
      <c r="F30">
        <v>108.1455</v>
      </c>
      <c r="G30">
        <v>10437.621300000001</v>
      </c>
      <c r="H30">
        <v>1.2</v>
      </c>
    </row>
    <row r="31" spans="1:8" x14ac:dyDescent="0.2">
      <c r="A31">
        <v>11</v>
      </c>
      <c r="B31">
        <v>0.91669999999999996</v>
      </c>
      <c r="C31">
        <v>129.77459999999999</v>
      </c>
      <c r="D31">
        <v>34.170099999999998</v>
      </c>
      <c r="E31">
        <v>73.975499999999997</v>
      </c>
      <c r="F31">
        <v>108.1455</v>
      </c>
      <c r="G31">
        <v>10363.6459</v>
      </c>
      <c r="H31">
        <v>1.2</v>
      </c>
    </row>
    <row r="32" spans="1:8" x14ac:dyDescent="0.2">
      <c r="A32">
        <v>12</v>
      </c>
      <c r="B32">
        <v>1</v>
      </c>
      <c r="C32">
        <v>129.77459999999999</v>
      </c>
      <c r="D32">
        <v>33.927900000000001</v>
      </c>
      <c r="E32">
        <v>74.217699999999994</v>
      </c>
      <c r="F32">
        <v>108.1455</v>
      </c>
      <c r="G32">
        <v>10289.4282</v>
      </c>
      <c r="H32">
        <v>1.2</v>
      </c>
    </row>
    <row r="33" spans="1:8" x14ac:dyDescent="0.2">
      <c r="A33">
        <v>13</v>
      </c>
      <c r="B33">
        <v>1.0832999999999999</v>
      </c>
      <c r="C33">
        <v>128.453</v>
      </c>
      <c r="D33">
        <v>33.684899999999999</v>
      </c>
      <c r="E33">
        <v>73.359300000000005</v>
      </c>
      <c r="F33">
        <v>107.0442</v>
      </c>
      <c r="G33">
        <v>10216.0689</v>
      </c>
      <c r="H33">
        <v>1.2</v>
      </c>
    </row>
    <row r="34" spans="1:8" x14ac:dyDescent="0.2">
      <c r="A34">
        <v>14</v>
      </c>
      <c r="B34">
        <v>1.1667000000000001</v>
      </c>
      <c r="C34">
        <v>128.453</v>
      </c>
      <c r="D34">
        <v>33.444800000000001</v>
      </c>
      <c r="E34">
        <v>73.599400000000003</v>
      </c>
      <c r="F34">
        <v>107.0442</v>
      </c>
      <c r="G34">
        <v>10142.469499999999</v>
      </c>
      <c r="H34">
        <v>1.2</v>
      </c>
    </row>
    <row r="35" spans="1:8" x14ac:dyDescent="0.2">
      <c r="A35">
        <v>15</v>
      </c>
      <c r="B35">
        <v>1.25</v>
      </c>
      <c r="C35">
        <v>128.453</v>
      </c>
      <c r="D35">
        <v>33.203800000000001</v>
      </c>
      <c r="E35">
        <v>73.840400000000002</v>
      </c>
      <c r="F35">
        <v>107.0442</v>
      </c>
      <c r="G35">
        <v>10068.6291</v>
      </c>
      <c r="H35">
        <v>1.2</v>
      </c>
    </row>
    <row r="36" spans="1:8" x14ac:dyDescent="0.2">
      <c r="A36">
        <v>16</v>
      </c>
      <c r="B36">
        <v>1.3332999999999999</v>
      </c>
      <c r="C36">
        <v>128.453</v>
      </c>
      <c r="D36">
        <v>32.9621</v>
      </c>
      <c r="E36">
        <v>74.082099999999997</v>
      </c>
      <c r="F36">
        <v>107.0442</v>
      </c>
      <c r="G36">
        <v>9994.5470000000005</v>
      </c>
      <c r="H36">
        <v>1.2</v>
      </c>
    </row>
    <row r="37" spans="1:8" x14ac:dyDescent="0.2">
      <c r="A37">
        <v>17</v>
      </c>
      <c r="B37">
        <v>1.4167000000000001</v>
      </c>
      <c r="C37">
        <v>128.453</v>
      </c>
      <c r="D37">
        <v>32.719499999999996</v>
      </c>
      <c r="E37">
        <v>74.324600000000004</v>
      </c>
      <c r="F37">
        <v>107.0442</v>
      </c>
      <c r="G37">
        <v>9920.2224000000006</v>
      </c>
      <c r="H37">
        <v>1.2</v>
      </c>
    </row>
    <row r="38" spans="1:8" x14ac:dyDescent="0.2">
      <c r="A38">
        <v>18</v>
      </c>
      <c r="B38">
        <v>1.5</v>
      </c>
      <c r="C38">
        <v>128.453</v>
      </c>
      <c r="D38">
        <v>32.476199999999999</v>
      </c>
      <c r="E38">
        <v>74.567999999999998</v>
      </c>
      <c r="F38">
        <v>107.0442</v>
      </c>
      <c r="G38">
        <v>9845.6543999999994</v>
      </c>
      <c r="H38">
        <v>1.2</v>
      </c>
    </row>
    <row r="39" spans="1:8" x14ac:dyDescent="0.2">
      <c r="A39">
        <v>19</v>
      </c>
      <c r="B39">
        <v>1.5832999999999999</v>
      </c>
      <c r="C39">
        <v>128.453</v>
      </c>
      <c r="D39">
        <v>32.232100000000003</v>
      </c>
      <c r="E39">
        <v>74.812100000000001</v>
      </c>
      <c r="F39">
        <v>107.0442</v>
      </c>
      <c r="G39">
        <v>9770.8423000000003</v>
      </c>
      <c r="H39">
        <v>1.2</v>
      </c>
    </row>
    <row r="40" spans="1:8" x14ac:dyDescent="0.2">
      <c r="A40">
        <v>20</v>
      </c>
      <c r="B40">
        <v>1.6667000000000001</v>
      </c>
      <c r="C40">
        <v>128.453</v>
      </c>
      <c r="D40">
        <v>31.987200000000001</v>
      </c>
      <c r="E40">
        <v>75.057000000000002</v>
      </c>
      <c r="F40">
        <v>107.0442</v>
      </c>
      <c r="G40">
        <v>9695.7852999999996</v>
      </c>
      <c r="H40">
        <v>1.2</v>
      </c>
    </row>
    <row r="41" spans="1:8" x14ac:dyDescent="0.2">
      <c r="A41">
        <v>21</v>
      </c>
      <c r="B41">
        <v>1.75</v>
      </c>
      <c r="C41">
        <v>128.453</v>
      </c>
      <c r="D41">
        <v>31.741499999999998</v>
      </c>
      <c r="E41">
        <v>75.302700000000002</v>
      </c>
      <c r="F41">
        <v>107.0442</v>
      </c>
      <c r="G41">
        <v>9620.4825999999994</v>
      </c>
      <c r="H41">
        <v>1.2</v>
      </c>
    </row>
    <row r="42" spans="1:8" x14ac:dyDescent="0.2">
      <c r="A42">
        <v>22</v>
      </c>
      <c r="B42">
        <v>1.8332999999999999</v>
      </c>
      <c r="C42">
        <v>128.453</v>
      </c>
      <c r="D42">
        <v>31.495000000000001</v>
      </c>
      <c r="E42">
        <v>75.549199999999999</v>
      </c>
      <c r="F42">
        <v>107.0442</v>
      </c>
      <c r="G42">
        <v>9544.9333999999999</v>
      </c>
      <c r="H42">
        <v>1.2</v>
      </c>
    </row>
    <row r="43" spans="1:8" x14ac:dyDescent="0.2">
      <c r="A43">
        <v>23</v>
      </c>
      <c r="B43">
        <v>1.9167000000000001</v>
      </c>
      <c r="C43">
        <v>128.453</v>
      </c>
      <c r="D43">
        <v>31.247599999999998</v>
      </c>
      <c r="E43">
        <v>75.796599999999998</v>
      </c>
      <c r="F43">
        <v>107.0442</v>
      </c>
      <c r="G43">
        <v>9469.1368999999995</v>
      </c>
      <c r="H43">
        <v>1.2</v>
      </c>
    </row>
    <row r="44" spans="1:8" x14ac:dyDescent="0.2">
      <c r="A44">
        <v>24</v>
      </c>
      <c r="B44">
        <v>2</v>
      </c>
      <c r="C44">
        <v>128.453</v>
      </c>
      <c r="D44">
        <v>30.999500000000001</v>
      </c>
      <c r="E44">
        <v>76.044700000000006</v>
      </c>
      <c r="F44">
        <v>107.0442</v>
      </c>
      <c r="G44">
        <v>9393.0921999999991</v>
      </c>
      <c r="H44">
        <v>1.2</v>
      </c>
    </row>
    <row r="45" spans="1:8" x14ac:dyDescent="0.2">
      <c r="A45">
        <v>25</v>
      </c>
      <c r="B45">
        <v>2.0832999999999999</v>
      </c>
      <c r="C45">
        <v>127.1246</v>
      </c>
      <c r="D45">
        <v>30.750499999999999</v>
      </c>
      <c r="E45">
        <v>75.186599999999999</v>
      </c>
      <c r="F45">
        <v>105.9371</v>
      </c>
      <c r="G45">
        <v>9317.9056</v>
      </c>
      <c r="H45">
        <v>1.2</v>
      </c>
    </row>
    <row r="46" spans="1:8" x14ac:dyDescent="0.2">
      <c r="A46">
        <v>26</v>
      </c>
      <c r="B46">
        <v>2.1667000000000001</v>
      </c>
      <c r="C46">
        <v>127.1246</v>
      </c>
      <c r="D46">
        <v>30.5044</v>
      </c>
      <c r="E46">
        <v>75.432699999999997</v>
      </c>
      <c r="F46">
        <v>105.9371</v>
      </c>
      <c r="G46">
        <v>9242.4727999999996</v>
      </c>
      <c r="H46">
        <v>1.2</v>
      </c>
    </row>
    <row r="47" spans="1:8" x14ac:dyDescent="0.2">
      <c r="A47">
        <v>27</v>
      </c>
      <c r="B47">
        <v>2.25</v>
      </c>
      <c r="C47">
        <v>127.1246</v>
      </c>
      <c r="D47">
        <v>30.2575</v>
      </c>
      <c r="E47">
        <v>75.679699999999997</v>
      </c>
      <c r="F47">
        <v>105.9371</v>
      </c>
      <c r="G47">
        <v>9166.7932000000001</v>
      </c>
      <c r="H47">
        <v>1.2</v>
      </c>
    </row>
    <row r="48" spans="1:8" x14ac:dyDescent="0.2">
      <c r="A48">
        <v>28</v>
      </c>
      <c r="B48">
        <v>2.3332999999999999</v>
      </c>
      <c r="C48">
        <v>127.1246</v>
      </c>
      <c r="D48">
        <v>30.009699999999999</v>
      </c>
      <c r="E48">
        <v>75.927400000000006</v>
      </c>
      <c r="F48">
        <v>105.9371</v>
      </c>
      <c r="G48">
        <v>9090.8657000000003</v>
      </c>
      <c r="H48">
        <v>1.2</v>
      </c>
    </row>
    <row r="49" spans="1:8" x14ac:dyDescent="0.2">
      <c r="A49">
        <v>29</v>
      </c>
      <c r="B49">
        <v>2.4167000000000001</v>
      </c>
      <c r="C49">
        <v>127.1246</v>
      </c>
      <c r="D49">
        <v>29.761099999999999</v>
      </c>
      <c r="E49">
        <v>76.176000000000002</v>
      </c>
      <c r="F49">
        <v>105.9371</v>
      </c>
      <c r="G49">
        <v>9014.6897000000008</v>
      </c>
      <c r="H49">
        <v>1.2</v>
      </c>
    </row>
    <row r="50" spans="1:8" x14ac:dyDescent="0.2">
      <c r="A50">
        <v>30</v>
      </c>
      <c r="B50">
        <v>2.5</v>
      </c>
      <c r="C50">
        <v>127.1246</v>
      </c>
      <c r="D50">
        <v>29.511700000000001</v>
      </c>
      <c r="E50">
        <v>76.425399999999996</v>
      </c>
      <c r="F50">
        <v>105.9371</v>
      </c>
      <c r="G50">
        <v>8938.2644</v>
      </c>
      <c r="H50">
        <v>1.2</v>
      </c>
    </row>
    <row r="51" spans="1:8" x14ac:dyDescent="0.2">
      <c r="A51">
        <v>31</v>
      </c>
      <c r="B51">
        <v>2.5832999999999999</v>
      </c>
      <c r="C51">
        <v>127.1246</v>
      </c>
      <c r="D51">
        <v>29.261600000000001</v>
      </c>
      <c r="E51">
        <v>76.675600000000003</v>
      </c>
      <c r="F51">
        <v>105.9371</v>
      </c>
      <c r="G51">
        <v>8861.5887999999995</v>
      </c>
      <c r="H51">
        <v>1.2</v>
      </c>
    </row>
    <row r="52" spans="1:8" x14ac:dyDescent="0.2">
      <c r="A52">
        <v>32</v>
      </c>
      <c r="B52">
        <v>2.6667000000000001</v>
      </c>
      <c r="C52">
        <v>127.1246</v>
      </c>
      <c r="D52">
        <v>29.0105</v>
      </c>
      <c r="E52">
        <v>76.926599999999993</v>
      </c>
      <c r="F52">
        <v>105.9371</v>
      </c>
      <c r="G52">
        <v>8784.6622000000007</v>
      </c>
      <c r="H52">
        <v>1.2</v>
      </c>
    </row>
    <row r="53" spans="1:8" x14ac:dyDescent="0.2">
      <c r="A53">
        <v>33</v>
      </c>
      <c r="B53">
        <v>2.75</v>
      </c>
      <c r="C53">
        <v>127.1246</v>
      </c>
      <c r="D53">
        <v>28.758700000000001</v>
      </c>
      <c r="E53">
        <v>77.178399999999996</v>
      </c>
      <c r="F53">
        <v>105.9371</v>
      </c>
      <c r="G53">
        <v>8707.4838</v>
      </c>
      <c r="H53">
        <v>1.2</v>
      </c>
    </row>
    <row r="54" spans="1:8" x14ac:dyDescent="0.2">
      <c r="A54">
        <v>34</v>
      </c>
      <c r="B54">
        <v>2.8332999999999999</v>
      </c>
      <c r="C54">
        <v>127.1246</v>
      </c>
      <c r="D54">
        <v>28.506</v>
      </c>
      <c r="E54">
        <v>77.431100000000001</v>
      </c>
      <c r="F54">
        <v>105.9371</v>
      </c>
      <c r="G54">
        <v>8630.0527000000002</v>
      </c>
      <c r="H54">
        <v>1.2</v>
      </c>
    </row>
    <row r="55" spans="1:8" x14ac:dyDescent="0.2">
      <c r="A55">
        <v>35</v>
      </c>
      <c r="B55">
        <v>2.9167000000000001</v>
      </c>
      <c r="C55">
        <v>127.1246</v>
      </c>
      <c r="D55">
        <v>28.252500000000001</v>
      </c>
      <c r="E55">
        <v>77.684600000000003</v>
      </c>
      <c r="F55">
        <v>105.9371</v>
      </c>
      <c r="G55">
        <v>8552.3680999999997</v>
      </c>
      <c r="H55">
        <v>1.2</v>
      </c>
    </row>
    <row r="56" spans="1:8" x14ac:dyDescent="0.2">
      <c r="A56">
        <v>36</v>
      </c>
      <c r="B56">
        <v>3</v>
      </c>
      <c r="C56">
        <v>127.1246</v>
      </c>
      <c r="D56">
        <v>27.998200000000001</v>
      </c>
      <c r="E56">
        <v>77.938900000000004</v>
      </c>
      <c r="F56">
        <v>105.9371</v>
      </c>
      <c r="G56">
        <v>8474.4292000000005</v>
      </c>
      <c r="H56">
        <v>1.2</v>
      </c>
    </row>
    <row r="57" spans="1:8" x14ac:dyDescent="0.2">
      <c r="A57">
        <v>37</v>
      </c>
      <c r="B57">
        <v>3.0832999999999999</v>
      </c>
      <c r="C57">
        <v>125.789</v>
      </c>
      <c r="D57">
        <v>27.743099999999998</v>
      </c>
      <c r="E57">
        <v>77.081100000000006</v>
      </c>
      <c r="F57">
        <v>104.8242</v>
      </c>
      <c r="G57">
        <v>8397.3480999999992</v>
      </c>
      <c r="H57">
        <v>1.2</v>
      </c>
    </row>
    <row r="58" spans="1:8" x14ac:dyDescent="0.2">
      <c r="A58">
        <v>38</v>
      </c>
      <c r="B58">
        <v>3.1667000000000001</v>
      </c>
      <c r="C58">
        <v>125.789</v>
      </c>
      <c r="D58">
        <v>27.4907</v>
      </c>
      <c r="E58">
        <v>77.333399999999997</v>
      </c>
      <c r="F58">
        <v>104.8242</v>
      </c>
      <c r="G58">
        <v>8320.0146999999997</v>
      </c>
      <c r="H58">
        <v>1.2</v>
      </c>
    </row>
    <row r="59" spans="1:8" x14ac:dyDescent="0.2">
      <c r="A59">
        <v>39</v>
      </c>
      <c r="B59">
        <v>3.25</v>
      </c>
      <c r="C59">
        <v>125.789</v>
      </c>
      <c r="D59">
        <v>27.2376</v>
      </c>
      <c r="E59">
        <v>77.586600000000004</v>
      </c>
      <c r="F59">
        <v>104.8242</v>
      </c>
      <c r="G59">
        <v>8242.4280999999992</v>
      </c>
      <c r="H59">
        <v>1.2</v>
      </c>
    </row>
    <row r="60" spans="1:8" x14ac:dyDescent="0.2">
      <c r="A60">
        <v>40</v>
      </c>
      <c r="B60">
        <v>3.3332999999999999</v>
      </c>
      <c r="C60">
        <v>125.789</v>
      </c>
      <c r="D60">
        <v>26.983599999999999</v>
      </c>
      <c r="E60">
        <v>77.840599999999995</v>
      </c>
      <c r="F60">
        <v>104.8242</v>
      </c>
      <c r="G60">
        <v>8164.5874999999996</v>
      </c>
      <c r="H60">
        <v>1.2</v>
      </c>
    </row>
    <row r="61" spans="1:8" x14ac:dyDescent="0.2">
      <c r="A61">
        <v>41</v>
      </c>
      <c r="B61">
        <v>3.4167000000000001</v>
      </c>
      <c r="C61">
        <v>125.789</v>
      </c>
      <c r="D61">
        <v>26.7287</v>
      </c>
      <c r="E61">
        <v>78.095399999999998</v>
      </c>
      <c r="F61">
        <v>104.8242</v>
      </c>
      <c r="G61">
        <v>8086.4920000000002</v>
      </c>
      <c r="H61">
        <v>1.2</v>
      </c>
    </row>
    <row r="62" spans="1:8" x14ac:dyDescent="0.2">
      <c r="A62">
        <v>42</v>
      </c>
      <c r="B62">
        <v>3.5</v>
      </c>
      <c r="C62">
        <v>125.789</v>
      </c>
      <c r="D62">
        <v>26.473099999999999</v>
      </c>
      <c r="E62">
        <v>78.351100000000002</v>
      </c>
      <c r="F62">
        <v>104.8242</v>
      </c>
      <c r="G62">
        <v>8008.1409000000003</v>
      </c>
      <c r="H62">
        <v>1.2</v>
      </c>
    </row>
    <row r="63" spans="1:8" x14ac:dyDescent="0.2">
      <c r="A63">
        <v>43</v>
      </c>
      <c r="B63">
        <v>3.5832999999999999</v>
      </c>
      <c r="C63">
        <v>125.789</v>
      </c>
      <c r="D63">
        <v>26.2166</v>
      </c>
      <c r="E63">
        <v>78.607600000000005</v>
      </c>
      <c r="F63">
        <v>104.8242</v>
      </c>
      <c r="G63">
        <v>7929.5333000000001</v>
      </c>
      <c r="H63">
        <v>1.2</v>
      </c>
    </row>
    <row r="64" spans="1:8" x14ac:dyDescent="0.2">
      <c r="A64">
        <v>44</v>
      </c>
      <c r="B64">
        <v>3.6667000000000001</v>
      </c>
      <c r="C64">
        <v>125.789</v>
      </c>
      <c r="D64">
        <v>25.959199999999999</v>
      </c>
      <c r="E64">
        <v>78.864900000000006</v>
      </c>
      <c r="F64">
        <v>104.8242</v>
      </c>
      <c r="G64">
        <v>7850.6683999999996</v>
      </c>
      <c r="H64">
        <v>1.2</v>
      </c>
    </row>
    <row r="65" spans="1:8" x14ac:dyDescent="0.2">
      <c r="A65">
        <v>45</v>
      </c>
      <c r="B65">
        <v>3.75</v>
      </c>
      <c r="C65">
        <v>125.789</v>
      </c>
      <c r="D65">
        <v>25.701000000000001</v>
      </c>
      <c r="E65">
        <v>79.123099999999994</v>
      </c>
      <c r="F65">
        <v>104.8242</v>
      </c>
      <c r="G65">
        <v>7771.5452999999998</v>
      </c>
      <c r="H65">
        <v>1.2</v>
      </c>
    </row>
    <row r="66" spans="1:8" x14ac:dyDescent="0.2">
      <c r="A66">
        <v>46</v>
      </c>
      <c r="B66">
        <v>3.8332999999999999</v>
      </c>
      <c r="C66">
        <v>125.789</v>
      </c>
      <c r="D66">
        <v>25.442</v>
      </c>
      <c r="E66">
        <v>79.382099999999994</v>
      </c>
      <c r="F66">
        <v>104.8242</v>
      </c>
      <c r="G66">
        <v>7692.1630999999998</v>
      </c>
      <c r="H66">
        <v>1.2</v>
      </c>
    </row>
    <row r="67" spans="1:8" x14ac:dyDescent="0.2">
      <c r="A67">
        <v>47</v>
      </c>
      <c r="B67">
        <v>3.9167000000000001</v>
      </c>
      <c r="C67">
        <v>125.789</v>
      </c>
      <c r="D67">
        <v>25.182099999999998</v>
      </c>
      <c r="E67">
        <v>79.641999999999996</v>
      </c>
      <c r="F67">
        <v>104.8242</v>
      </c>
      <c r="G67">
        <v>7612.5210999999999</v>
      </c>
      <c r="H67">
        <v>1.2</v>
      </c>
    </row>
    <row r="68" spans="1:8" x14ac:dyDescent="0.2">
      <c r="A68">
        <v>48</v>
      </c>
      <c r="B68">
        <v>4</v>
      </c>
      <c r="C68">
        <v>125.789</v>
      </c>
      <c r="D68">
        <v>24.921399999999998</v>
      </c>
      <c r="E68">
        <v>79.902799999999999</v>
      </c>
      <c r="F68">
        <v>104.8242</v>
      </c>
      <c r="G68">
        <v>7532.6184000000003</v>
      </c>
      <c r="H68">
        <v>1.2</v>
      </c>
    </row>
    <row r="69" spans="1:8" x14ac:dyDescent="0.2">
      <c r="A69">
        <v>49</v>
      </c>
      <c r="B69">
        <v>4.0833000000000004</v>
      </c>
      <c r="C69">
        <v>124.4461</v>
      </c>
      <c r="D69">
        <v>24.659800000000001</v>
      </c>
      <c r="E69">
        <v>79.045299999999997</v>
      </c>
      <c r="F69">
        <v>103.7051</v>
      </c>
      <c r="G69">
        <v>7453.5730999999996</v>
      </c>
      <c r="H69">
        <v>1.2</v>
      </c>
    </row>
    <row r="70" spans="1:8" x14ac:dyDescent="0.2">
      <c r="A70">
        <v>50</v>
      </c>
      <c r="B70">
        <v>4.1666999999999996</v>
      </c>
      <c r="C70">
        <v>124.4461</v>
      </c>
      <c r="D70">
        <v>24.4011</v>
      </c>
      <c r="E70">
        <v>79.304000000000002</v>
      </c>
      <c r="F70">
        <v>103.7051</v>
      </c>
      <c r="G70">
        <v>7374.2690000000002</v>
      </c>
      <c r="H70">
        <v>1.2</v>
      </c>
    </row>
    <row r="71" spans="1:8" x14ac:dyDescent="0.2">
      <c r="A71">
        <v>51</v>
      </c>
      <c r="B71">
        <v>4.25</v>
      </c>
      <c r="C71">
        <v>124.4461</v>
      </c>
      <c r="D71">
        <v>24.141400000000001</v>
      </c>
      <c r="E71">
        <v>79.563699999999997</v>
      </c>
      <c r="F71">
        <v>103.7051</v>
      </c>
      <c r="G71">
        <v>7294.7053999999998</v>
      </c>
      <c r="H71">
        <v>1.2</v>
      </c>
    </row>
    <row r="72" spans="1:8" x14ac:dyDescent="0.2">
      <c r="A72">
        <v>52</v>
      </c>
      <c r="B72">
        <v>4.3333000000000004</v>
      </c>
      <c r="C72">
        <v>124.4461</v>
      </c>
      <c r="D72">
        <v>23.881</v>
      </c>
      <c r="E72">
        <v>79.824100000000001</v>
      </c>
      <c r="F72">
        <v>103.7051</v>
      </c>
      <c r="G72">
        <v>7214.8811999999998</v>
      </c>
      <c r="H72">
        <v>1.2</v>
      </c>
    </row>
    <row r="73" spans="1:8" x14ac:dyDescent="0.2">
      <c r="A73">
        <v>53</v>
      </c>
      <c r="B73">
        <v>4.4166999999999996</v>
      </c>
      <c r="C73">
        <v>124.4461</v>
      </c>
      <c r="D73">
        <v>23.619599999999998</v>
      </c>
      <c r="E73">
        <v>80.085499999999996</v>
      </c>
      <c r="F73">
        <v>103.7051</v>
      </c>
      <c r="G73">
        <v>7134.7957999999999</v>
      </c>
      <c r="H73">
        <v>1.2</v>
      </c>
    </row>
    <row r="74" spans="1:8" x14ac:dyDescent="0.2">
      <c r="A74">
        <v>54</v>
      </c>
      <c r="B74">
        <v>4.5</v>
      </c>
      <c r="C74">
        <v>124.4461</v>
      </c>
      <c r="D74">
        <v>23.357500000000002</v>
      </c>
      <c r="E74">
        <v>80.3476</v>
      </c>
      <c r="F74">
        <v>103.7051</v>
      </c>
      <c r="G74">
        <v>7054.4480999999996</v>
      </c>
      <c r="H74">
        <v>1.2</v>
      </c>
    </row>
    <row r="75" spans="1:8" x14ac:dyDescent="0.2">
      <c r="A75">
        <v>55</v>
      </c>
      <c r="B75">
        <v>4.5833000000000004</v>
      </c>
      <c r="C75">
        <v>124.4461</v>
      </c>
      <c r="D75">
        <v>23.0944</v>
      </c>
      <c r="E75">
        <v>80.610699999999994</v>
      </c>
      <c r="F75">
        <v>103.7051</v>
      </c>
      <c r="G75">
        <v>6973.8374000000003</v>
      </c>
      <c r="H75">
        <v>1.2</v>
      </c>
    </row>
    <row r="76" spans="1:8" x14ac:dyDescent="0.2">
      <c r="A76">
        <v>56</v>
      </c>
      <c r="B76">
        <v>4.6666999999999996</v>
      </c>
      <c r="C76">
        <v>124.4461</v>
      </c>
      <c r="D76">
        <v>22.830500000000001</v>
      </c>
      <c r="E76">
        <v>80.874600000000001</v>
      </c>
      <c r="F76">
        <v>103.7051</v>
      </c>
      <c r="G76">
        <v>6892.9629000000004</v>
      </c>
      <c r="H76">
        <v>1.2</v>
      </c>
    </row>
    <row r="77" spans="1:8" x14ac:dyDescent="0.2">
      <c r="A77">
        <v>57</v>
      </c>
      <c r="B77">
        <v>4.75</v>
      </c>
      <c r="C77">
        <v>124.4461</v>
      </c>
      <c r="D77">
        <v>22.565799999999999</v>
      </c>
      <c r="E77">
        <v>81.139300000000006</v>
      </c>
      <c r="F77">
        <v>103.7051</v>
      </c>
      <c r="G77">
        <v>6811.8235000000004</v>
      </c>
      <c r="H77">
        <v>1.2</v>
      </c>
    </row>
    <row r="78" spans="1:8" x14ac:dyDescent="0.2">
      <c r="A78">
        <v>58</v>
      </c>
      <c r="B78">
        <v>4.8333000000000004</v>
      </c>
      <c r="C78">
        <v>124.4461</v>
      </c>
      <c r="D78">
        <v>22.3001</v>
      </c>
      <c r="E78">
        <v>81.405000000000001</v>
      </c>
      <c r="F78">
        <v>103.7051</v>
      </c>
      <c r="G78">
        <v>6730.4186</v>
      </c>
      <c r="H78">
        <v>1.2</v>
      </c>
    </row>
    <row r="79" spans="1:8" x14ac:dyDescent="0.2">
      <c r="A79">
        <v>59</v>
      </c>
      <c r="B79">
        <v>4.9166999999999996</v>
      </c>
      <c r="C79">
        <v>124.4461</v>
      </c>
      <c r="D79">
        <v>22.0336</v>
      </c>
      <c r="E79">
        <v>81.671499999999995</v>
      </c>
      <c r="F79">
        <v>103.7051</v>
      </c>
      <c r="G79">
        <v>6648.7470999999996</v>
      </c>
      <c r="H79">
        <v>1.2</v>
      </c>
    </row>
    <row r="80" spans="1:8" x14ac:dyDescent="0.2">
      <c r="A80">
        <v>60</v>
      </c>
      <c r="B80">
        <v>5</v>
      </c>
      <c r="C80">
        <v>124.4461</v>
      </c>
      <c r="D80">
        <v>21.766300000000001</v>
      </c>
      <c r="E80">
        <v>81.938800000000001</v>
      </c>
      <c r="F80">
        <v>103.7051</v>
      </c>
      <c r="G80">
        <v>6566.8082999999997</v>
      </c>
      <c r="H80">
        <v>1.2</v>
      </c>
    </row>
    <row r="81" spans="1:8" x14ac:dyDescent="0.2">
      <c r="A81">
        <v>61</v>
      </c>
      <c r="B81">
        <v>5.0833000000000004</v>
      </c>
      <c r="C81">
        <v>123.09569999999999</v>
      </c>
      <c r="D81">
        <v>21.498000000000001</v>
      </c>
      <c r="E81">
        <v>81.081699999999998</v>
      </c>
      <c r="F81">
        <v>102.5797</v>
      </c>
      <c r="G81">
        <v>6485.7264999999998</v>
      </c>
      <c r="H81">
        <v>1.2</v>
      </c>
    </row>
    <row r="82" spans="1:8" x14ac:dyDescent="0.2">
      <c r="A82">
        <v>62</v>
      </c>
      <c r="B82">
        <v>5.1666999999999996</v>
      </c>
      <c r="C82">
        <v>123.09569999999999</v>
      </c>
      <c r="D82">
        <v>21.232600000000001</v>
      </c>
      <c r="E82">
        <v>81.347200000000001</v>
      </c>
      <c r="F82">
        <v>102.5797</v>
      </c>
      <c r="G82">
        <v>6404.3793999999998</v>
      </c>
      <c r="H82">
        <v>1.2</v>
      </c>
    </row>
    <row r="83" spans="1:8" x14ac:dyDescent="0.2">
      <c r="A83">
        <v>63</v>
      </c>
      <c r="B83">
        <v>5.25</v>
      </c>
      <c r="C83">
        <v>123.09569999999999</v>
      </c>
      <c r="D83">
        <v>20.9663</v>
      </c>
      <c r="E83">
        <v>81.613500000000002</v>
      </c>
      <c r="F83">
        <v>102.5797</v>
      </c>
      <c r="G83">
        <v>6322.7659000000003</v>
      </c>
      <c r="H83">
        <v>1.2</v>
      </c>
    </row>
    <row r="84" spans="1:8" x14ac:dyDescent="0.2">
      <c r="A84">
        <v>64</v>
      </c>
      <c r="B84">
        <v>5.3333000000000004</v>
      </c>
      <c r="C84">
        <v>123.09569999999999</v>
      </c>
      <c r="D84">
        <v>20.699100000000001</v>
      </c>
      <c r="E84">
        <v>81.880700000000004</v>
      </c>
      <c r="F84">
        <v>102.5797</v>
      </c>
      <c r="G84">
        <v>6240.8852999999999</v>
      </c>
      <c r="H84">
        <v>1.2</v>
      </c>
    </row>
    <row r="85" spans="1:8" x14ac:dyDescent="0.2">
      <c r="A85">
        <v>65</v>
      </c>
      <c r="B85">
        <v>5.4166999999999996</v>
      </c>
      <c r="C85">
        <v>123.09569999999999</v>
      </c>
      <c r="D85">
        <v>20.431000000000001</v>
      </c>
      <c r="E85">
        <v>82.148700000000005</v>
      </c>
      <c r="F85">
        <v>102.5797</v>
      </c>
      <c r="G85">
        <v>6158.7365</v>
      </c>
      <c r="H85">
        <v>1.2</v>
      </c>
    </row>
    <row r="86" spans="1:8" x14ac:dyDescent="0.2">
      <c r="A86">
        <v>66</v>
      </c>
      <c r="B86">
        <v>5.5</v>
      </c>
      <c r="C86">
        <v>123.09569999999999</v>
      </c>
      <c r="D86">
        <v>20.162099999999999</v>
      </c>
      <c r="E86">
        <v>82.417599999999993</v>
      </c>
      <c r="F86">
        <v>102.5797</v>
      </c>
      <c r="G86">
        <v>6076.3189000000002</v>
      </c>
      <c r="H86">
        <v>1.2</v>
      </c>
    </row>
    <row r="87" spans="1:8" x14ac:dyDescent="0.2">
      <c r="A87">
        <v>67</v>
      </c>
      <c r="B87">
        <v>5.5833000000000004</v>
      </c>
      <c r="C87">
        <v>123.09569999999999</v>
      </c>
      <c r="D87">
        <v>19.892299999999999</v>
      </c>
      <c r="E87">
        <v>82.6875</v>
      </c>
      <c r="F87">
        <v>102.5797</v>
      </c>
      <c r="G87">
        <v>5993.6315000000004</v>
      </c>
      <c r="H87">
        <v>1.2</v>
      </c>
    </row>
    <row r="88" spans="1:8" x14ac:dyDescent="0.2">
      <c r="A88">
        <v>68</v>
      </c>
      <c r="B88">
        <v>5.6666999999999996</v>
      </c>
      <c r="C88">
        <v>123.09569999999999</v>
      </c>
      <c r="D88">
        <v>19.621600000000001</v>
      </c>
      <c r="E88">
        <v>82.958200000000005</v>
      </c>
      <c r="F88">
        <v>102.5797</v>
      </c>
      <c r="G88">
        <v>5910.6733000000004</v>
      </c>
      <c r="H88">
        <v>1.2</v>
      </c>
    </row>
    <row r="89" spans="1:8" x14ac:dyDescent="0.2">
      <c r="A89">
        <v>69</v>
      </c>
      <c r="B89">
        <v>5.75</v>
      </c>
      <c r="C89">
        <v>123.09569999999999</v>
      </c>
      <c r="D89">
        <v>19.350000000000001</v>
      </c>
      <c r="E89">
        <v>83.229699999999994</v>
      </c>
      <c r="F89">
        <v>102.5797</v>
      </c>
      <c r="G89">
        <v>5827.4435999999996</v>
      </c>
      <c r="H89">
        <v>1.2</v>
      </c>
    </row>
    <row r="90" spans="1:8" x14ac:dyDescent="0.2">
      <c r="A90">
        <v>70</v>
      </c>
      <c r="B90">
        <v>5.8333000000000004</v>
      </c>
      <c r="C90">
        <v>123.09569999999999</v>
      </c>
      <c r="D90">
        <v>19.077500000000001</v>
      </c>
      <c r="E90">
        <v>83.502200000000002</v>
      </c>
      <c r="F90">
        <v>102.5797</v>
      </c>
      <c r="G90">
        <v>5743.9413999999997</v>
      </c>
      <c r="H90">
        <v>1.2</v>
      </c>
    </row>
    <row r="91" spans="1:8" x14ac:dyDescent="0.2">
      <c r="A91">
        <v>71</v>
      </c>
      <c r="B91">
        <v>5.9166999999999996</v>
      </c>
      <c r="C91">
        <v>123.09569999999999</v>
      </c>
      <c r="D91">
        <v>18.804200000000002</v>
      </c>
      <c r="E91">
        <v>83.775599999999997</v>
      </c>
      <c r="F91">
        <v>102.5797</v>
      </c>
      <c r="G91">
        <v>5660.1657999999998</v>
      </c>
      <c r="H91">
        <v>1.2</v>
      </c>
    </row>
    <row r="92" spans="1:8" x14ac:dyDescent="0.2">
      <c r="A92">
        <v>72</v>
      </c>
      <c r="B92">
        <v>6</v>
      </c>
      <c r="C92">
        <v>123.09569999999999</v>
      </c>
      <c r="D92">
        <v>18.529900000000001</v>
      </c>
      <c r="E92">
        <v>84.049800000000005</v>
      </c>
      <c r="F92">
        <v>102.5797</v>
      </c>
      <c r="G92">
        <v>5576.116</v>
      </c>
      <c r="H92">
        <v>1.2</v>
      </c>
    </row>
    <row r="93" spans="1:8" x14ac:dyDescent="0.2">
      <c r="A93">
        <v>73</v>
      </c>
      <c r="B93">
        <v>6.0833000000000004</v>
      </c>
      <c r="C93">
        <v>121.73739999999999</v>
      </c>
      <c r="D93">
        <v>18.254799999999999</v>
      </c>
      <c r="E93">
        <v>83.193100000000001</v>
      </c>
      <c r="F93">
        <v>101.4479</v>
      </c>
      <c r="G93">
        <v>5492.9228000000003</v>
      </c>
      <c r="H93">
        <v>1.2</v>
      </c>
    </row>
    <row r="94" spans="1:8" x14ac:dyDescent="0.2">
      <c r="A94">
        <v>74</v>
      </c>
      <c r="B94">
        <v>6.1666999999999996</v>
      </c>
      <c r="C94">
        <v>121.73739999999999</v>
      </c>
      <c r="D94">
        <v>17.982399999999998</v>
      </c>
      <c r="E94">
        <v>83.465500000000006</v>
      </c>
      <c r="F94">
        <v>101.4479</v>
      </c>
      <c r="G94">
        <v>5409.4574000000002</v>
      </c>
      <c r="H94">
        <v>1.2</v>
      </c>
    </row>
    <row r="95" spans="1:8" x14ac:dyDescent="0.2">
      <c r="A95">
        <v>75</v>
      </c>
      <c r="B95">
        <v>6.25</v>
      </c>
      <c r="C95">
        <v>121.73739999999999</v>
      </c>
      <c r="D95">
        <v>17.709199999999999</v>
      </c>
      <c r="E95">
        <v>83.738699999999994</v>
      </c>
      <c r="F95">
        <v>101.4479</v>
      </c>
      <c r="G95">
        <v>5325.7187000000004</v>
      </c>
      <c r="H95">
        <v>1.2</v>
      </c>
    </row>
    <row r="96" spans="1:8" x14ac:dyDescent="0.2">
      <c r="A96">
        <v>76</v>
      </c>
      <c r="B96">
        <v>6.3333000000000004</v>
      </c>
      <c r="C96">
        <v>121.73739999999999</v>
      </c>
      <c r="D96">
        <v>17.434999999999999</v>
      </c>
      <c r="E96">
        <v>84.012900000000002</v>
      </c>
      <c r="F96">
        <v>101.4479</v>
      </c>
      <c r="G96">
        <v>5241.7057999999997</v>
      </c>
      <c r="H96">
        <v>1.2</v>
      </c>
    </row>
    <row r="97" spans="1:8" x14ac:dyDescent="0.2">
      <c r="A97">
        <v>77</v>
      </c>
      <c r="B97">
        <v>6.4166999999999996</v>
      </c>
      <c r="C97">
        <v>121.73739999999999</v>
      </c>
      <c r="D97">
        <v>17.16</v>
      </c>
      <c r="E97">
        <v>84.287899999999993</v>
      </c>
      <c r="F97">
        <v>101.4479</v>
      </c>
      <c r="G97">
        <v>5157.4179000000004</v>
      </c>
      <c r="H97">
        <v>1.2</v>
      </c>
    </row>
    <row r="98" spans="1:8" x14ac:dyDescent="0.2">
      <c r="A98">
        <v>78</v>
      </c>
      <c r="B98">
        <v>6.5</v>
      </c>
      <c r="C98">
        <v>121.73739999999999</v>
      </c>
      <c r="D98">
        <v>16.884</v>
      </c>
      <c r="E98">
        <v>84.563800000000001</v>
      </c>
      <c r="F98">
        <v>101.4479</v>
      </c>
      <c r="G98">
        <v>5072.8540999999996</v>
      </c>
      <c r="H98">
        <v>1.2</v>
      </c>
    </row>
    <row r="99" spans="1:8" x14ac:dyDescent="0.2">
      <c r="A99">
        <v>79</v>
      </c>
      <c r="B99">
        <v>6.5833000000000004</v>
      </c>
      <c r="C99">
        <v>121.73739999999999</v>
      </c>
      <c r="D99">
        <v>16.607199999999999</v>
      </c>
      <c r="E99">
        <v>84.840699999999998</v>
      </c>
      <c r="F99">
        <v>101.4479</v>
      </c>
      <c r="G99">
        <v>4988.0133999999998</v>
      </c>
      <c r="H99">
        <v>1.2</v>
      </c>
    </row>
    <row r="100" spans="1:8" x14ac:dyDescent="0.2">
      <c r="A100">
        <v>80</v>
      </c>
      <c r="B100">
        <v>6.6666999999999996</v>
      </c>
      <c r="C100">
        <v>121.73739999999999</v>
      </c>
      <c r="D100">
        <v>16.329499999999999</v>
      </c>
      <c r="E100">
        <v>85.118399999999994</v>
      </c>
      <c r="F100">
        <v>101.4479</v>
      </c>
      <c r="G100">
        <v>4902.8950000000004</v>
      </c>
      <c r="H100">
        <v>1.2</v>
      </c>
    </row>
    <row r="101" spans="1:8" x14ac:dyDescent="0.2">
      <c r="A101">
        <v>81</v>
      </c>
      <c r="B101">
        <v>6.75</v>
      </c>
      <c r="C101">
        <v>121.73739999999999</v>
      </c>
      <c r="D101">
        <v>16.050799999999999</v>
      </c>
      <c r="E101">
        <v>85.397099999999995</v>
      </c>
      <c r="F101">
        <v>101.4479</v>
      </c>
      <c r="G101">
        <v>4817.4979999999996</v>
      </c>
      <c r="H101">
        <v>1.2</v>
      </c>
    </row>
    <row r="102" spans="1:8" x14ac:dyDescent="0.2">
      <c r="A102">
        <v>82</v>
      </c>
      <c r="B102">
        <v>6.8333000000000004</v>
      </c>
      <c r="C102">
        <v>121.73739999999999</v>
      </c>
      <c r="D102">
        <v>15.7712</v>
      </c>
      <c r="E102">
        <v>85.676599999999993</v>
      </c>
      <c r="F102">
        <v>101.4479</v>
      </c>
      <c r="G102">
        <v>4731.8212999999996</v>
      </c>
      <c r="H102">
        <v>1.2</v>
      </c>
    </row>
    <row r="103" spans="1:8" x14ac:dyDescent="0.2">
      <c r="A103">
        <v>83</v>
      </c>
      <c r="B103">
        <v>6.9166999999999996</v>
      </c>
      <c r="C103">
        <v>121.73739999999999</v>
      </c>
      <c r="D103">
        <v>15.4908</v>
      </c>
      <c r="E103">
        <v>85.957099999999997</v>
      </c>
      <c r="F103">
        <v>101.4479</v>
      </c>
      <c r="G103">
        <v>4645.8642</v>
      </c>
      <c r="H103">
        <v>1.2</v>
      </c>
    </row>
    <row r="104" spans="1:8" x14ac:dyDescent="0.2">
      <c r="A104">
        <v>84</v>
      </c>
      <c r="B104">
        <v>7</v>
      </c>
      <c r="C104">
        <v>121.73739999999999</v>
      </c>
      <c r="D104">
        <v>15.2094</v>
      </c>
      <c r="E104">
        <v>86.238500000000002</v>
      </c>
      <c r="F104">
        <v>101.4479</v>
      </c>
      <c r="G104">
        <v>4559.6256999999996</v>
      </c>
      <c r="H104">
        <v>1.2</v>
      </c>
    </row>
    <row r="105" spans="1:8" x14ac:dyDescent="0.2">
      <c r="A105">
        <v>85</v>
      </c>
      <c r="B105">
        <v>7.0833000000000004</v>
      </c>
      <c r="C105">
        <v>120.3711</v>
      </c>
      <c r="D105">
        <v>14.927</v>
      </c>
      <c r="E105">
        <v>85.382199999999997</v>
      </c>
      <c r="F105">
        <v>100.30929999999999</v>
      </c>
      <c r="G105">
        <v>4474.2434000000003</v>
      </c>
      <c r="H105">
        <v>1.2</v>
      </c>
    </row>
    <row r="106" spans="1:8" x14ac:dyDescent="0.2">
      <c r="A106">
        <v>86</v>
      </c>
      <c r="B106">
        <v>7.1666999999999996</v>
      </c>
      <c r="C106">
        <v>120.3711</v>
      </c>
      <c r="D106">
        <v>14.647500000000001</v>
      </c>
      <c r="E106">
        <v>85.661799999999999</v>
      </c>
      <c r="F106">
        <v>100.30929999999999</v>
      </c>
      <c r="G106">
        <v>4388.5816999999997</v>
      </c>
      <c r="H106">
        <v>1.2</v>
      </c>
    </row>
    <row r="107" spans="1:8" x14ac:dyDescent="0.2">
      <c r="A107">
        <v>87</v>
      </c>
      <c r="B107">
        <v>7.25</v>
      </c>
      <c r="C107">
        <v>120.3711</v>
      </c>
      <c r="D107">
        <v>14.367100000000001</v>
      </c>
      <c r="E107">
        <v>85.9422</v>
      </c>
      <c r="F107">
        <v>100.30929999999999</v>
      </c>
      <c r="G107">
        <v>4302.6395000000002</v>
      </c>
      <c r="H107">
        <v>1.2</v>
      </c>
    </row>
    <row r="108" spans="1:8" x14ac:dyDescent="0.2">
      <c r="A108">
        <v>88</v>
      </c>
      <c r="B108">
        <v>7.3333000000000004</v>
      </c>
      <c r="C108">
        <v>120.3711</v>
      </c>
      <c r="D108">
        <v>14.085699999999999</v>
      </c>
      <c r="E108">
        <v>86.223600000000005</v>
      </c>
      <c r="F108">
        <v>100.30929999999999</v>
      </c>
      <c r="G108">
        <v>4216.4159</v>
      </c>
      <c r="H108">
        <v>1.2</v>
      </c>
    </row>
    <row r="109" spans="1:8" x14ac:dyDescent="0.2">
      <c r="A109">
        <v>89</v>
      </c>
      <c r="B109">
        <v>7.4166999999999996</v>
      </c>
      <c r="C109">
        <v>120.3711</v>
      </c>
      <c r="D109">
        <v>13.8034</v>
      </c>
      <c r="E109">
        <v>86.505799999999994</v>
      </c>
      <c r="F109">
        <v>100.30929999999999</v>
      </c>
      <c r="G109">
        <v>4129.9101000000001</v>
      </c>
      <c r="H109">
        <v>1.2</v>
      </c>
    </row>
    <row r="110" spans="1:8" x14ac:dyDescent="0.2">
      <c r="A110">
        <v>90</v>
      </c>
      <c r="B110">
        <v>7.5</v>
      </c>
      <c r="C110">
        <v>120.3711</v>
      </c>
      <c r="D110">
        <v>13.520300000000001</v>
      </c>
      <c r="E110">
        <v>86.789000000000001</v>
      </c>
      <c r="F110">
        <v>100.30929999999999</v>
      </c>
      <c r="G110">
        <v>4043.1210999999998</v>
      </c>
      <c r="H110">
        <v>1.2</v>
      </c>
    </row>
    <row r="111" spans="1:8" x14ac:dyDescent="0.2">
      <c r="A111">
        <v>91</v>
      </c>
      <c r="B111">
        <v>7.5833000000000004</v>
      </c>
      <c r="C111">
        <v>120.3711</v>
      </c>
      <c r="D111">
        <v>13.2361</v>
      </c>
      <c r="E111">
        <v>87.073099999999997</v>
      </c>
      <c r="F111">
        <v>100.30929999999999</v>
      </c>
      <c r="G111">
        <v>3956.0479</v>
      </c>
      <c r="H111">
        <v>1.2</v>
      </c>
    </row>
    <row r="112" spans="1:8" x14ac:dyDescent="0.2">
      <c r="A112">
        <v>92</v>
      </c>
      <c r="B112">
        <v>7.6666999999999996</v>
      </c>
      <c r="C112">
        <v>120.3711</v>
      </c>
      <c r="D112">
        <v>12.9511</v>
      </c>
      <c r="E112">
        <v>87.358199999999997</v>
      </c>
      <c r="F112">
        <v>100.30929999999999</v>
      </c>
      <c r="G112">
        <v>3868.6896999999999</v>
      </c>
      <c r="H112">
        <v>1.2</v>
      </c>
    </row>
    <row r="113" spans="1:8" x14ac:dyDescent="0.2">
      <c r="A113">
        <v>93</v>
      </c>
      <c r="B113">
        <v>7.75</v>
      </c>
      <c r="C113">
        <v>120.3711</v>
      </c>
      <c r="D113">
        <v>12.665100000000001</v>
      </c>
      <c r="E113">
        <v>87.644199999999998</v>
      </c>
      <c r="F113">
        <v>100.30929999999999</v>
      </c>
      <c r="G113">
        <v>3781.0455000000002</v>
      </c>
      <c r="H113">
        <v>1.2</v>
      </c>
    </row>
    <row r="114" spans="1:8" x14ac:dyDescent="0.2">
      <c r="A114">
        <v>94</v>
      </c>
      <c r="B114">
        <v>7.8333000000000004</v>
      </c>
      <c r="C114">
        <v>120.3711</v>
      </c>
      <c r="D114">
        <v>12.3782</v>
      </c>
      <c r="E114">
        <v>87.931100000000001</v>
      </c>
      <c r="F114">
        <v>100.30929999999999</v>
      </c>
      <c r="G114">
        <v>3693.1143999999999</v>
      </c>
      <c r="H114">
        <v>1.2</v>
      </c>
    </row>
    <row r="115" spans="1:8" x14ac:dyDescent="0.2">
      <c r="A115">
        <v>95</v>
      </c>
      <c r="B115">
        <v>7.9166999999999996</v>
      </c>
      <c r="C115">
        <v>120.3711</v>
      </c>
      <c r="D115">
        <v>12.090299999999999</v>
      </c>
      <c r="E115">
        <v>88.218999999999994</v>
      </c>
      <c r="F115">
        <v>100.30929999999999</v>
      </c>
      <c r="G115">
        <v>3604.8953999999999</v>
      </c>
      <c r="H115">
        <v>1.2</v>
      </c>
    </row>
    <row r="116" spans="1:8" x14ac:dyDescent="0.2">
      <c r="A116">
        <v>96</v>
      </c>
      <c r="B116">
        <v>8</v>
      </c>
      <c r="C116">
        <v>120.3711</v>
      </c>
      <c r="D116">
        <v>11.801500000000001</v>
      </c>
      <c r="E116">
        <v>88.507800000000003</v>
      </c>
      <c r="F116">
        <v>100.30929999999999</v>
      </c>
      <c r="G116">
        <v>3516.3877000000002</v>
      </c>
      <c r="H116">
        <v>1.2</v>
      </c>
    </row>
    <row r="117" spans="1:8" x14ac:dyDescent="0.2">
      <c r="A117">
        <v>97</v>
      </c>
      <c r="B117">
        <v>8.0832999999999995</v>
      </c>
      <c r="C117">
        <v>118.9965</v>
      </c>
      <c r="D117">
        <v>11.511699999999999</v>
      </c>
      <c r="E117">
        <v>87.652000000000001</v>
      </c>
      <c r="F117">
        <v>99.163700000000006</v>
      </c>
      <c r="G117">
        <v>3428.7357000000002</v>
      </c>
      <c r="H117">
        <v>1.2</v>
      </c>
    </row>
    <row r="118" spans="1:8" x14ac:dyDescent="0.2">
      <c r="A118">
        <v>98</v>
      </c>
      <c r="B118">
        <v>8.1667000000000005</v>
      </c>
      <c r="C118">
        <v>118.9965</v>
      </c>
      <c r="D118">
        <v>11.2248</v>
      </c>
      <c r="E118">
        <v>87.938999999999993</v>
      </c>
      <c r="F118">
        <v>99.163700000000006</v>
      </c>
      <c r="G118">
        <v>3340.7966999999999</v>
      </c>
      <c r="H118">
        <v>1.2</v>
      </c>
    </row>
    <row r="119" spans="1:8" x14ac:dyDescent="0.2">
      <c r="A119">
        <v>99</v>
      </c>
      <c r="B119">
        <v>8.25</v>
      </c>
      <c r="C119">
        <v>118.9965</v>
      </c>
      <c r="D119">
        <v>10.9369</v>
      </c>
      <c r="E119">
        <v>88.226799999999997</v>
      </c>
      <c r="F119">
        <v>99.163700000000006</v>
      </c>
      <c r="G119">
        <v>3252.5699</v>
      </c>
      <c r="H119">
        <v>1.2</v>
      </c>
    </row>
    <row r="120" spans="1:8" x14ac:dyDescent="0.2">
      <c r="A120">
        <v>100</v>
      </c>
      <c r="B120">
        <v>8.3332999999999995</v>
      </c>
      <c r="C120">
        <v>118.9965</v>
      </c>
      <c r="D120">
        <v>10.648099999999999</v>
      </c>
      <c r="E120">
        <v>88.515699999999995</v>
      </c>
      <c r="F120">
        <v>99.163700000000006</v>
      </c>
      <c r="G120">
        <v>3164.0542</v>
      </c>
      <c r="H120">
        <v>1.2</v>
      </c>
    </row>
    <row r="121" spans="1:8" x14ac:dyDescent="0.2">
      <c r="A121">
        <v>101</v>
      </c>
      <c r="B121">
        <v>8.4167000000000005</v>
      </c>
      <c r="C121">
        <v>118.9965</v>
      </c>
      <c r="D121">
        <v>10.3583</v>
      </c>
      <c r="E121">
        <v>88.805499999999995</v>
      </c>
      <c r="F121">
        <v>99.163700000000006</v>
      </c>
      <c r="G121">
        <v>3075.2487000000001</v>
      </c>
      <c r="H121">
        <v>1.2</v>
      </c>
    </row>
    <row r="122" spans="1:8" x14ac:dyDescent="0.2">
      <c r="A122">
        <v>102</v>
      </c>
      <c r="B122">
        <v>8.5</v>
      </c>
      <c r="C122">
        <v>118.9965</v>
      </c>
      <c r="D122">
        <v>10.067600000000001</v>
      </c>
      <c r="E122">
        <v>89.096199999999996</v>
      </c>
      <c r="F122">
        <v>99.163700000000006</v>
      </c>
      <c r="G122">
        <v>2986.1525000000001</v>
      </c>
      <c r="H122">
        <v>1.2</v>
      </c>
    </row>
    <row r="123" spans="1:8" x14ac:dyDescent="0.2">
      <c r="A123">
        <v>103</v>
      </c>
      <c r="B123">
        <v>8.5832999999999995</v>
      </c>
      <c r="C123">
        <v>118.9965</v>
      </c>
      <c r="D123">
        <v>9.7759</v>
      </c>
      <c r="E123">
        <v>89.387900000000002</v>
      </c>
      <c r="F123">
        <v>99.163700000000006</v>
      </c>
      <c r="G123">
        <v>2896.7647000000002</v>
      </c>
      <c r="H123">
        <v>1.2</v>
      </c>
    </row>
    <row r="124" spans="1:8" x14ac:dyDescent="0.2">
      <c r="A124">
        <v>104</v>
      </c>
      <c r="B124">
        <v>8.6667000000000005</v>
      </c>
      <c r="C124">
        <v>118.9965</v>
      </c>
      <c r="D124">
        <v>9.4832999999999998</v>
      </c>
      <c r="E124">
        <v>89.680499999999995</v>
      </c>
      <c r="F124">
        <v>99.163700000000006</v>
      </c>
      <c r="G124">
        <v>2807.0841999999998</v>
      </c>
      <c r="H124">
        <v>1.2</v>
      </c>
    </row>
    <row r="125" spans="1:8" x14ac:dyDescent="0.2">
      <c r="A125">
        <v>105</v>
      </c>
      <c r="B125">
        <v>8.75</v>
      </c>
      <c r="C125">
        <v>118.9965</v>
      </c>
      <c r="D125">
        <v>9.1897000000000002</v>
      </c>
      <c r="E125">
        <v>89.974100000000007</v>
      </c>
      <c r="F125">
        <v>99.163700000000006</v>
      </c>
      <c r="G125">
        <v>2717.1100999999999</v>
      </c>
      <c r="H125">
        <v>1.2</v>
      </c>
    </row>
    <row r="126" spans="1:8" x14ac:dyDescent="0.2">
      <c r="A126">
        <v>106</v>
      </c>
      <c r="B126">
        <v>8.8332999999999995</v>
      </c>
      <c r="C126">
        <v>118.9965</v>
      </c>
      <c r="D126">
        <v>8.8950999999999993</v>
      </c>
      <c r="E126">
        <v>90.268600000000006</v>
      </c>
      <c r="F126">
        <v>99.163700000000006</v>
      </c>
      <c r="G126">
        <v>2626.8415</v>
      </c>
      <c r="H126">
        <v>1.2</v>
      </c>
    </row>
    <row r="127" spans="1:8" x14ac:dyDescent="0.2">
      <c r="A127">
        <v>107</v>
      </c>
      <c r="B127">
        <v>8.9167000000000005</v>
      </c>
      <c r="C127">
        <v>118.9965</v>
      </c>
      <c r="D127">
        <v>8.5996000000000006</v>
      </c>
      <c r="E127">
        <v>90.5642</v>
      </c>
      <c r="F127">
        <v>99.163700000000006</v>
      </c>
      <c r="G127">
        <v>2536.2773000000002</v>
      </c>
      <c r="H127">
        <v>1.2</v>
      </c>
    </row>
    <row r="128" spans="1:8" x14ac:dyDescent="0.2">
      <c r="A128">
        <v>108</v>
      </c>
      <c r="B128">
        <v>9</v>
      </c>
      <c r="C128">
        <v>118.9965</v>
      </c>
      <c r="D128">
        <v>8.3031000000000006</v>
      </c>
      <c r="E128">
        <v>90.860600000000005</v>
      </c>
      <c r="F128">
        <v>99.163700000000006</v>
      </c>
      <c r="G128">
        <v>2445.4167000000002</v>
      </c>
      <c r="H128">
        <v>1.2</v>
      </c>
    </row>
    <row r="129" spans="1:8" x14ac:dyDescent="0.2">
      <c r="A129">
        <v>109</v>
      </c>
      <c r="B129">
        <v>9.0832999999999995</v>
      </c>
      <c r="C129">
        <v>117.6133</v>
      </c>
      <c r="D129">
        <v>8.0056999999999992</v>
      </c>
      <c r="E129">
        <v>90.005399999999995</v>
      </c>
      <c r="F129">
        <v>98.011099999999999</v>
      </c>
      <c r="G129">
        <v>2355.4113000000002</v>
      </c>
      <c r="H129">
        <v>1.2</v>
      </c>
    </row>
    <row r="130" spans="1:8" x14ac:dyDescent="0.2">
      <c r="A130">
        <v>110</v>
      </c>
      <c r="B130">
        <v>9.1667000000000005</v>
      </c>
      <c r="C130">
        <v>117.6133</v>
      </c>
      <c r="D130">
        <v>7.7110000000000003</v>
      </c>
      <c r="E130">
        <v>90.3001</v>
      </c>
      <c r="F130">
        <v>98.011099999999999</v>
      </c>
      <c r="G130">
        <v>2265.1111999999998</v>
      </c>
      <c r="H130">
        <v>1.2</v>
      </c>
    </row>
    <row r="131" spans="1:8" x14ac:dyDescent="0.2">
      <c r="A131">
        <v>111</v>
      </c>
      <c r="B131">
        <v>9.25</v>
      </c>
      <c r="C131">
        <v>117.6133</v>
      </c>
      <c r="D131">
        <v>7.4154</v>
      </c>
      <c r="E131">
        <v>90.595699999999994</v>
      </c>
      <c r="F131">
        <v>98.011099999999999</v>
      </c>
      <c r="G131">
        <v>2174.5155</v>
      </c>
      <c r="H131">
        <v>1.2</v>
      </c>
    </row>
    <row r="132" spans="1:8" x14ac:dyDescent="0.2">
      <c r="A132">
        <v>112</v>
      </c>
      <c r="B132">
        <v>9.3332999999999995</v>
      </c>
      <c r="C132">
        <v>117.6133</v>
      </c>
      <c r="D132">
        <v>7.1188000000000002</v>
      </c>
      <c r="E132">
        <v>90.892300000000006</v>
      </c>
      <c r="F132">
        <v>98.011099999999999</v>
      </c>
      <c r="G132">
        <v>2083.6233000000002</v>
      </c>
      <c r="H132">
        <v>1.2</v>
      </c>
    </row>
    <row r="133" spans="1:8" x14ac:dyDescent="0.2">
      <c r="A133">
        <v>113</v>
      </c>
      <c r="B133">
        <v>9.4167000000000005</v>
      </c>
      <c r="C133">
        <v>117.6133</v>
      </c>
      <c r="D133">
        <v>6.8212000000000002</v>
      </c>
      <c r="E133">
        <v>91.189800000000005</v>
      </c>
      <c r="F133">
        <v>98.011099999999999</v>
      </c>
      <c r="G133">
        <v>1992.4333999999999</v>
      </c>
      <c r="H133">
        <v>1.2</v>
      </c>
    </row>
    <row r="134" spans="1:8" x14ac:dyDescent="0.2">
      <c r="A134">
        <v>114</v>
      </c>
      <c r="B134">
        <v>9.5</v>
      </c>
      <c r="C134">
        <v>117.6133</v>
      </c>
      <c r="D134">
        <v>6.5227000000000004</v>
      </c>
      <c r="E134">
        <v>91.488399999999999</v>
      </c>
      <c r="F134">
        <v>98.011099999999999</v>
      </c>
      <c r="G134">
        <v>1900.9450999999999</v>
      </c>
      <c r="H134">
        <v>1.2</v>
      </c>
    </row>
    <row r="135" spans="1:8" x14ac:dyDescent="0.2">
      <c r="A135">
        <v>115</v>
      </c>
      <c r="B135">
        <v>9.5832999999999995</v>
      </c>
      <c r="C135">
        <v>117.6133</v>
      </c>
      <c r="D135">
        <v>6.2232000000000003</v>
      </c>
      <c r="E135">
        <v>91.787899999999993</v>
      </c>
      <c r="F135">
        <v>98.011099999999999</v>
      </c>
      <c r="G135">
        <v>1809.1572000000001</v>
      </c>
      <c r="H135">
        <v>1.2</v>
      </c>
    </row>
    <row r="136" spans="1:8" x14ac:dyDescent="0.2">
      <c r="A136">
        <v>116</v>
      </c>
      <c r="B136">
        <v>9.6667000000000005</v>
      </c>
      <c r="C136">
        <v>117.6133</v>
      </c>
      <c r="D136">
        <v>5.9226999999999999</v>
      </c>
      <c r="E136">
        <v>92.088399999999993</v>
      </c>
      <c r="F136">
        <v>98.011099999999999</v>
      </c>
      <c r="G136">
        <v>1717.0689</v>
      </c>
      <c r="H136">
        <v>1.2</v>
      </c>
    </row>
    <row r="137" spans="1:8" x14ac:dyDescent="0.2">
      <c r="A137">
        <v>117</v>
      </c>
      <c r="B137">
        <v>9.75</v>
      </c>
      <c r="C137">
        <v>117.6133</v>
      </c>
      <c r="D137">
        <v>5.6212</v>
      </c>
      <c r="E137">
        <v>92.389799999999994</v>
      </c>
      <c r="F137">
        <v>98.011099999999999</v>
      </c>
      <c r="G137">
        <v>1624.6790000000001</v>
      </c>
      <c r="H137">
        <v>1.2</v>
      </c>
    </row>
    <row r="138" spans="1:8" x14ac:dyDescent="0.2">
      <c r="A138">
        <v>118</v>
      </c>
      <c r="B138">
        <v>9.8332999999999995</v>
      </c>
      <c r="C138">
        <v>117.6133</v>
      </c>
      <c r="D138">
        <v>5.3188000000000004</v>
      </c>
      <c r="E138">
        <v>92.692300000000003</v>
      </c>
      <c r="F138">
        <v>98.011099999999999</v>
      </c>
      <c r="G138">
        <v>1531.9866999999999</v>
      </c>
      <c r="H138">
        <v>1.2</v>
      </c>
    </row>
    <row r="139" spans="1:8" x14ac:dyDescent="0.2">
      <c r="A139">
        <v>119</v>
      </c>
      <c r="B139">
        <v>9.9167000000000005</v>
      </c>
      <c r="C139">
        <v>117.6133</v>
      </c>
      <c r="D139">
        <v>5.0152999999999999</v>
      </c>
      <c r="E139">
        <v>92.995699999999999</v>
      </c>
      <c r="F139">
        <v>98.011099999999999</v>
      </c>
      <c r="G139">
        <v>1438.991</v>
      </c>
      <c r="H139">
        <v>1.2</v>
      </c>
    </row>
    <row r="140" spans="1:8" x14ac:dyDescent="0.2">
      <c r="A140">
        <v>120</v>
      </c>
      <c r="B140">
        <v>10</v>
      </c>
      <c r="C140">
        <v>117.6133</v>
      </c>
      <c r="D140">
        <v>4.7108999999999996</v>
      </c>
      <c r="E140">
        <v>93.300200000000004</v>
      </c>
      <c r="F140">
        <v>98.011099999999999</v>
      </c>
      <c r="G140">
        <v>1345.6908000000001</v>
      </c>
      <c r="H140">
        <v>1.2</v>
      </c>
    </row>
    <row r="141" spans="1:8" x14ac:dyDescent="0.2">
      <c r="A141">
        <v>121</v>
      </c>
      <c r="B141">
        <v>10.083299999999999</v>
      </c>
      <c r="C141">
        <v>28.4542</v>
      </c>
      <c r="D141">
        <v>6.0175000000000001</v>
      </c>
      <c r="E141">
        <v>15.059699999999999</v>
      </c>
      <c r="F141">
        <v>21.077200000000001</v>
      </c>
      <c r="G141">
        <v>1330.6312</v>
      </c>
      <c r="H141">
        <v>1.35</v>
      </c>
    </row>
    <row r="142" spans="1:8" x14ac:dyDescent="0.2">
      <c r="A142">
        <v>122</v>
      </c>
      <c r="B142">
        <v>10.166700000000001</v>
      </c>
      <c r="C142">
        <v>28.4329</v>
      </c>
      <c r="D142">
        <v>5.9501999999999997</v>
      </c>
      <c r="E142">
        <v>15.1112</v>
      </c>
      <c r="F142">
        <v>21.061399999999999</v>
      </c>
      <c r="G142">
        <v>1315.5199</v>
      </c>
      <c r="H142">
        <v>1.35</v>
      </c>
    </row>
    <row r="143" spans="1:8" x14ac:dyDescent="0.2">
      <c r="A143">
        <v>123</v>
      </c>
      <c r="B143">
        <v>10.25</v>
      </c>
      <c r="C143">
        <v>30.214600000000001</v>
      </c>
      <c r="D143">
        <v>5.8826000000000001</v>
      </c>
      <c r="E143">
        <v>16.4986</v>
      </c>
      <c r="F143">
        <v>22.3812</v>
      </c>
      <c r="G143">
        <v>1299.0213000000001</v>
      </c>
      <c r="H143">
        <v>1.35</v>
      </c>
    </row>
    <row r="144" spans="1:8" x14ac:dyDescent="0.2">
      <c r="A144">
        <v>124</v>
      </c>
      <c r="B144">
        <v>10.333299999999999</v>
      </c>
      <c r="C144">
        <v>28.044499999999999</v>
      </c>
      <c r="D144">
        <v>5.8087999999999997</v>
      </c>
      <c r="E144">
        <v>14.9649</v>
      </c>
      <c r="F144">
        <v>20.773700000000002</v>
      </c>
      <c r="G144">
        <v>1284.0564999999999</v>
      </c>
      <c r="H144">
        <v>1.35</v>
      </c>
    </row>
    <row r="145" spans="1:8" x14ac:dyDescent="0.2">
      <c r="A145">
        <v>125</v>
      </c>
      <c r="B145">
        <v>10.416700000000001</v>
      </c>
      <c r="C145">
        <v>25.646999999999998</v>
      </c>
      <c r="D145">
        <v>5.7419000000000002</v>
      </c>
      <c r="E145">
        <v>13.2559</v>
      </c>
      <c r="F145">
        <v>18.997800000000002</v>
      </c>
      <c r="G145">
        <v>1270.8006</v>
      </c>
      <c r="H145">
        <v>1.35</v>
      </c>
    </row>
    <row r="146" spans="1:8" x14ac:dyDescent="0.2">
      <c r="A146">
        <v>126</v>
      </c>
      <c r="B146">
        <v>10.5</v>
      </c>
      <c r="C146">
        <v>27.003699999999998</v>
      </c>
      <c r="D146">
        <v>5.6825999999999999</v>
      </c>
      <c r="E146">
        <v>14.3201</v>
      </c>
      <c r="F146">
        <v>20.002800000000001</v>
      </c>
      <c r="G146">
        <v>1256.4804999999999</v>
      </c>
      <c r="H146">
        <v>1.35</v>
      </c>
    </row>
    <row r="147" spans="1:8" x14ac:dyDescent="0.2">
      <c r="A147">
        <v>127</v>
      </c>
      <c r="B147">
        <v>10.583299999999999</v>
      </c>
      <c r="C147">
        <v>26.529</v>
      </c>
      <c r="D147">
        <v>5.6185999999999998</v>
      </c>
      <c r="E147">
        <v>14.032500000000001</v>
      </c>
      <c r="F147">
        <v>19.6511</v>
      </c>
      <c r="G147">
        <v>1242.4478999999999</v>
      </c>
      <c r="H147">
        <v>1.35</v>
      </c>
    </row>
    <row r="148" spans="1:8" x14ac:dyDescent="0.2">
      <c r="A148">
        <v>128</v>
      </c>
      <c r="B148">
        <v>10.666700000000001</v>
      </c>
      <c r="C148">
        <v>26.165700000000001</v>
      </c>
      <c r="D148">
        <v>5.5559000000000003</v>
      </c>
      <c r="E148">
        <v>13.8261</v>
      </c>
      <c r="F148">
        <v>19.382000000000001</v>
      </c>
      <c r="G148">
        <v>1228.6217999999999</v>
      </c>
      <c r="H148">
        <v>1.35</v>
      </c>
    </row>
    <row r="149" spans="1:8" x14ac:dyDescent="0.2">
      <c r="A149">
        <v>129</v>
      </c>
      <c r="B149">
        <v>10.75</v>
      </c>
      <c r="C149">
        <v>24.6218</v>
      </c>
      <c r="D149">
        <v>5.4939999999999998</v>
      </c>
      <c r="E149">
        <v>12.744300000000001</v>
      </c>
      <c r="F149">
        <v>18.238399999999999</v>
      </c>
      <c r="G149">
        <v>1215.8774000000001</v>
      </c>
      <c r="H149">
        <v>1.35</v>
      </c>
    </row>
    <row r="150" spans="1:8" x14ac:dyDescent="0.2">
      <c r="A150">
        <v>130</v>
      </c>
      <c r="B150">
        <v>10.833299999999999</v>
      </c>
      <c r="C150">
        <v>25.102</v>
      </c>
      <c r="D150">
        <v>5.4370000000000003</v>
      </c>
      <c r="E150">
        <v>13.157</v>
      </c>
      <c r="F150">
        <v>18.594100000000001</v>
      </c>
      <c r="G150">
        <v>1202.7203999999999</v>
      </c>
      <c r="H150">
        <v>1.35</v>
      </c>
    </row>
    <row r="151" spans="1:8" x14ac:dyDescent="0.2">
      <c r="A151">
        <v>131</v>
      </c>
      <c r="B151">
        <v>10.916700000000001</v>
      </c>
      <c r="C151">
        <v>24.228899999999999</v>
      </c>
      <c r="D151">
        <v>5.3781999999999996</v>
      </c>
      <c r="E151">
        <v>12.569100000000001</v>
      </c>
      <c r="F151">
        <v>17.947299999999998</v>
      </c>
      <c r="G151">
        <v>1190.1513</v>
      </c>
      <c r="H151">
        <v>1.35</v>
      </c>
    </row>
    <row r="152" spans="1:8" x14ac:dyDescent="0.2">
      <c r="A152">
        <v>132</v>
      </c>
      <c r="B152">
        <v>11</v>
      </c>
      <c r="C152">
        <v>23.777899999999999</v>
      </c>
      <c r="D152">
        <v>5.3220000000000001</v>
      </c>
      <c r="E152">
        <v>12.2913</v>
      </c>
      <c r="F152">
        <v>17.613299999999999</v>
      </c>
      <c r="G152">
        <v>1177.8599999999999</v>
      </c>
      <c r="H152">
        <v>1.35</v>
      </c>
    </row>
    <row r="153" spans="1:8" x14ac:dyDescent="0.2">
      <c r="A153">
        <v>133</v>
      </c>
      <c r="B153">
        <v>11.083299999999999</v>
      </c>
      <c r="C153">
        <v>20.757000000000001</v>
      </c>
      <c r="D153">
        <v>5.2670000000000003</v>
      </c>
      <c r="E153">
        <v>10.108499999999999</v>
      </c>
      <c r="F153">
        <v>15.3756</v>
      </c>
      <c r="G153">
        <v>1167.7515000000001</v>
      </c>
      <c r="H153">
        <v>1.35</v>
      </c>
    </row>
    <row r="154" spans="1:8" x14ac:dyDescent="0.2">
      <c r="A154">
        <v>134</v>
      </c>
      <c r="B154">
        <v>11.166700000000001</v>
      </c>
      <c r="C154">
        <v>21.0045</v>
      </c>
      <c r="D154">
        <v>5.2218</v>
      </c>
      <c r="E154">
        <v>10.337</v>
      </c>
      <c r="F154">
        <v>15.5589</v>
      </c>
      <c r="G154">
        <v>1157.4143999999999</v>
      </c>
      <c r="H154">
        <v>1.35</v>
      </c>
    </row>
    <row r="155" spans="1:8" x14ac:dyDescent="0.2">
      <c r="A155">
        <v>135</v>
      </c>
      <c r="B155">
        <v>11.25</v>
      </c>
      <c r="C155">
        <v>22.2592</v>
      </c>
      <c r="D155">
        <v>5.1756000000000002</v>
      </c>
      <c r="E155">
        <v>11.3127</v>
      </c>
      <c r="F155">
        <v>16.488299999999999</v>
      </c>
      <c r="G155">
        <v>1146.1017999999999</v>
      </c>
      <c r="H155">
        <v>1.35</v>
      </c>
    </row>
    <row r="156" spans="1:8" x14ac:dyDescent="0.2">
      <c r="A156">
        <v>136</v>
      </c>
      <c r="B156">
        <v>11.333299999999999</v>
      </c>
      <c r="C156">
        <v>24.7818</v>
      </c>
      <c r="D156">
        <v>5.125</v>
      </c>
      <c r="E156">
        <v>13.2318</v>
      </c>
      <c r="F156">
        <v>18.3569</v>
      </c>
      <c r="G156">
        <v>1132.8698999999999</v>
      </c>
      <c r="H156">
        <v>1.35</v>
      </c>
    </row>
    <row r="157" spans="1:8" x14ac:dyDescent="0.2">
      <c r="A157">
        <v>137</v>
      </c>
      <c r="B157">
        <v>11.416700000000001</v>
      </c>
      <c r="C157">
        <v>24.528700000000001</v>
      </c>
      <c r="D157">
        <v>5.0659000000000001</v>
      </c>
      <c r="E157">
        <v>13.1035</v>
      </c>
      <c r="F157">
        <v>18.1694</v>
      </c>
      <c r="G157">
        <v>1119.7664</v>
      </c>
      <c r="H157">
        <v>1.35</v>
      </c>
    </row>
    <row r="158" spans="1:8" x14ac:dyDescent="0.2">
      <c r="A158">
        <v>138</v>
      </c>
      <c r="B158">
        <v>11.5</v>
      </c>
      <c r="C158">
        <v>23.7805</v>
      </c>
      <c r="D158">
        <v>5.0072999999999999</v>
      </c>
      <c r="E158">
        <v>12.607900000000001</v>
      </c>
      <c r="F158">
        <v>17.615200000000002</v>
      </c>
      <c r="G158">
        <v>1107.1585</v>
      </c>
      <c r="H158">
        <v>1.35</v>
      </c>
    </row>
    <row r="159" spans="1:8" x14ac:dyDescent="0.2">
      <c r="A159">
        <v>139</v>
      </c>
      <c r="B159">
        <v>11.583299999999999</v>
      </c>
      <c r="C159">
        <v>26.778199999999998</v>
      </c>
      <c r="D159">
        <v>4.9508999999999999</v>
      </c>
      <c r="E159">
        <v>14.8848</v>
      </c>
      <c r="F159">
        <v>19.835699999999999</v>
      </c>
      <c r="G159">
        <v>1092.2737</v>
      </c>
      <c r="H159">
        <v>1.35</v>
      </c>
    </row>
    <row r="160" spans="1:8" x14ac:dyDescent="0.2">
      <c r="A160">
        <v>140</v>
      </c>
      <c r="B160">
        <v>11.666700000000001</v>
      </c>
      <c r="C160">
        <v>26.963899999999999</v>
      </c>
      <c r="D160">
        <v>4.8842999999999996</v>
      </c>
      <c r="E160">
        <v>15.089</v>
      </c>
      <c r="F160">
        <v>19.973299999999998</v>
      </c>
      <c r="G160">
        <v>1077.1847</v>
      </c>
      <c r="H160">
        <v>1.35</v>
      </c>
    </row>
    <row r="161" spans="1:8" x14ac:dyDescent="0.2">
      <c r="A161">
        <v>141</v>
      </c>
      <c r="B161">
        <v>11.75</v>
      </c>
      <c r="C161">
        <v>26.010100000000001</v>
      </c>
      <c r="D161">
        <v>4.8167999999999997</v>
      </c>
      <c r="E161">
        <v>14.4499</v>
      </c>
      <c r="F161">
        <v>19.2667</v>
      </c>
      <c r="G161">
        <v>1062.7348</v>
      </c>
      <c r="H161">
        <v>1.35</v>
      </c>
    </row>
    <row r="162" spans="1:8" x14ac:dyDescent="0.2">
      <c r="A162">
        <v>142</v>
      </c>
      <c r="B162">
        <v>11.833299999999999</v>
      </c>
      <c r="C162">
        <v>26.808299999999999</v>
      </c>
      <c r="D162">
        <v>4.7522000000000002</v>
      </c>
      <c r="E162">
        <v>15.1058</v>
      </c>
      <c r="F162">
        <v>19.858000000000001</v>
      </c>
      <c r="G162">
        <v>1047.6289999999999</v>
      </c>
      <c r="H162">
        <v>1.35</v>
      </c>
    </row>
    <row r="163" spans="1:8" x14ac:dyDescent="0.2">
      <c r="A163">
        <v>143</v>
      </c>
      <c r="B163">
        <v>11.916700000000001</v>
      </c>
      <c r="C163">
        <v>23.440100000000001</v>
      </c>
      <c r="D163">
        <v>4.6847000000000003</v>
      </c>
      <c r="E163">
        <v>12.6784</v>
      </c>
      <c r="F163">
        <v>17.363099999999999</v>
      </c>
      <c r="G163">
        <v>1034.9507000000001</v>
      </c>
      <c r="H163">
        <v>1.35</v>
      </c>
    </row>
    <row r="164" spans="1:8" x14ac:dyDescent="0.2">
      <c r="A164">
        <v>144</v>
      </c>
      <c r="B164">
        <v>12</v>
      </c>
      <c r="C164">
        <v>26.103899999999999</v>
      </c>
      <c r="D164">
        <v>4.6280000000000001</v>
      </c>
      <c r="E164">
        <v>14.7082</v>
      </c>
      <c r="F164">
        <v>19.336200000000002</v>
      </c>
      <c r="G164">
        <v>1020.2424999999999</v>
      </c>
      <c r="H164">
        <v>1.35</v>
      </c>
    </row>
    <row r="165" spans="1:8" x14ac:dyDescent="0.2">
      <c r="A165">
        <v>145</v>
      </c>
      <c r="B165">
        <v>12.083299999999999</v>
      </c>
      <c r="C165">
        <v>24.998699999999999</v>
      </c>
      <c r="D165">
        <v>4.5621999999999998</v>
      </c>
      <c r="E165">
        <v>13.955299999999999</v>
      </c>
      <c r="F165">
        <v>18.517600000000002</v>
      </c>
      <c r="G165">
        <v>1006.2871</v>
      </c>
      <c r="H165">
        <v>1.35</v>
      </c>
    </row>
    <row r="166" spans="1:8" x14ac:dyDescent="0.2">
      <c r="A166">
        <v>146</v>
      </c>
      <c r="B166">
        <v>12.166700000000001</v>
      </c>
      <c r="C166">
        <v>26.5547</v>
      </c>
      <c r="D166">
        <v>4.4997999999999996</v>
      </c>
      <c r="E166">
        <v>15.170299999999999</v>
      </c>
      <c r="F166">
        <v>19.670100000000001</v>
      </c>
      <c r="G166">
        <v>991.11680000000001</v>
      </c>
      <c r="H166">
        <v>1.35</v>
      </c>
    </row>
    <row r="167" spans="1:8" x14ac:dyDescent="0.2">
      <c r="A167">
        <v>147</v>
      </c>
      <c r="B167">
        <v>12.25</v>
      </c>
      <c r="C167">
        <v>23.204000000000001</v>
      </c>
      <c r="D167">
        <v>4.4320000000000004</v>
      </c>
      <c r="E167">
        <v>12.7562</v>
      </c>
      <c r="F167">
        <v>17.188099999999999</v>
      </c>
      <c r="G167">
        <v>978.36059999999998</v>
      </c>
      <c r="H167">
        <v>1.35</v>
      </c>
    </row>
    <row r="168" spans="1:8" x14ac:dyDescent="0.2">
      <c r="A168">
        <v>148</v>
      </c>
      <c r="B168">
        <v>12.333299999999999</v>
      </c>
      <c r="C168">
        <v>22.654399999999999</v>
      </c>
      <c r="D168">
        <v>4.3749000000000002</v>
      </c>
      <c r="E168">
        <v>12.4061</v>
      </c>
      <c r="F168">
        <v>16.780999999999999</v>
      </c>
      <c r="G168">
        <v>965.95450000000005</v>
      </c>
      <c r="H168">
        <v>1.35</v>
      </c>
    </row>
    <row r="169" spans="1:8" x14ac:dyDescent="0.2">
      <c r="A169">
        <v>149</v>
      </c>
      <c r="B169">
        <v>12.416700000000001</v>
      </c>
      <c r="C169">
        <v>23.091799999999999</v>
      </c>
      <c r="D169">
        <v>4.3194999999999997</v>
      </c>
      <c r="E169">
        <v>12.785600000000001</v>
      </c>
      <c r="F169">
        <v>17.105</v>
      </c>
      <c r="G169">
        <v>953.16899999999998</v>
      </c>
      <c r="H169">
        <v>1.35</v>
      </c>
    </row>
    <row r="170" spans="1:8" x14ac:dyDescent="0.2">
      <c r="A170">
        <v>150</v>
      </c>
      <c r="B170">
        <v>12.5</v>
      </c>
      <c r="C170">
        <v>21.110900000000001</v>
      </c>
      <c r="D170">
        <v>4.2622999999999998</v>
      </c>
      <c r="E170">
        <v>11.375400000000001</v>
      </c>
      <c r="F170">
        <v>15.637700000000001</v>
      </c>
      <c r="G170">
        <v>941.79359999999997</v>
      </c>
      <c r="H170">
        <v>1.35</v>
      </c>
    </row>
    <row r="171" spans="1:8" x14ac:dyDescent="0.2">
      <c r="A171">
        <v>151</v>
      </c>
      <c r="B171">
        <v>12.583299999999999</v>
      </c>
      <c r="C171">
        <v>24.339200000000002</v>
      </c>
      <c r="D171">
        <v>4.2114000000000003</v>
      </c>
      <c r="E171">
        <v>13.817600000000001</v>
      </c>
      <c r="F171">
        <v>18.0291</v>
      </c>
      <c r="G171">
        <v>927.97590000000002</v>
      </c>
      <c r="H171">
        <v>1.35</v>
      </c>
    </row>
    <row r="172" spans="1:8" x14ac:dyDescent="0.2">
      <c r="A172">
        <v>152</v>
      </c>
      <c r="B172">
        <v>12.666700000000001</v>
      </c>
      <c r="C172">
        <v>24.537600000000001</v>
      </c>
      <c r="D172">
        <v>4.1496000000000004</v>
      </c>
      <c r="E172">
        <v>14.026400000000001</v>
      </c>
      <c r="F172">
        <v>18.175999999999998</v>
      </c>
      <c r="G172">
        <v>913.94960000000003</v>
      </c>
      <c r="H172">
        <v>1.35</v>
      </c>
    </row>
    <row r="173" spans="1:8" x14ac:dyDescent="0.2">
      <c r="A173">
        <v>153</v>
      </c>
      <c r="B173">
        <v>12.75</v>
      </c>
      <c r="C173">
        <v>25.4773</v>
      </c>
      <c r="D173">
        <v>4.0869</v>
      </c>
      <c r="E173">
        <v>14.7851</v>
      </c>
      <c r="F173">
        <v>18.8721</v>
      </c>
      <c r="G173">
        <v>899.1644</v>
      </c>
      <c r="H173">
        <v>1.35</v>
      </c>
    </row>
    <row r="174" spans="1:8" x14ac:dyDescent="0.2">
      <c r="A174">
        <v>154</v>
      </c>
      <c r="B174">
        <v>12.833299999999999</v>
      </c>
      <c r="C174">
        <v>23.771000000000001</v>
      </c>
      <c r="D174">
        <v>4.0208000000000004</v>
      </c>
      <c r="E174">
        <v>13.587300000000001</v>
      </c>
      <c r="F174">
        <v>17.6081</v>
      </c>
      <c r="G174">
        <v>885.57709999999997</v>
      </c>
      <c r="H174">
        <v>1.35</v>
      </c>
    </row>
    <row r="175" spans="1:8" x14ac:dyDescent="0.2">
      <c r="A175">
        <v>155</v>
      </c>
      <c r="B175">
        <v>12.916700000000001</v>
      </c>
      <c r="C175">
        <v>24.216799999999999</v>
      </c>
      <c r="D175">
        <v>3.96</v>
      </c>
      <c r="E175">
        <v>13.978300000000001</v>
      </c>
      <c r="F175">
        <v>17.938400000000001</v>
      </c>
      <c r="G175">
        <v>871.59879999999998</v>
      </c>
      <c r="H175">
        <v>1.35</v>
      </c>
    </row>
    <row r="176" spans="1:8" x14ac:dyDescent="0.2">
      <c r="A176">
        <v>156</v>
      </c>
      <c r="B176">
        <v>13</v>
      </c>
      <c r="C176">
        <v>24.7807</v>
      </c>
      <c r="D176">
        <v>3.8975</v>
      </c>
      <c r="E176">
        <v>14.458500000000001</v>
      </c>
      <c r="F176">
        <v>18.356100000000001</v>
      </c>
      <c r="G176">
        <v>857.14020000000005</v>
      </c>
      <c r="H176">
        <v>1.35</v>
      </c>
    </row>
    <row r="177" spans="1:8" x14ac:dyDescent="0.2">
      <c r="A177">
        <v>157</v>
      </c>
      <c r="B177">
        <v>13.083299999999999</v>
      </c>
      <c r="C177">
        <v>22.200099999999999</v>
      </c>
      <c r="D177">
        <v>3.8329</v>
      </c>
      <c r="E177">
        <v>12.611599999999999</v>
      </c>
      <c r="F177">
        <v>16.444500000000001</v>
      </c>
      <c r="G177">
        <v>844.52859999999998</v>
      </c>
      <c r="H177">
        <v>1.35</v>
      </c>
    </row>
    <row r="178" spans="1:8" x14ac:dyDescent="0.2">
      <c r="A178">
        <v>158</v>
      </c>
      <c r="B178">
        <v>13.166700000000001</v>
      </c>
      <c r="C178">
        <v>24.115100000000002</v>
      </c>
      <c r="D178">
        <v>3.7765</v>
      </c>
      <c r="E178">
        <v>14.086600000000001</v>
      </c>
      <c r="F178">
        <v>17.863099999999999</v>
      </c>
      <c r="G178">
        <v>830.44200000000001</v>
      </c>
      <c r="H178">
        <v>1.35</v>
      </c>
    </row>
    <row r="179" spans="1:8" x14ac:dyDescent="0.2">
      <c r="A179">
        <v>159</v>
      </c>
      <c r="B179">
        <v>13.25</v>
      </c>
      <c r="C179">
        <v>23.284700000000001</v>
      </c>
      <c r="D179">
        <v>3.7134999999999998</v>
      </c>
      <c r="E179">
        <v>13.5345</v>
      </c>
      <c r="F179">
        <v>17.248000000000001</v>
      </c>
      <c r="G179">
        <v>816.9076</v>
      </c>
      <c r="H179">
        <v>1.35</v>
      </c>
    </row>
    <row r="180" spans="1:8" x14ac:dyDescent="0.2">
      <c r="A180">
        <v>160</v>
      </c>
      <c r="B180">
        <v>13.333299999999999</v>
      </c>
      <c r="C180">
        <v>22.9819</v>
      </c>
      <c r="D180">
        <v>3.653</v>
      </c>
      <c r="E180">
        <v>13.370699999999999</v>
      </c>
      <c r="F180">
        <v>17.023599999999998</v>
      </c>
      <c r="G180">
        <v>803.53689999999995</v>
      </c>
      <c r="H180">
        <v>1.35</v>
      </c>
    </row>
    <row r="181" spans="1:8" x14ac:dyDescent="0.2">
      <c r="A181">
        <v>161</v>
      </c>
      <c r="B181">
        <v>13.416700000000001</v>
      </c>
      <c r="C181">
        <v>20.5181</v>
      </c>
      <c r="D181">
        <v>3.5931999999999999</v>
      </c>
      <c r="E181">
        <v>11.605399999999999</v>
      </c>
      <c r="F181">
        <v>15.198600000000001</v>
      </c>
      <c r="G181">
        <v>791.93150000000003</v>
      </c>
      <c r="H181">
        <v>1.35</v>
      </c>
    </row>
    <row r="182" spans="1:8" x14ac:dyDescent="0.2">
      <c r="A182">
        <v>162</v>
      </c>
      <c r="B182">
        <v>13.5</v>
      </c>
      <c r="C182">
        <v>21.142399999999999</v>
      </c>
      <c r="D182">
        <v>3.5413000000000001</v>
      </c>
      <c r="E182">
        <v>12.1198</v>
      </c>
      <c r="F182">
        <v>15.661099999999999</v>
      </c>
      <c r="G182">
        <v>779.81169999999997</v>
      </c>
      <c r="H182">
        <v>1.35</v>
      </c>
    </row>
    <row r="183" spans="1:8" x14ac:dyDescent="0.2">
      <c r="A183">
        <v>163</v>
      </c>
      <c r="B183">
        <v>13.583299999999999</v>
      </c>
      <c r="C183">
        <v>22.1328</v>
      </c>
      <c r="D183">
        <v>3.4870999999999999</v>
      </c>
      <c r="E183">
        <v>12.9076</v>
      </c>
      <c r="F183">
        <v>16.3947</v>
      </c>
      <c r="G183">
        <v>766.90409999999997</v>
      </c>
      <c r="H183">
        <v>1.35</v>
      </c>
    </row>
    <row r="184" spans="1:8" x14ac:dyDescent="0.2">
      <c r="A184">
        <v>164</v>
      </c>
      <c r="B184">
        <v>13.666700000000001</v>
      </c>
      <c r="C184">
        <v>22.914100000000001</v>
      </c>
      <c r="D184">
        <v>3.4293999999999998</v>
      </c>
      <c r="E184">
        <v>13.544</v>
      </c>
      <c r="F184">
        <v>16.973400000000002</v>
      </c>
      <c r="G184">
        <v>753.36009999999999</v>
      </c>
      <c r="H184">
        <v>1.35</v>
      </c>
    </row>
    <row r="185" spans="1:8" x14ac:dyDescent="0.2">
      <c r="A185">
        <v>165</v>
      </c>
      <c r="B185">
        <v>13.75</v>
      </c>
      <c r="C185">
        <v>20.795300000000001</v>
      </c>
      <c r="D185">
        <v>3.3687999999999998</v>
      </c>
      <c r="E185">
        <v>12.0351</v>
      </c>
      <c r="F185">
        <v>15.4039</v>
      </c>
      <c r="G185">
        <v>741.32500000000005</v>
      </c>
      <c r="H185">
        <v>1.35</v>
      </c>
    </row>
    <row r="186" spans="1:8" x14ac:dyDescent="0.2">
      <c r="A186">
        <v>166</v>
      </c>
      <c r="B186">
        <v>13.833299999999999</v>
      </c>
      <c r="C186">
        <v>19.737100000000002</v>
      </c>
      <c r="D186">
        <v>3.3149999999999999</v>
      </c>
      <c r="E186">
        <v>11.305099999999999</v>
      </c>
      <c r="F186">
        <v>14.620100000000001</v>
      </c>
      <c r="G186">
        <v>730.01990000000001</v>
      </c>
      <c r="H186">
        <v>1.35</v>
      </c>
    </row>
    <row r="187" spans="1:8" x14ac:dyDescent="0.2">
      <c r="A187">
        <v>167</v>
      </c>
      <c r="B187">
        <v>13.916700000000001</v>
      </c>
      <c r="C187">
        <v>19.848600000000001</v>
      </c>
      <c r="D187">
        <v>3.2644000000000002</v>
      </c>
      <c r="E187">
        <v>11.4382</v>
      </c>
      <c r="F187">
        <v>14.7026</v>
      </c>
      <c r="G187">
        <v>718.58169999999996</v>
      </c>
      <c r="H187">
        <v>1.35</v>
      </c>
    </row>
    <row r="188" spans="1:8" x14ac:dyDescent="0.2">
      <c r="A188">
        <v>168</v>
      </c>
      <c r="B188">
        <v>14</v>
      </c>
      <c r="C188">
        <v>19.37</v>
      </c>
      <c r="D188">
        <v>3.2132999999999998</v>
      </c>
      <c r="E188">
        <v>11.1349</v>
      </c>
      <c r="F188">
        <v>14.348100000000001</v>
      </c>
      <c r="G188">
        <v>707.44680000000005</v>
      </c>
      <c r="H188">
        <v>1.35</v>
      </c>
    </row>
    <row r="189" spans="1:8" x14ac:dyDescent="0.2">
      <c r="A189">
        <v>169</v>
      </c>
      <c r="B189">
        <v>14.083299999999999</v>
      </c>
      <c r="C189">
        <v>18.979199999999999</v>
      </c>
      <c r="D189">
        <v>3.1635</v>
      </c>
      <c r="E189">
        <v>10.895200000000001</v>
      </c>
      <c r="F189">
        <v>14.0587</v>
      </c>
      <c r="G189">
        <v>696.55160000000001</v>
      </c>
      <c r="H189">
        <v>1.35</v>
      </c>
    </row>
    <row r="190" spans="1:8" x14ac:dyDescent="0.2">
      <c r="A190">
        <v>170</v>
      </c>
      <c r="B190">
        <v>14.166700000000001</v>
      </c>
      <c r="C190">
        <v>19.174299999999999</v>
      </c>
      <c r="D190">
        <v>3.1147999999999998</v>
      </c>
      <c r="E190">
        <v>11.0884</v>
      </c>
      <c r="F190">
        <v>14.203200000000001</v>
      </c>
      <c r="G190">
        <v>685.46320000000003</v>
      </c>
      <c r="H190">
        <v>1.35</v>
      </c>
    </row>
    <row r="191" spans="1:8" x14ac:dyDescent="0.2">
      <c r="A191">
        <v>171</v>
      </c>
      <c r="B191">
        <v>14.25</v>
      </c>
      <c r="C191">
        <v>17.0823</v>
      </c>
      <c r="D191">
        <v>3.0651999999999999</v>
      </c>
      <c r="E191">
        <v>9.5884</v>
      </c>
      <c r="F191">
        <v>12.653499999999999</v>
      </c>
      <c r="G191">
        <v>675.87480000000005</v>
      </c>
      <c r="H191">
        <v>1.35</v>
      </c>
    </row>
    <row r="192" spans="1:8" x14ac:dyDescent="0.2">
      <c r="A192">
        <v>172</v>
      </c>
      <c r="B192">
        <v>14.333299999999999</v>
      </c>
      <c r="C192">
        <v>19.0459</v>
      </c>
      <c r="D192">
        <v>3.0223</v>
      </c>
      <c r="E192">
        <v>11.085800000000001</v>
      </c>
      <c r="F192">
        <v>14.1081</v>
      </c>
      <c r="G192">
        <v>664.78909999999996</v>
      </c>
      <c r="H192">
        <v>1.35</v>
      </c>
    </row>
    <row r="193" spans="1:8" x14ac:dyDescent="0.2">
      <c r="A193">
        <v>173</v>
      </c>
      <c r="B193">
        <v>14.416700000000001</v>
      </c>
      <c r="C193">
        <v>19.060199999999998</v>
      </c>
      <c r="D193">
        <v>2.9727000000000001</v>
      </c>
      <c r="E193">
        <v>11.145899999999999</v>
      </c>
      <c r="F193">
        <v>14.118600000000001</v>
      </c>
      <c r="G193">
        <v>653.6431</v>
      </c>
      <c r="H193">
        <v>1.35</v>
      </c>
    </row>
    <row r="194" spans="1:8" x14ac:dyDescent="0.2">
      <c r="A194">
        <v>174</v>
      </c>
      <c r="B194">
        <v>14.5</v>
      </c>
      <c r="C194">
        <v>19.130299999999998</v>
      </c>
      <c r="D194">
        <v>2.9228999999999998</v>
      </c>
      <c r="E194">
        <v>11.2477</v>
      </c>
      <c r="F194">
        <v>14.1706</v>
      </c>
      <c r="G194">
        <v>642.3954</v>
      </c>
      <c r="H194">
        <v>1.35</v>
      </c>
    </row>
    <row r="195" spans="1:8" x14ac:dyDescent="0.2">
      <c r="A195">
        <v>175</v>
      </c>
      <c r="B195">
        <v>14.583299999999999</v>
      </c>
      <c r="C195">
        <v>16.956800000000001</v>
      </c>
      <c r="D195">
        <v>2.8725999999999998</v>
      </c>
      <c r="E195">
        <v>9.6880000000000006</v>
      </c>
      <c r="F195">
        <v>12.560600000000001</v>
      </c>
      <c r="G195">
        <v>632.70740000000001</v>
      </c>
      <c r="H195">
        <v>1.35</v>
      </c>
    </row>
    <row r="196" spans="1:8" x14ac:dyDescent="0.2">
      <c r="A196">
        <v>176</v>
      </c>
      <c r="B196">
        <v>14.666700000000001</v>
      </c>
      <c r="C196">
        <v>17.985399999999998</v>
      </c>
      <c r="D196">
        <v>2.8292999999999999</v>
      </c>
      <c r="E196">
        <v>10.4933</v>
      </c>
      <c r="F196">
        <v>13.3226</v>
      </c>
      <c r="G196">
        <v>622.21410000000003</v>
      </c>
      <c r="H196">
        <v>1.35</v>
      </c>
    </row>
    <row r="197" spans="1:8" x14ac:dyDescent="0.2">
      <c r="A197">
        <v>177</v>
      </c>
      <c r="B197">
        <v>14.75</v>
      </c>
      <c r="C197">
        <v>18.1325</v>
      </c>
      <c r="D197">
        <v>2.7824</v>
      </c>
      <c r="E197">
        <v>10.649100000000001</v>
      </c>
      <c r="F197">
        <v>13.4315</v>
      </c>
      <c r="G197">
        <v>611.56500000000005</v>
      </c>
      <c r="H197">
        <v>1.35</v>
      </c>
    </row>
    <row r="198" spans="1:8" x14ac:dyDescent="0.2">
      <c r="A198">
        <v>178</v>
      </c>
      <c r="B198">
        <v>14.833299999999999</v>
      </c>
      <c r="C198">
        <v>18.9818</v>
      </c>
      <c r="D198">
        <v>2.7347000000000001</v>
      </c>
      <c r="E198">
        <v>11.325900000000001</v>
      </c>
      <c r="F198">
        <v>14.060600000000001</v>
      </c>
      <c r="G198">
        <v>600.23919999999998</v>
      </c>
      <c r="H198">
        <v>1.35</v>
      </c>
    </row>
    <row r="199" spans="1:8" x14ac:dyDescent="0.2">
      <c r="A199">
        <v>179</v>
      </c>
      <c r="B199">
        <v>14.916700000000001</v>
      </c>
      <c r="C199">
        <v>18.607700000000001</v>
      </c>
      <c r="D199">
        <v>2.6840999999999999</v>
      </c>
      <c r="E199">
        <v>11.099399999999999</v>
      </c>
      <c r="F199">
        <v>13.7835</v>
      </c>
      <c r="G199">
        <v>589.13980000000004</v>
      </c>
      <c r="H199">
        <v>1.35</v>
      </c>
    </row>
    <row r="200" spans="1:8" x14ac:dyDescent="0.2">
      <c r="A200">
        <v>180</v>
      </c>
      <c r="B200">
        <v>15</v>
      </c>
      <c r="C200">
        <v>18.114799999999999</v>
      </c>
      <c r="D200">
        <v>2.6345000000000001</v>
      </c>
      <c r="E200">
        <v>10.783899999999999</v>
      </c>
      <c r="F200">
        <v>13.4183</v>
      </c>
      <c r="G200">
        <v>578.35590000000002</v>
      </c>
      <c r="H200">
        <v>1.35</v>
      </c>
    </row>
    <row r="201" spans="1:8" x14ac:dyDescent="0.2">
      <c r="A201">
        <v>181</v>
      </c>
      <c r="B201">
        <v>15.083299999999999</v>
      </c>
      <c r="C201">
        <v>15.0152</v>
      </c>
      <c r="D201">
        <v>2.5861999999999998</v>
      </c>
      <c r="E201">
        <v>8.5361999999999991</v>
      </c>
      <c r="F201">
        <v>11.122400000000001</v>
      </c>
      <c r="G201">
        <v>569.81970000000001</v>
      </c>
      <c r="H201">
        <v>1.35</v>
      </c>
    </row>
    <row r="202" spans="1:8" x14ac:dyDescent="0.2">
      <c r="A202">
        <v>182</v>
      </c>
      <c r="B202">
        <v>15.166700000000001</v>
      </c>
      <c r="C202">
        <v>17.145800000000001</v>
      </c>
      <c r="D202">
        <v>2.5480999999999998</v>
      </c>
      <c r="E202">
        <v>10.1525</v>
      </c>
      <c r="F202">
        <v>12.7006</v>
      </c>
      <c r="G202">
        <v>559.66719999999998</v>
      </c>
      <c r="H202">
        <v>1.35</v>
      </c>
    </row>
    <row r="203" spans="1:8" x14ac:dyDescent="0.2">
      <c r="A203">
        <v>183</v>
      </c>
      <c r="B203">
        <v>15.25</v>
      </c>
      <c r="C203">
        <v>17.1388</v>
      </c>
      <c r="D203">
        <v>2.5026999999999999</v>
      </c>
      <c r="E203">
        <v>10.1928</v>
      </c>
      <c r="F203">
        <v>12.695399999999999</v>
      </c>
      <c r="G203">
        <v>549.47439999999995</v>
      </c>
      <c r="H203">
        <v>1.35</v>
      </c>
    </row>
    <row r="204" spans="1:8" x14ac:dyDescent="0.2">
      <c r="A204">
        <v>184</v>
      </c>
      <c r="B204">
        <v>15.333299999999999</v>
      </c>
      <c r="C204">
        <v>17.3232</v>
      </c>
      <c r="D204">
        <v>2.4571000000000001</v>
      </c>
      <c r="E204">
        <v>10.3749</v>
      </c>
      <c r="F204">
        <v>12.832000000000001</v>
      </c>
      <c r="G204">
        <v>539.09950000000003</v>
      </c>
      <c r="H204">
        <v>1.35</v>
      </c>
    </row>
    <row r="205" spans="1:8" x14ac:dyDescent="0.2">
      <c r="A205">
        <v>185</v>
      </c>
      <c r="B205">
        <v>15.416700000000001</v>
      </c>
      <c r="C205">
        <v>15.9505</v>
      </c>
      <c r="D205">
        <v>2.4106999999999998</v>
      </c>
      <c r="E205">
        <v>9.4045000000000005</v>
      </c>
      <c r="F205">
        <v>11.815200000000001</v>
      </c>
      <c r="G205">
        <v>529.69500000000005</v>
      </c>
      <c r="H205">
        <v>1.35</v>
      </c>
    </row>
    <row r="206" spans="1:8" x14ac:dyDescent="0.2">
      <c r="A206">
        <v>186</v>
      </c>
      <c r="B206">
        <v>15.5</v>
      </c>
      <c r="C206">
        <v>17.914200000000001</v>
      </c>
      <c r="D206">
        <v>2.3685999999999998</v>
      </c>
      <c r="E206">
        <v>10.901199999999999</v>
      </c>
      <c r="F206">
        <v>13.2698</v>
      </c>
      <c r="G206">
        <v>518.79380000000003</v>
      </c>
      <c r="H206">
        <v>1.35</v>
      </c>
    </row>
    <row r="207" spans="1:8" x14ac:dyDescent="0.2">
      <c r="A207">
        <v>187</v>
      </c>
      <c r="B207">
        <v>15.583299999999999</v>
      </c>
      <c r="C207">
        <v>18.962499999999999</v>
      </c>
      <c r="D207">
        <v>2.3199000000000001</v>
      </c>
      <c r="E207">
        <v>11.7264</v>
      </c>
      <c r="F207">
        <v>14.0463</v>
      </c>
      <c r="G207">
        <v>507.06740000000002</v>
      </c>
      <c r="H207">
        <v>1.35</v>
      </c>
    </row>
    <row r="208" spans="1:8" x14ac:dyDescent="0.2">
      <c r="A208">
        <v>188</v>
      </c>
      <c r="B208">
        <v>15.666700000000001</v>
      </c>
      <c r="C208">
        <v>17.960999999999999</v>
      </c>
      <c r="D208">
        <v>2.2675000000000001</v>
      </c>
      <c r="E208">
        <v>11.037000000000001</v>
      </c>
      <c r="F208">
        <v>13.304399999999999</v>
      </c>
      <c r="G208">
        <v>496.03050000000002</v>
      </c>
      <c r="H208">
        <v>1.35</v>
      </c>
    </row>
    <row r="209" spans="1:8" x14ac:dyDescent="0.2">
      <c r="A209">
        <v>189</v>
      </c>
      <c r="B209">
        <v>15.75</v>
      </c>
      <c r="C209">
        <v>18.4452</v>
      </c>
      <c r="D209">
        <v>2.2181000000000002</v>
      </c>
      <c r="E209">
        <v>11.445</v>
      </c>
      <c r="F209">
        <v>13.6631</v>
      </c>
      <c r="G209">
        <v>484.58539999999999</v>
      </c>
      <c r="H209">
        <v>1.35</v>
      </c>
    </row>
    <row r="210" spans="1:8" x14ac:dyDescent="0.2">
      <c r="A210">
        <v>190</v>
      </c>
      <c r="B210">
        <v>15.833299999999999</v>
      </c>
      <c r="C210">
        <v>17.846699999999998</v>
      </c>
      <c r="D210">
        <v>2.1669</v>
      </c>
      <c r="E210">
        <v>11.0528</v>
      </c>
      <c r="F210">
        <v>13.219799999999999</v>
      </c>
      <c r="G210">
        <v>473.5326</v>
      </c>
      <c r="H210">
        <v>1.35</v>
      </c>
    </row>
    <row r="211" spans="1:8" x14ac:dyDescent="0.2">
      <c r="A211">
        <v>191</v>
      </c>
      <c r="B211">
        <v>15.916700000000001</v>
      </c>
      <c r="C211">
        <v>19.657399999999999</v>
      </c>
      <c r="D211">
        <v>2.1175000000000002</v>
      </c>
      <c r="E211">
        <v>12.4435</v>
      </c>
      <c r="F211">
        <v>14.561</v>
      </c>
      <c r="G211">
        <v>461.08909999999997</v>
      </c>
      <c r="H211">
        <v>1.35</v>
      </c>
    </row>
    <row r="212" spans="1:8" x14ac:dyDescent="0.2">
      <c r="A212">
        <v>192</v>
      </c>
      <c r="B212">
        <v>16</v>
      </c>
      <c r="C212">
        <v>18.456199999999999</v>
      </c>
      <c r="D212">
        <v>2.0619000000000001</v>
      </c>
      <c r="E212">
        <v>11.609400000000001</v>
      </c>
      <c r="F212">
        <v>13.671200000000001</v>
      </c>
      <c r="G212">
        <v>449.47969999999998</v>
      </c>
      <c r="H212">
        <v>1.35</v>
      </c>
    </row>
    <row r="213" spans="1:8" x14ac:dyDescent="0.2">
      <c r="A213">
        <v>193</v>
      </c>
      <c r="B213">
        <v>16.083300000000001</v>
      </c>
      <c r="C213">
        <v>15.1143</v>
      </c>
      <c r="D213">
        <v>2.0099</v>
      </c>
      <c r="E213">
        <v>9.1858000000000004</v>
      </c>
      <c r="F213">
        <v>11.1957</v>
      </c>
      <c r="G213">
        <v>440.29390000000001</v>
      </c>
      <c r="H213">
        <v>1.35</v>
      </c>
    </row>
    <row r="214" spans="1:8" x14ac:dyDescent="0.2">
      <c r="A214">
        <v>194</v>
      </c>
      <c r="B214">
        <v>16.166699999999999</v>
      </c>
      <c r="C214">
        <v>14.3787</v>
      </c>
      <c r="D214">
        <v>1.9689000000000001</v>
      </c>
      <c r="E214">
        <v>8.6820000000000004</v>
      </c>
      <c r="F214">
        <v>10.6509</v>
      </c>
      <c r="G214">
        <v>431.61189999999999</v>
      </c>
      <c r="H214">
        <v>1.35</v>
      </c>
    </row>
    <row r="215" spans="1:8" x14ac:dyDescent="0.2">
      <c r="A215">
        <v>195</v>
      </c>
      <c r="B215">
        <v>16.25</v>
      </c>
      <c r="C215">
        <v>16.278600000000001</v>
      </c>
      <c r="D215">
        <v>1.93</v>
      </c>
      <c r="E215">
        <v>10.1282</v>
      </c>
      <c r="F215">
        <v>12.058299999999999</v>
      </c>
      <c r="G215">
        <v>421.48360000000002</v>
      </c>
      <c r="H215">
        <v>1.35</v>
      </c>
    </row>
    <row r="216" spans="1:8" x14ac:dyDescent="0.2">
      <c r="A216">
        <v>196</v>
      </c>
      <c r="B216">
        <v>16.333300000000001</v>
      </c>
      <c r="C216">
        <v>17.168800000000001</v>
      </c>
      <c r="D216">
        <v>1.8847</v>
      </c>
      <c r="E216">
        <v>10.8329</v>
      </c>
      <c r="F216">
        <v>12.717599999999999</v>
      </c>
      <c r="G216">
        <v>410.6508</v>
      </c>
      <c r="H216">
        <v>1.35</v>
      </c>
    </row>
    <row r="217" spans="1:8" x14ac:dyDescent="0.2">
      <c r="A217">
        <v>197</v>
      </c>
      <c r="B217">
        <v>16.416699999999999</v>
      </c>
      <c r="C217">
        <v>17.300799999999999</v>
      </c>
      <c r="D217">
        <v>1.8363</v>
      </c>
      <c r="E217">
        <v>10.979100000000001</v>
      </c>
      <c r="F217">
        <v>12.8154</v>
      </c>
      <c r="G217">
        <v>399.67169999999999</v>
      </c>
      <c r="H217">
        <v>1.35</v>
      </c>
    </row>
    <row r="218" spans="1:8" x14ac:dyDescent="0.2">
      <c r="A218">
        <v>198</v>
      </c>
      <c r="B218">
        <v>16.5</v>
      </c>
      <c r="C218">
        <v>15.467700000000001</v>
      </c>
      <c r="D218">
        <v>1.7871999999999999</v>
      </c>
      <c r="E218">
        <v>9.6702999999999992</v>
      </c>
      <c r="F218">
        <v>11.4575</v>
      </c>
      <c r="G218">
        <v>390.00139999999999</v>
      </c>
      <c r="H218">
        <v>1.35</v>
      </c>
    </row>
    <row r="219" spans="1:8" x14ac:dyDescent="0.2">
      <c r="A219">
        <v>199</v>
      </c>
      <c r="B219">
        <v>16.583300000000001</v>
      </c>
      <c r="C219">
        <v>16.892900000000001</v>
      </c>
      <c r="D219">
        <v>1.744</v>
      </c>
      <c r="E219">
        <v>10.769299999999999</v>
      </c>
      <c r="F219">
        <v>12.513199999999999</v>
      </c>
      <c r="G219">
        <v>379.2321</v>
      </c>
      <c r="H219">
        <v>1.35</v>
      </c>
    </row>
    <row r="220" spans="1:8" x14ac:dyDescent="0.2">
      <c r="A220">
        <v>200</v>
      </c>
      <c r="B220">
        <v>16.666699999999999</v>
      </c>
      <c r="C220">
        <v>16.3428</v>
      </c>
      <c r="D220">
        <v>1.6958</v>
      </c>
      <c r="E220">
        <v>10.41</v>
      </c>
      <c r="F220">
        <v>12.1058</v>
      </c>
      <c r="G220">
        <v>368.82209999999998</v>
      </c>
      <c r="H220">
        <v>1.35</v>
      </c>
    </row>
    <row r="221" spans="1:8" x14ac:dyDescent="0.2">
      <c r="A221">
        <v>201</v>
      </c>
      <c r="B221">
        <v>16.75</v>
      </c>
      <c r="C221">
        <v>13.3939</v>
      </c>
      <c r="D221">
        <v>1.6493</v>
      </c>
      <c r="E221">
        <v>8.2721</v>
      </c>
      <c r="F221">
        <v>9.9214000000000002</v>
      </c>
      <c r="G221">
        <v>360.55</v>
      </c>
      <c r="H221">
        <v>1.35</v>
      </c>
    </row>
    <row r="222" spans="1:8" x14ac:dyDescent="0.2">
      <c r="A222">
        <v>202</v>
      </c>
      <c r="B222">
        <v>16.833300000000001</v>
      </c>
      <c r="C222">
        <v>17.5977</v>
      </c>
      <c r="D222">
        <v>1.6123000000000001</v>
      </c>
      <c r="E222">
        <v>11.4231</v>
      </c>
      <c r="F222">
        <v>13.035299999999999</v>
      </c>
      <c r="G222">
        <v>349.12689999999998</v>
      </c>
      <c r="H222">
        <v>1.35</v>
      </c>
    </row>
    <row r="223" spans="1:8" x14ac:dyDescent="0.2">
      <c r="A223">
        <v>203</v>
      </c>
      <c r="B223">
        <v>16.916699999999999</v>
      </c>
      <c r="C223">
        <v>14.4009</v>
      </c>
      <c r="D223">
        <v>1.5611999999999999</v>
      </c>
      <c r="E223">
        <v>9.1061999999999994</v>
      </c>
      <c r="F223">
        <v>10.667400000000001</v>
      </c>
      <c r="G223">
        <v>340.02069999999998</v>
      </c>
      <c r="H223">
        <v>1.35</v>
      </c>
    </row>
    <row r="224" spans="1:8" x14ac:dyDescent="0.2">
      <c r="A224">
        <v>204</v>
      </c>
      <c r="B224">
        <v>17</v>
      </c>
      <c r="C224">
        <v>14.680400000000001</v>
      </c>
      <c r="D224">
        <v>1.5205</v>
      </c>
      <c r="E224">
        <v>9.3538999999999994</v>
      </c>
      <c r="F224">
        <v>10.8744</v>
      </c>
      <c r="G224">
        <v>330.6669</v>
      </c>
      <c r="H224">
        <v>1.35</v>
      </c>
    </row>
    <row r="225" spans="1:8" x14ac:dyDescent="0.2">
      <c r="A225">
        <v>205</v>
      </c>
      <c r="B225">
        <v>17.083300000000001</v>
      </c>
      <c r="C225">
        <v>12.4229</v>
      </c>
      <c r="D225">
        <v>1.4785999999999999</v>
      </c>
      <c r="E225">
        <v>7.7234999999999996</v>
      </c>
      <c r="F225">
        <v>9.2021999999999995</v>
      </c>
      <c r="G225">
        <v>322.94330000000002</v>
      </c>
      <c r="H225">
        <v>1.35</v>
      </c>
    </row>
    <row r="226" spans="1:8" x14ac:dyDescent="0.2">
      <c r="A226">
        <v>206</v>
      </c>
      <c r="B226">
        <v>17.166699999999999</v>
      </c>
      <c r="C226">
        <v>11.3781</v>
      </c>
      <c r="D226">
        <v>1.4440999999999999</v>
      </c>
      <c r="E226">
        <v>6.9840999999999998</v>
      </c>
      <c r="F226">
        <v>8.4282000000000004</v>
      </c>
      <c r="G226">
        <v>315.95920000000001</v>
      </c>
      <c r="H226">
        <v>1.35</v>
      </c>
    </row>
    <row r="227" spans="1:8" x14ac:dyDescent="0.2">
      <c r="A227">
        <v>207</v>
      </c>
      <c r="B227">
        <v>17.25</v>
      </c>
      <c r="C227">
        <v>11.4642</v>
      </c>
      <c r="D227">
        <v>1.4129</v>
      </c>
      <c r="E227">
        <v>7.0791000000000004</v>
      </c>
      <c r="F227">
        <v>8.4920000000000009</v>
      </c>
      <c r="G227">
        <v>308.88010000000003</v>
      </c>
      <c r="H227">
        <v>1.35</v>
      </c>
    </row>
    <row r="228" spans="1:8" x14ac:dyDescent="0.2">
      <c r="A228">
        <v>208</v>
      </c>
      <c r="B228">
        <v>17.333300000000001</v>
      </c>
      <c r="C228">
        <v>12.529500000000001</v>
      </c>
      <c r="D228">
        <v>1.3812</v>
      </c>
      <c r="E228">
        <v>7.8998999999999997</v>
      </c>
      <c r="F228">
        <v>9.2811000000000003</v>
      </c>
      <c r="G228">
        <v>300.98020000000002</v>
      </c>
      <c r="H228">
        <v>1.35</v>
      </c>
    </row>
    <row r="229" spans="1:8" x14ac:dyDescent="0.2">
      <c r="A229">
        <v>209</v>
      </c>
      <c r="B229">
        <v>17.416699999999999</v>
      </c>
      <c r="C229">
        <v>13.694000000000001</v>
      </c>
      <c r="D229">
        <v>1.3459000000000001</v>
      </c>
      <c r="E229">
        <v>8.7978000000000005</v>
      </c>
      <c r="F229">
        <v>10.143700000000001</v>
      </c>
      <c r="G229">
        <v>292.1823</v>
      </c>
      <c r="H229">
        <v>1.35</v>
      </c>
    </row>
    <row r="230" spans="1:8" x14ac:dyDescent="0.2">
      <c r="A230">
        <v>210</v>
      </c>
      <c r="B230">
        <v>17.5</v>
      </c>
      <c r="C230">
        <v>12.4171</v>
      </c>
      <c r="D230">
        <v>1.3066</v>
      </c>
      <c r="E230">
        <v>7.8913000000000002</v>
      </c>
      <c r="F230">
        <v>9.1978000000000009</v>
      </c>
      <c r="G230">
        <v>284.291</v>
      </c>
      <c r="H230">
        <v>1.35</v>
      </c>
    </row>
    <row r="231" spans="1:8" x14ac:dyDescent="0.2">
      <c r="A231">
        <v>211</v>
      </c>
      <c r="B231">
        <v>17.583300000000001</v>
      </c>
      <c r="C231">
        <v>13.645300000000001</v>
      </c>
      <c r="D231">
        <v>1.2713000000000001</v>
      </c>
      <c r="E231">
        <v>8.8363999999999994</v>
      </c>
      <c r="F231">
        <v>10.1076</v>
      </c>
      <c r="G231">
        <v>275.4547</v>
      </c>
      <c r="H231">
        <v>1.35</v>
      </c>
    </row>
    <row r="232" spans="1:8" x14ac:dyDescent="0.2">
      <c r="A232">
        <v>212</v>
      </c>
      <c r="B232">
        <v>17.666699999999999</v>
      </c>
      <c r="C232">
        <v>14.0497</v>
      </c>
      <c r="D232">
        <v>1.2318</v>
      </c>
      <c r="E232">
        <v>9.1753999999999998</v>
      </c>
      <c r="F232">
        <v>10.4071</v>
      </c>
      <c r="G232">
        <v>266.27929999999998</v>
      </c>
      <c r="H232">
        <v>1.35</v>
      </c>
    </row>
    <row r="233" spans="1:8" x14ac:dyDescent="0.2">
      <c r="A233">
        <v>213</v>
      </c>
      <c r="B233">
        <v>17.75</v>
      </c>
      <c r="C233">
        <v>11.350099999999999</v>
      </c>
      <c r="D233">
        <v>1.1907000000000001</v>
      </c>
      <c r="E233">
        <v>7.2168000000000001</v>
      </c>
      <c r="F233">
        <v>8.4075000000000006</v>
      </c>
      <c r="G233">
        <v>259.0625</v>
      </c>
      <c r="H233">
        <v>1.35</v>
      </c>
    </row>
    <row r="234" spans="1:8" x14ac:dyDescent="0.2">
      <c r="A234">
        <v>214</v>
      </c>
      <c r="B234">
        <v>17.833300000000001</v>
      </c>
      <c r="C234">
        <v>12.7151</v>
      </c>
      <c r="D234">
        <v>1.1584000000000001</v>
      </c>
      <c r="E234">
        <v>8.2601999999999993</v>
      </c>
      <c r="F234">
        <v>9.4185999999999996</v>
      </c>
      <c r="G234">
        <v>250.80240000000001</v>
      </c>
      <c r="H234">
        <v>1.35</v>
      </c>
    </row>
    <row r="235" spans="1:8" x14ac:dyDescent="0.2">
      <c r="A235">
        <v>215</v>
      </c>
      <c r="B235">
        <v>17.916699999999999</v>
      </c>
      <c r="C235">
        <v>12.2507</v>
      </c>
      <c r="D235">
        <v>1.1214999999999999</v>
      </c>
      <c r="E235">
        <v>7.9531000000000001</v>
      </c>
      <c r="F235">
        <v>9.0746000000000002</v>
      </c>
      <c r="G235">
        <v>242.8493</v>
      </c>
      <c r="H235">
        <v>1.35</v>
      </c>
    </row>
    <row r="236" spans="1:8" x14ac:dyDescent="0.2">
      <c r="A236">
        <v>216</v>
      </c>
      <c r="B236">
        <v>18</v>
      </c>
      <c r="C236">
        <v>10.946400000000001</v>
      </c>
      <c r="D236">
        <v>1.0859000000000001</v>
      </c>
      <c r="E236">
        <v>7.0225</v>
      </c>
      <c r="F236">
        <v>8.1083999999999996</v>
      </c>
      <c r="G236">
        <v>235.82679999999999</v>
      </c>
      <c r="H236">
        <v>1.35</v>
      </c>
    </row>
    <row r="237" spans="1:8" x14ac:dyDescent="0.2">
      <c r="A237">
        <v>217</v>
      </c>
      <c r="B237">
        <v>18.083300000000001</v>
      </c>
      <c r="C237">
        <v>9.9979999999999993</v>
      </c>
      <c r="D237">
        <v>1.0545</v>
      </c>
      <c r="E237">
        <v>6.3513000000000002</v>
      </c>
      <c r="F237">
        <v>7.4058999999999999</v>
      </c>
      <c r="G237">
        <v>229.47540000000001</v>
      </c>
      <c r="H237">
        <v>1.35</v>
      </c>
    </row>
    <row r="238" spans="1:8" x14ac:dyDescent="0.2">
      <c r="A238">
        <v>218</v>
      </c>
      <c r="B238">
        <v>18.166699999999999</v>
      </c>
      <c r="C238">
        <v>11.5503</v>
      </c>
      <c r="D238">
        <v>1.0261</v>
      </c>
      <c r="E238">
        <v>7.5296000000000003</v>
      </c>
      <c r="F238">
        <v>8.5557999999999996</v>
      </c>
      <c r="G238">
        <v>221.94579999999999</v>
      </c>
      <c r="H238">
        <v>1.35</v>
      </c>
    </row>
    <row r="239" spans="1:8" x14ac:dyDescent="0.2">
      <c r="A239">
        <v>219</v>
      </c>
      <c r="B239">
        <v>18.25</v>
      </c>
      <c r="C239">
        <v>13.6592</v>
      </c>
      <c r="D239">
        <v>0.99250000000000005</v>
      </c>
      <c r="E239">
        <v>9.1254000000000008</v>
      </c>
      <c r="F239">
        <v>10.117900000000001</v>
      </c>
      <c r="G239">
        <v>212.82040000000001</v>
      </c>
      <c r="H239">
        <v>1.35</v>
      </c>
    </row>
    <row r="240" spans="1:8" x14ac:dyDescent="0.2">
      <c r="A240">
        <v>220</v>
      </c>
      <c r="B240">
        <v>18.333300000000001</v>
      </c>
      <c r="C240">
        <v>11.264900000000001</v>
      </c>
      <c r="D240">
        <v>0.95169999999999999</v>
      </c>
      <c r="E240">
        <v>7.3926999999999996</v>
      </c>
      <c r="F240">
        <v>8.3444000000000003</v>
      </c>
      <c r="G240">
        <v>205.42760000000001</v>
      </c>
      <c r="H240">
        <v>1.35</v>
      </c>
    </row>
    <row r="241" spans="1:8" x14ac:dyDescent="0.2">
      <c r="A241">
        <v>221</v>
      </c>
      <c r="B241">
        <v>18.416699999999999</v>
      </c>
      <c r="C241">
        <v>9.0208999999999993</v>
      </c>
      <c r="D241">
        <v>0.91859999999999997</v>
      </c>
      <c r="E241">
        <v>5.7634999999999996</v>
      </c>
      <c r="F241">
        <v>6.6821000000000002</v>
      </c>
      <c r="G241">
        <v>199.66409999999999</v>
      </c>
      <c r="H241">
        <v>1.35</v>
      </c>
    </row>
    <row r="242" spans="1:8" x14ac:dyDescent="0.2">
      <c r="A242">
        <v>222</v>
      </c>
      <c r="B242">
        <v>18.5</v>
      </c>
      <c r="C242">
        <v>9.1448</v>
      </c>
      <c r="D242">
        <v>0.89280000000000004</v>
      </c>
      <c r="E242">
        <v>5.8811</v>
      </c>
      <c r="F242">
        <v>6.7739000000000003</v>
      </c>
      <c r="G242">
        <v>193.78299999999999</v>
      </c>
      <c r="H242">
        <v>1.35</v>
      </c>
    </row>
    <row r="243" spans="1:8" x14ac:dyDescent="0.2">
      <c r="A243">
        <v>223</v>
      </c>
      <c r="B243">
        <v>18.583300000000001</v>
      </c>
      <c r="C243">
        <v>9.7935999999999996</v>
      </c>
      <c r="D243">
        <v>0.86650000000000005</v>
      </c>
      <c r="E243">
        <v>6.3879999999999999</v>
      </c>
      <c r="F243">
        <v>7.2545999999999999</v>
      </c>
      <c r="G243">
        <v>187.39500000000001</v>
      </c>
      <c r="H243">
        <v>1.35</v>
      </c>
    </row>
    <row r="244" spans="1:8" x14ac:dyDescent="0.2">
      <c r="A244">
        <v>224</v>
      </c>
      <c r="B244">
        <v>18.666699999999999</v>
      </c>
      <c r="C244">
        <v>12.4787</v>
      </c>
      <c r="D244">
        <v>0.83799999999999997</v>
      </c>
      <c r="E244">
        <v>8.4055</v>
      </c>
      <c r="F244">
        <v>9.2434999999999992</v>
      </c>
      <c r="G244">
        <v>178.98949999999999</v>
      </c>
      <c r="H244">
        <v>1.35</v>
      </c>
    </row>
    <row r="245" spans="1:8" x14ac:dyDescent="0.2">
      <c r="A245">
        <v>225</v>
      </c>
      <c r="B245">
        <v>18.75</v>
      </c>
      <c r="C245">
        <v>9.1960999999999995</v>
      </c>
      <c r="D245">
        <v>0.8004</v>
      </c>
      <c r="E245">
        <v>6.0114999999999998</v>
      </c>
      <c r="F245">
        <v>6.8118999999999996</v>
      </c>
      <c r="G245">
        <v>172.97800000000001</v>
      </c>
      <c r="H245">
        <v>1.35</v>
      </c>
    </row>
    <row r="246" spans="1:8" x14ac:dyDescent="0.2">
      <c r="A246">
        <v>226</v>
      </c>
      <c r="B246">
        <v>18.833300000000001</v>
      </c>
      <c r="C246">
        <v>10.916</v>
      </c>
      <c r="D246">
        <v>0.77349999999999997</v>
      </c>
      <c r="E246">
        <v>7.3124000000000002</v>
      </c>
      <c r="F246">
        <v>8.0859000000000005</v>
      </c>
      <c r="G246">
        <v>165.66560000000001</v>
      </c>
      <c r="H246">
        <v>1.35</v>
      </c>
    </row>
    <row r="247" spans="1:8" x14ac:dyDescent="0.2">
      <c r="A247">
        <v>227</v>
      </c>
      <c r="B247">
        <v>18.916699999999999</v>
      </c>
      <c r="C247">
        <v>8.7424999999999997</v>
      </c>
      <c r="D247">
        <v>0.74080000000000001</v>
      </c>
      <c r="E247">
        <v>5.7351000000000001</v>
      </c>
      <c r="F247">
        <v>6.4759000000000002</v>
      </c>
      <c r="G247">
        <v>159.93049999999999</v>
      </c>
      <c r="H247">
        <v>1.35</v>
      </c>
    </row>
    <row r="248" spans="1:8" x14ac:dyDescent="0.2">
      <c r="A248">
        <v>228</v>
      </c>
      <c r="B248">
        <v>19</v>
      </c>
      <c r="C248">
        <v>9.2241999999999997</v>
      </c>
      <c r="D248">
        <v>0.71519999999999995</v>
      </c>
      <c r="E248">
        <v>6.1176000000000004</v>
      </c>
      <c r="F248">
        <v>6.8327</v>
      </c>
      <c r="G248">
        <v>153.81290000000001</v>
      </c>
      <c r="H248">
        <v>1.35</v>
      </c>
    </row>
    <row r="249" spans="1:8" x14ac:dyDescent="0.2">
      <c r="A249">
        <v>229</v>
      </c>
      <c r="B249">
        <v>19.083300000000001</v>
      </c>
      <c r="C249">
        <v>8.3665000000000003</v>
      </c>
      <c r="D249">
        <v>0.68779999999999997</v>
      </c>
      <c r="E249">
        <v>5.5095999999999998</v>
      </c>
      <c r="F249">
        <v>6.1974</v>
      </c>
      <c r="G249">
        <v>148.30330000000001</v>
      </c>
      <c r="H249">
        <v>1.35</v>
      </c>
    </row>
    <row r="250" spans="1:8" x14ac:dyDescent="0.2">
      <c r="A250">
        <v>230</v>
      </c>
      <c r="B250">
        <v>19.166699999999999</v>
      </c>
      <c r="C250">
        <v>9.8704999999999998</v>
      </c>
      <c r="D250">
        <v>0.66320000000000001</v>
      </c>
      <c r="E250">
        <v>6.6482999999999999</v>
      </c>
      <c r="F250">
        <v>7.3114999999999997</v>
      </c>
      <c r="G250">
        <v>141.655</v>
      </c>
      <c r="H250">
        <v>1.35</v>
      </c>
    </row>
    <row r="251" spans="1:8" x14ac:dyDescent="0.2">
      <c r="A251">
        <v>231</v>
      </c>
      <c r="B251">
        <v>19.25</v>
      </c>
      <c r="C251">
        <v>7.6803999999999997</v>
      </c>
      <c r="D251">
        <v>0.63339999999999996</v>
      </c>
      <c r="E251">
        <v>5.0556999999999999</v>
      </c>
      <c r="F251">
        <v>5.6891999999999996</v>
      </c>
      <c r="G251">
        <v>136.5993</v>
      </c>
      <c r="H251">
        <v>1.35</v>
      </c>
    </row>
    <row r="252" spans="1:8" x14ac:dyDescent="0.2">
      <c r="A252">
        <v>232</v>
      </c>
      <c r="B252">
        <v>19.333300000000001</v>
      </c>
      <c r="C252">
        <v>10.6243</v>
      </c>
      <c r="D252">
        <v>0.61080000000000001</v>
      </c>
      <c r="E252">
        <v>7.2590000000000003</v>
      </c>
      <c r="F252">
        <v>7.8697999999999997</v>
      </c>
      <c r="G252">
        <v>129.34030000000001</v>
      </c>
      <c r="H252">
        <v>1.35</v>
      </c>
    </row>
    <row r="253" spans="1:8" x14ac:dyDescent="0.2">
      <c r="A253">
        <v>233</v>
      </c>
      <c r="B253">
        <v>19.416699999999999</v>
      </c>
      <c r="C253">
        <v>8.9960000000000004</v>
      </c>
      <c r="D253">
        <v>0.57840000000000003</v>
      </c>
      <c r="E253">
        <v>6.0853000000000002</v>
      </c>
      <c r="F253">
        <v>6.6637000000000004</v>
      </c>
      <c r="G253">
        <v>123.25490000000001</v>
      </c>
      <c r="H253">
        <v>1.35</v>
      </c>
    </row>
    <row r="254" spans="1:8" x14ac:dyDescent="0.2">
      <c r="A254">
        <v>234</v>
      </c>
      <c r="B254">
        <v>19.5</v>
      </c>
      <c r="C254">
        <v>9.9107000000000003</v>
      </c>
      <c r="D254">
        <v>0.55120000000000002</v>
      </c>
      <c r="E254">
        <v>6.7900999999999998</v>
      </c>
      <c r="F254">
        <v>7.3413000000000004</v>
      </c>
      <c r="G254">
        <v>116.4648</v>
      </c>
      <c r="H254">
        <v>1.35</v>
      </c>
    </row>
    <row r="255" spans="1:8" x14ac:dyDescent="0.2">
      <c r="A255">
        <v>235</v>
      </c>
      <c r="B255">
        <v>19.583300000000001</v>
      </c>
      <c r="C255">
        <v>9.2772000000000006</v>
      </c>
      <c r="D255">
        <v>0.52080000000000004</v>
      </c>
      <c r="E255">
        <v>6.3512000000000004</v>
      </c>
      <c r="F255">
        <v>6.8719999999999999</v>
      </c>
      <c r="G255">
        <v>110.11360000000001</v>
      </c>
      <c r="H255">
        <v>1.35</v>
      </c>
    </row>
    <row r="256" spans="1:8" x14ac:dyDescent="0.2">
      <c r="A256">
        <v>236</v>
      </c>
      <c r="B256">
        <v>19.666699999999999</v>
      </c>
      <c r="C256">
        <v>8.9779999999999998</v>
      </c>
      <c r="D256">
        <v>0.4924</v>
      </c>
      <c r="E256">
        <v>6.1580000000000004</v>
      </c>
      <c r="F256">
        <v>6.6504000000000003</v>
      </c>
      <c r="G256">
        <v>103.9556</v>
      </c>
      <c r="H256">
        <v>1.35</v>
      </c>
    </row>
    <row r="257" spans="1:8" x14ac:dyDescent="0.2">
      <c r="A257">
        <v>237</v>
      </c>
      <c r="B257">
        <v>19.75</v>
      </c>
      <c r="C257">
        <v>8.7058999999999997</v>
      </c>
      <c r="D257">
        <v>0.46489999999999998</v>
      </c>
      <c r="E257">
        <v>5.984</v>
      </c>
      <c r="F257">
        <v>6.4489000000000001</v>
      </c>
      <c r="G257">
        <v>97.971599999999995</v>
      </c>
      <c r="H257">
        <v>1.35</v>
      </c>
    </row>
    <row r="258" spans="1:8" x14ac:dyDescent="0.2">
      <c r="A258">
        <v>238</v>
      </c>
      <c r="B258">
        <v>19.833300000000001</v>
      </c>
      <c r="C258">
        <v>6.9512999999999998</v>
      </c>
      <c r="D258">
        <v>0.43809999999999999</v>
      </c>
      <c r="E258">
        <v>4.7110000000000003</v>
      </c>
      <c r="F258">
        <v>5.1490999999999998</v>
      </c>
      <c r="G258">
        <v>93.260599999999997</v>
      </c>
      <c r="H258">
        <v>1.35</v>
      </c>
    </row>
    <row r="259" spans="1:8" x14ac:dyDescent="0.2">
      <c r="A259">
        <v>239</v>
      </c>
      <c r="B259">
        <v>19.916699999999999</v>
      </c>
      <c r="C259">
        <v>7.4783999999999997</v>
      </c>
      <c r="D259">
        <v>0.41699999999999998</v>
      </c>
      <c r="E259">
        <v>5.1224999999999996</v>
      </c>
      <c r="F259">
        <v>5.5395000000000003</v>
      </c>
      <c r="G259">
        <v>88.138099999999994</v>
      </c>
      <c r="H259">
        <v>1.35</v>
      </c>
    </row>
    <row r="260" spans="1:8" x14ac:dyDescent="0.2">
      <c r="A260">
        <v>240</v>
      </c>
      <c r="B260">
        <v>20</v>
      </c>
      <c r="C260">
        <v>7.3653000000000004</v>
      </c>
      <c r="D260">
        <v>0.39410000000000001</v>
      </c>
      <c r="E260">
        <v>5.0616000000000003</v>
      </c>
      <c r="F260">
        <v>5.4558</v>
      </c>
      <c r="G260">
        <v>83.076400000000007</v>
      </c>
      <c r="H260">
        <v>1.35</v>
      </c>
    </row>
    <row r="261" spans="1:8" x14ac:dyDescent="0.2">
      <c r="A261">
        <v>241</v>
      </c>
      <c r="B261">
        <v>20.083300000000001</v>
      </c>
      <c r="C261">
        <v>5.7515999999999998</v>
      </c>
      <c r="D261">
        <v>0.3715</v>
      </c>
      <c r="E261">
        <v>3.8889999999999998</v>
      </c>
      <c r="F261">
        <v>4.2605000000000004</v>
      </c>
      <c r="G261">
        <v>79.1875</v>
      </c>
      <c r="H261">
        <v>1.35</v>
      </c>
    </row>
    <row r="262" spans="1:8" x14ac:dyDescent="0.2">
      <c r="A262">
        <v>242</v>
      </c>
      <c r="B262">
        <v>20.166699999999999</v>
      </c>
      <c r="C262">
        <v>6.5937999999999999</v>
      </c>
      <c r="D262">
        <v>0.35410000000000003</v>
      </c>
      <c r="E262">
        <v>4.5301999999999998</v>
      </c>
      <c r="F262">
        <v>4.8842999999999996</v>
      </c>
      <c r="G262">
        <v>74.657300000000006</v>
      </c>
      <c r="H262">
        <v>1.35</v>
      </c>
    </row>
    <row r="263" spans="1:8" x14ac:dyDescent="0.2">
      <c r="A263">
        <v>243</v>
      </c>
      <c r="B263">
        <v>20.25</v>
      </c>
      <c r="C263">
        <v>4.7115999999999998</v>
      </c>
      <c r="D263">
        <v>0.33379999999999999</v>
      </c>
      <c r="E263">
        <v>3.1562000000000001</v>
      </c>
      <c r="F263">
        <v>3.4901</v>
      </c>
      <c r="G263">
        <v>71.501099999999994</v>
      </c>
      <c r="H263">
        <v>1.35</v>
      </c>
    </row>
    <row r="264" spans="1:8" x14ac:dyDescent="0.2">
      <c r="A264">
        <v>244</v>
      </c>
      <c r="B264">
        <v>20.333300000000001</v>
      </c>
      <c r="C264">
        <v>6.7262000000000004</v>
      </c>
      <c r="D264">
        <v>0.31969999999999998</v>
      </c>
      <c r="E264">
        <v>4.6626000000000003</v>
      </c>
      <c r="F264">
        <v>4.9824000000000002</v>
      </c>
      <c r="G264">
        <v>66.838399999999993</v>
      </c>
      <c r="H264">
        <v>1.35</v>
      </c>
    </row>
    <row r="265" spans="1:8" x14ac:dyDescent="0.2">
      <c r="A265">
        <v>245</v>
      </c>
      <c r="B265">
        <v>20.416699999999999</v>
      </c>
      <c r="C265">
        <v>7.8365999999999998</v>
      </c>
      <c r="D265">
        <v>0.2989</v>
      </c>
      <c r="E265">
        <v>5.5060000000000002</v>
      </c>
      <c r="F265">
        <v>5.8048999999999999</v>
      </c>
      <c r="G265">
        <v>61.3324</v>
      </c>
      <c r="H265">
        <v>1.35</v>
      </c>
    </row>
    <row r="266" spans="1:8" x14ac:dyDescent="0.2">
      <c r="A266">
        <v>246</v>
      </c>
      <c r="B266">
        <v>20.5</v>
      </c>
      <c r="C266">
        <v>7.2141999999999999</v>
      </c>
      <c r="D266">
        <v>0.27429999999999999</v>
      </c>
      <c r="E266">
        <v>5.0696000000000003</v>
      </c>
      <c r="F266">
        <v>5.3438999999999997</v>
      </c>
      <c r="G266">
        <v>56.262799999999999</v>
      </c>
      <c r="H266">
        <v>1.35</v>
      </c>
    </row>
    <row r="267" spans="1:8" x14ac:dyDescent="0.2">
      <c r="A267">
        <v>247</v>
      </c>
      <c r="B267">
        <v>20.583300000000001</v>
      </c>
      <c r="C267">
        <v>7.7502000000000004</v>
      </c>
      <c r="D267">
        <v>0.25159999999999999</v>
      </c>
      <c r="E267">
        <v>5.4893000000000001</v>
      </c>
      <c r="F267">
        <v>5.7408999999999999</v>
      </c>
      <c r="G267">
        <v>50.773499999999999</v>
      </c>
      <c r="H267">
        <v>1.35</v>
      </c>
    </row>
    <row r="268" spans="1:8" x14ac:dyDescent="0.2">
      <c r="A268">
        <v>248</v>
      </c>
      <c r="B268">
        <v>20.666699999999999</v>
      </c>
      <c r="C268">
        <v>7.5707000000000004</v>
      </c>
      <c r="D268">
        <v>0.22700000000000001</v>
      </c>
      <c r="E268">
        <v>5.3808999999999996</v>
      </c>
      <c r="F268">
        <v>5.6079999999999997</v>
      </c>
      <c r="G268">
        <v>45.392600000000002</v>
      </c>
      <c r="H268">
        <v>1.35</v>
      </c>
    </row>
    <row r="269" spans="1:8" x14ac:dyDescent="0.2">
      <c r="A269">
        <v>249</v>
      </c>
      <c r="B269">
        <v>20.75</v>
      </c>
      <c r="C269">
        <v>5.8498000000000001</v>
      </c>
      <c r="D269">
        <v>0.20300000000000001</v>
      </c>
      <c r="E269">
        <v>4.1302000000000003</v>
      </c>
      <c r="F269">
        <v>4.3331999999999997</v>
      </c>
      <c r="G269">
        <v>41.2624</v>
      </c>
      <c r="H269">
        <v>1.35</v>
      </c>
    </row>
    <row r="270" spans="1:8" x14ac:dyDescent="0.2">
      <c r="A270">
        <v>250</v>
      </c>
      <c r="B270">
        <v>20.833300000000001</v>
      </c>
      <c r="C270">
        <v>2.7890000000000001</v>
      </c>
      <c r="D270">
        <v>0.1845</v>
      </c>
      <c r="E270">
        <v>1.8814</v>
      </c>
      <c r="F270">
        <v>2.0659000000000001</v>
      </c>
      <c r="G270">
        <v>39.381</v>
      </c>
      <c r="H270">
        <v>1.35</v>
      </c>
    </row>
    <row r="271" spans="1:8" x14ac:dyDescent="0.2">
      <c r="A271">
        <v>251</v>
      </c>
      <c r="B271">
        <v>20.916699999999999</v>
      </c>
      <c r="C271">
        <v>3.7987000000000002</v>
      </c>
      <c r="D271">
        <v>0.17610000000000001</v>
      </c>
      <c r="E271">
        <v>2.6377999999999999</v>
      </c>
      <c r="F271">
        <v>2.8138999999999998</v>
      </c>
      <c r="G271">
        <v>36.743200000000002</v>
      </c>
      <c r="H271">
        <v>1.35</v>
      </c>
    </row>
    <row r="272" spans="1:8" x14ac:dyDescent="0.2">
      <c r="A272">
        <v>252</v>
      </c>
      <c r="B272">
        <v>21</v>
      </c>
      <c r="C272">
        <v>2.3271999999999999</v>
      </c>
      <c r="D272">
        <v>0.1643</v>
      </c>
      <c r="E272">
        <v>1.5596000000000001</v>
      </c>
      <c r="F272">
        <v>1.7239</v>
      </c>
      <c r="G272">
        <v>35.183599999999998</v>
      </c>
      <c r="H272">
        <v>1.35</v>
      </c>
    </row>
    <row r="273" spans="1:8" x14ac:dyDescent="0.2">
      <c r="A273">
        <v>253</v>
      </c>
      <c r="B273">
        <v>21.083300000000001</v>
      </c>
      <c r="C273">
        <v>3.3685</v>
      </c>
      <c r="D273">
        <v>0.1573</v>
      </c>
      <c r="E273">
        <v>2.3378000000000001</v>
      </c>
      <c r="F273">
        <v>2.4950999999999999</v>
      </c>
      <c r="G273">
        <v>32.845799999999997</v>
      </c>
      <c r="H273">
        <v>1.35</v>
      </c>
    </row>
    <row r="274" spans="1:8" x14ac:dyDescent="0.2">
      <c r="A274">
        <v>254</v>
      </c>
      <c r="B274">
        <v>21.166699999999999</v>
      </c>
      <c r="C274">
        <v>4.1810999999999998</v>
      </c>
      <c r="D274">
        <v>0.1469</v>
      </c>
      <c r="E274">
        <v>2.9502000000000002</v>
      </c>
      <c r="F274">
        <v>3.0971000000000002</v>
      </c>
      <c r="G274">
        <v>29.895600000000002</v>
      </c>
      <c r="H274">
        <v>1.35</v>
      </c>
    </row>
    <row r="275" spans="1:8" x14ac:dyDescent="0.2">
      <c r="A275">
        <v>255</v>
      </c>
      <c r="B275">
        <v>21.25</v>
      </c>
      <c r="C275">
        <v>2.7948</v>
      </c>
      <c r="D275">
        <v>0.13370000000000001</v>
      </c>
      <c r="E275">
        <v>1.9365000000000001</v>
      </c>
      <c r="F275">
        <v>2.0701999999999998</v>
      </c>
      <c r="G275">
        <v>27.959099999999999</v>
      </c>
      <c r="H275">
        <v>1.35</v>
      </c>
    </row>
    <row r="276" spans="1:8" x14ac:dyDescent="0.2">
      <c r="A276">
        <v>256</v>
      </c>
      <c r="B276">
        <v>21.333300000000001</v>
      </c>
      <c r="C276">
        <v>4.0077999999999996</v>
      </c>
      <c r="D276">
        <v>0.125</v>
      </c>
      <c r="E276">
        <v>2.8437000000000001</v>
      </c>
      <c r="F276">
        <v>2.9687000000000001</v>
      </c>
      <c r="G276">
        <v>25.115400000000001</v>
      </c>
      <c r="H276">
        <v>1.35</v>
      </c>
    </row>
    <row r="277" spans="1:8" x14ac:dyDescent="0.2">
      <c r="A277">
        <v>257</v>
      </c>
      <c r="B277">
        <v>21.416699999999999</v>
      </c>
      <c r="C277">
        <v>5.6151</v>
      </c>
      <c r="D277">
        <v>0.1123</v>
      </c>
      <c r="E277">
        <v>4.0469999999999997</v>
      </c>
      <c r="F277">
        <v>4.1593</v>
      </c>
      <c r="G277">
        <v>21.068300000000001</v>
      </c>
      <c r="H277">
        <v>1.35</v>
      </c>
    </row>
    <row r="278" spans="1:8" x14ac:dyDescent="0.2">
      <c r="A278">
        <v>258</v>
      </c>
      <c r="B278">
        <v>21.5</v>
      </c>
      <c r="C278">
        <v>2.6476999999999999</v>
      </c>
      <c r="D278">
        <v>9.4200000000000006E-2</v>
      </c>
      <c r="E278">
        <v>1.867</v>
      </c>
      <c r="F278">
        <v>1.9612000000000001</v>
      </c>
      <c r="G278">
        <v>19.2013</v>
      </c>
      <c r="H278">
        <v>1.35</v>
      </c>
    </row>
    <row r="279" spans="1:8" x14ac:dyDescent="0.2">
      <c r="A279">
        <v>259</v>
      </c>
      <c r="B279">
        <v>21.583300000000001</v>
      </c>
      <c r="C279">
        <v>3.6233</v>
      </c>
      <c r="D279">
        <v>8.5900000000000004E-2</v>
      </c>
      <c r="E279">
        <v>2.5979999999999999</v>
      </c>
      <c r="F279">
        <v>2.6839</v>
      </c>
      <c r="G279">
        <v>16.603200000000001</v>
      </c>
      <c r="H279">
        <v>1.35</v>
      </c>
    </row>
    <row r="280" spans="1:8" x14ac:dyDescent="0.2">
      <c r="A280">
        <v>260</v>
      </c>
      <c r="B280">
        <v>21.666699999999999</v>
      </c>
      <c r="C280">
        <v>3.1070000000000002</v>
      </c>
      <c r="D280">
        <v>7.4200000000000002E-2</v>
      </c>
      <c r="E280">
        <v>2.2271999999999998</v>
      </c>
      <c r="F280">
        <v>2.3014999999999999</v>
      </c>
      <c r="G280">
        <v>14.375999999999999</v>
      </c>
      <c r="H280">
        <v>1.35</v>
      </c>
    </row>
    <row r="281" spans="1:8" x14ac:dyDescent="0.2">
      <c r="A281">
        <v>261</v>
      </c>
      <c r="B281">
        <v>21.75</v>
      </c>
      <c r="C281">
        <v>1.3427</v>
      </c>
      <c r="D281">
        <v>6.4299999999999996E-2</v>
      </c>
      <c r="E281">
        <v>0.93030000000000002</v>
      </c>
      <c r="F281">
        <v>0.99460000000000004</v>
      </c>
      <c r="G281">
        <v>13.4457</v>
      </c>
      <c r="H281">
        <v>1.35</v>
      </c>
    </row>
    <row r="282" spans="1:8" x14ac:dyDescent="0.2">
      <c r="A282">
        <v>262</v>
      </c>
      <c r="B282">
        <v>21.833300000000001</v>
      </c>
      <c r="C282">
        <v>2.2896999999999998</v>
      </c>
      <c r="D282">
        <v>6.0100000000000001E-2</v>
      </c>
      <c r="E282">
        <v>1.6358999999999999</v>
      </c>
      <c r="F282">
        <v>1.6960999999999999</v>
      </c>
      <c r="G282">
        <v>11.809799999999999</v>
      </c>
      <c r="H282">
        <v>1.35</v>
      </c>
    </row>
    <row r="283" spans="1:8" x14ac:dyDescent="0.2">
      <c r="A283">
        <v>263</v>
      </c>
      <c r="B283">
        <v>21.916699999999999</v>
      </c>
      <c r="C283">
        <v>3.4009999999999998</v>
      </c>
      <c r="D283">
        <v>5.28E-2</v>
      </c>
      <c r="E283">
        <v>2.4664999999999999</v>
      </c>
      <c r="F283">
        <v>2.5192999999999999</v>
      </c>
      <c r="G283">
        <v>9.3432999999999993</v>
      </c>
      <c r="H283">
        <v>1.35</v>
      </c>
    </row>
    <row r="284" spans="1:8" x14ac:dyDescent="0.2">
      <c r="A284">
        <v>264</v>
      </c>
      <c r="B284">
        <v>22</v>
      </c>
      <c r="C284">
        <v>2.4847999999999999</v>
      </c>
      <c r="D284">
        <v>4.1799999999999997E-2</v>
      </c>
      <c r="E284">
        <v>1.7988</v>
      </c>
      <c r="F284">
        <v>1.8406</v>
      </c>
      <c r="G284">
        <v>7.5445000000000002</v>
      </c>
      <c r="H284">
        <v>1.35</v>
      </c>
    </row>
    <row r="285" spans="1:8" x14ac:dyDescent="0.2">
      <c r="A285">
        <v>265</v>
      </c>
      <c r="B285">
        <v>22.083300000000001</v>
      </c>
      <c r="C285">
        <v>2.9706000000000001</v>
      </c>
      <c r="D285">
        <v>3.3700000000000001E-2</v>
      </c>
      <c r="E285">
        <v>2.1667000000000001</v>
      </c>
      <c r="F285">
        <v>2.2004999999999999</v>
      </c>
      <c r="G285">
        <v>5.3777999999999997</v>
      </c>
      <c r="H285">
        <v>1.35</v>
      </c>
    </row>
    <row r="286" spans="1:8" x14ac:dyDescent="0.2">
      <c r="A286">
        <v>266</v>
      </c>
      <c r="B286">
        <v>22.166699999999999</v>
      </c>
      <c r="C286">
        <v>2.6107999999999998</v>
      </c>
      <c r="D286">
        <v>2.4E-2</v>
      </c>
      <c r="E286">
        <v>1.9098999999999999</v>
      </c>
      <c r="F286">
        <v>1.9339</v>
      </c>
      <c r="G286">
        <v>3.4679000000000002</v>
      </c>
      <c r="H286">
        <v>1.35</v>
      </c>
    </row>
    <row r="287" spans="1:8" x14ac:dyDescent="0.2">
      <c r="A287">
        <v>267</v>
      </c>
      <c r="B287">
        <v>22.25</v>
      </c>
      <c r="C287">
        <v>-1.0702</v>
      </c>
      <c r="D287">
        <v>1.55E-2</v>
      </c>
      <c r="E287">
        <v>0</v>
      </c>
      <c r="F287">
        <v>1.55E-2</v>
      </c>
      <c r="G287">
        <v>3.4679000000000002</v>
      </c>
      <c r="H287" t="s">
        <v>470</v>
      </c>
    </row>
    <row r="288" spans="1:8" x14ac:dyDescent="0.2">
      <c r="A288">
        <v>268</v>
      </c>
      <c r="B288">
        <v>22.333300000000001</v>
      </c>
      <c r="C288">
        <v>0.93479999999999996</v>
      </c>
      <c r="D288">
        <v>1.55E-2</v>
      </c>
      <c r="E288">
        <v>0.67700000000000005</v>
      </c>
      <c r="F288">
        <v>0.6925</v>
      </c>
      <c r="G288">
        <v>2.7909000000000002</v>
      </c>
      <c r="H288">
        <v>1.35</v>
      </c>
    </row>
    <row r="289" spans="1:8" x14ac:dyDescent="0.2">
      <c r="A289">
        <v>269</v>
      </c>
      <c r="B289">
        <v>22.416699999999999</v>
      </c>
      <c r="C289">
        <v>0.34899999999999998</v>
      </c>
      <c r="D289">
        <v>1.2500000000000001E-2</v>
      </c>
      <c r="E289">
        <v>0.246</v>
      </c>
      <c r="F289">
        <v>0.25850000000000001</v>
      </c>
      <c r="G289">
        <v>2.5449000000000002</v>
      </c>
      <c r="H289">
        <v>1.35</v>
      </c>
    </row>
    <row r="290" spans="1:8" x14ac:dyDescent="0.2">
      <c r="A290">
        <v>270</v>
      </c>
      <c r="B290">
        <v>22.5</v>
      </c>
      <c r="C290">
        <v>2.194</v>
      </c>
      <c r="D290">
        <v>1.14E-2</v>
      </c>
      <c r="E290">
        <v>1.6137999999999999</v>
      </c>
      <c r="F290">
        <v>1.6252</v>
      </c>
      <c r="G290">
        <v>0.93110000000000004</v>
      </c>
      <c r="H290">
        <v>1.35</v>
      </c>
    </row>
    <row r="291" spans="1:8" x14ac:dyDescent="0.2">
      <c r="A291">
        <v>271</v>
      </c>
      <c r="B291">
        <v>22.583300000000001</v>
      </c>
      <c r="C291">
        <v>-1.8197000000000001</v>
      </c>
      <c r="D291">
        <v>4.1999999999999997E-3</v>
      </c>
      <c r="E291">
        <v>0</v>
      </c>
      <c r="F291">
        <v>4.1999999999999997E-3</v>
      </c>
      <c r="G291">
        <v>0.93110000000000004</v>
      </c>
      <c r="H291" t="s">
        <v>470</v>
      </c>
    </row>
    <row r="292" spans="1:8" x14ac:dyDescent="0.2">
      <c r="A292">
        <v>272</v>
      </c>
      <c r="B292">
        <v>22.666699999999999</v>
      </c>
      <c r="C292">
        <v>0.1046</v>
      </c>
      <c r="D292">
        <v>4.1999999999999997E-3</v>
      </c>
      <c r="E292">
        <v>7.3300000000000004E-2</v>
      </c>
      <c r="F292">
        <v>7.7499999999999999E-2</v>
      </c>
      <c r="G292">
        <v>0.85780000000000001</v>
      </c>
      <c r="H292">
        <v>1.35</v>
      </c>
    </row>
    <row r="293" spans="1:8" x14ac:dyDescent="0.2">
      <c r="A293">
        <v>273</v>
      </c>
      <c r="B293">
        <v>22.75</v>
      </c>
      <c r="C293">
        <v>-1.7267999999999999</v>
      </c>
      <c r="D293">
        <v>3.8E-3</v>
      </c>
      <c r="E293">
        <v>0</v>
      </c>
      <c r="F293">
        <v>3.8E-3</v>
      </c>
      <c r="G293">
        <v>0.85780000000000001</v>
      </c>
      <c r="H293" t="s">
        <v>470</v>
      </c>
    </row>
    <row r="294" spans="1:8" x14ac:dyDescent="0.2">
      <c r="A294">
        <v>274</v>
      </c>
      <c r="B294">
        <v>22.833300000000001</v>
      </c>
      <c r="C294">
        <v>-3.2183000000000002</v>
      </c>
      <c r="D294">
        <v>3.8E-3</v>
      </c>
      <c r="E294">
        <v>0</v>
      </c>
      <c r="F294">
        <v>3.8E-3</v>
      </c>
      <c r="G294">
        <v>0.85780000000000001</v>
      </c>
      <c r="H294" t="s">
        <v>470</v>
      </c>
    </row>
    <row r="295" spans="1:8" x14ac:dyDescent="0.2">
      <c r="A295">
        <v>275</v>
      </c>
      <c r="B295">
        <v>22.916699999999999</v>
      </c>
      <c r="C295">
        <v>-3.0297999999999998</v>
      </c>
      <c r="D295">
        <v>3.8E-3</v>
      </c>
      <c r="E295">
        <v>0</v>
      </c>
      <c r="F295">
        <v>3.8E-3</v>
      </c>
      <c r="G295">
        <v>0.85780000000000001</v>
      </c>
      <c r="H295" t="s">
        <v>470</v>
      </c>
    </row>
    <row r="296" spans="1:8" x14ac:dyDescent="0.2">
      <c r="A296">
        <v>276</v>
      </c>
      <c r="B296">
        <v>23</v>
      </c>
      <c r="C296">
        <v>-3.9146000000000001</v>
      </c>
      <c r="D296">
        <v>3.8E-3</v>
      </c>
      <c r="E296">
        <v>0</v>
      </c>
      <c r="F296">
        <v>3.8E-3</v>
      </c>
      <c r="G296">
        <v>0.85780000000000001</v>
      </c>
      <c r="H296" t="s">
        <v>470</v>
      </c>
    </row>
    <row r="297" spans="1:8" x14ac:dyDescent="0.2">
      <c r="A297">
        <v>277</v>
      </c>
      <c r="B297">
        <v>23.083300000000001</v>
      </c>
      <c r="C297">
        <v>-2.8563999999999998</v>
      </c>
      <c r="D297">
        <v>3.8E-3</v>
      </c>
      <c r="E297">
        <v>0</v>
      </c>
      <c r="F297">
        <v>3.8E-3</v>
      </c>
      <c r="G297">
        <v>0.85780000000000001</v>
      </c>
      <c r="H297" t="s">
        <v>470</v>
      </c>
    </row>
    <row r="298" spans="1:8" x14ac:dyDescent="0.2">
      <c r="A298">
        <v>278</v>
      </c>
      <c r="B298">
        <v>23.166699999999999</v>
      </c>
      <c r="C298">
        <v>-7.0114999999999998</v>
      </c>
      <c r="D298">
        <v>3.8E-3</v>
      </c>
      <c r="E298">
        <v>0</v>
      </c>
      <c r="F298">
        <v>3.8E-3</v>
      </c>
      <c r="G298">
        <v>0.85780000000000001</v>
      </c>
      <c r="H298" t="s">
        <v>470</v>
      </c>
    </row>
    <row r="299" spans="1:8" x14ac:dyDescent="0.2">
      <c r="A299">
        <v>279</v>
      </c>
      <c r="B299">
        <v>23.25</v>
      </c>
      <c r="C299">
        <v>-4.6318000000000001</v>
      </c>
      <c r="D299">
        <v>3.8E-3</v>
      </c>
      <c r="E299">
        <v>0</v>
      </c>
      <c r="F299">
        <v>3.8E-3</v>
      </c>
      <c r="G299">
        <v>0.85780000000000001</v>
      </c>
      <c r="H299" t="s">
        <v>470</v>
      </c>
    </row>
    <row r="300" spans="1:8" x14ac:dyDescent="0.2">
      <c r="A300">
        <v>280</v>
      </c>
      <c r="B300">
        <v>23.333300000000001</v>
      </c>
      <c r="C300">
        <v>-3.6713</v>
      </c>
      <c r="D300">
        <v>3.8E-3</v>
      </c>
      <c r="E300">
        <v>0</v>
      </c>
      <c r="F300">
        <v>3.8E-3</v>
      </c>
      <c r="G300">
        <v>0.85780000000000001</v>
      </c>
      <c r="H300" t="s">
        <v>470</v>
      </c>
    </row>
    <row r="301" spans="1:8" x14ac:dyDescent="0.2">
      <c r="A301">
        <v>281</v>
      </c>
      <c r="B301">
        <v>23.416699999999999</v>
      </c>
      <c r="C301">
        <v>-2.8633999999999999</v>
      </c>
      <c r="D301">
        <v>3.8E-3</v>
      </c>
      <c r="E301">
        <v>0</v>
      </c>
      <c r="F301">
        <v>3.8E-3</v>
      </c>
      <c r="G301">
        <v>0.85780000000000001</v>
      </c>
      <c r="H301" t="s">
        <v>470</v>
      </c>
    </row>
    <row r="302" spans="1:8" x14ac:dyDescent="0.2">
      <c r="A302">
        <v>282</v>
      </c>
      <c r="B302">
        <v>23.5</v>
      </c>
      <c r="C302">
        <v>-5.1933999999999996</v>
      </c>
      <c r="D302">
        <v>3.8E-3</v>
      </c>
      <c r="E302">
        <v>0</v>
      </c>
      <c r="F302">
        <v>3.8E-3</v>
      </c>
      <c r="G302">
        <v>0.85780000000000001</v>
      </c>
      <c r="H302" t="s">
        <v>470</v>
      </c>
    </row>
    <row r="303" spans="1:8" x14ac:dyDescent="0.2">
      <c r="A303">
        <v>283</v>
      </c>
      <c r="B303">
        <v>23.583300000000001</v>
      </c>
      <c r="C303">
        <v>-4.0917000000000003</v>
      </c>
      <c r="D303">
        <v>3.8E-3</v>
      </c>
      <c r="E303">
        <v>0</v>
      </c>
      <c r="F303">
        <v>3.8E-3</v>
      </c>
      <c r="G303">
        <v>0.85780000000000001</v>
      </c>
      <c r="H303" t="s">
        <v>470</v>
      </c>
    </row>
    <row r="304" spans="1:8" x14ac:dyDescent="0.2">
      <c r="A304">
        <v>284</v>
      </c>
      <c r="B304">
        <v>23.666699999999999</v>
      </c>
      <c r="C304">
        <v>-4.5115999999999996</v>
      </c>
      <c r="D304">
        <v>3.8E-3</v>
      </c>
      <c r="E304">
        <v>0</v>
      </c>
      <c r="F304">
        <v>3.8E-3</v>
      </c>
      <c r="G304">
        <v>0.85780000000000001</v>
      </c>
      <c r="H304" t="s">
        <v>470</v>
      </c>
    </row>
    <row r="305" spans="1:8" x14ac:dyDescent="0.2">
      <c r="A305">
        <v>285</v>
      </c>
      <c r="B305">
        <v>23.75</v>
      </c>
      <c r="C305">
        <v>-5.0129000000000001</v>
      </c>
      <c r="D305">
        <v>3.8E-3</v>
      </c>
      <c r="E305">
        <v>0</v>
      </c>
      <c r="F305">
        <v>3.8E-3</v>
      </c>
      <c r="G305">
        <v>0.85780000000000001</v>
      </c>
      <c r="H305" t="s">
        <v>470</v>
      </c>
    </row>
    <row r="306" spans="1:8" x14ac:dyDescent="0.2">
      <c r="A306">
        <v>286</v>
      </c>
      <c r="B306">
        <v>23.833300000000001</v>
      </c>
      <c r="C306">
        <v>-2.1164000000000001</v>
      </c>
      <c r="D306">
        <v>3.8E-3</v>
      </c>
      <c r="E306">
        <v>0</v>
      </c>
      <c r="F306">
        <v>3.8E-3</v>
      </c>
      <c r="G306">
        <v>0.85780000000000001</v>
      </c>
      <c r="H306" t="s">
        <v>470</v>
      </c>
    </row>
    <row r="307" spans="1:8" x14ac:dyDescent="0.2">
      <c r="A307">
        <v>287</v>
      </c>
      <c r="B307">
        <v>23.916699999999999</v>
      </c>
      <c r="C307">
        <v>-4.4583000000000004</v>
      </c>
      <c r="D307">
        <v>3.8E-3</v>
      </c>
      <c r="E307">
        <v>0</v>
      </c>
      <c r="F307">
        <v>3.8E-3</v>
      </c>
      <c r="G307">
        <v>0.85780000000000001</v>
      </c>
      <c r="H307" t="s">
        <v>470</v>
      </c>
    </row>
    <row r="308" spans="1:8" x14ac:dyDescent="0.2">
      <c r="A308">
        <v>288</v>
      </c>
      <c r="B308">
        <v>24</v>
      </c>
      <c r="C308">
        <v>1.2727999999999999</v>
      </c>
      <c r="D308">
        <v>3.8E-3</v>
      </c>
      <c r="E308">
        <v>0.85780000000000001</v>
      </c>
      <c r="F308">
        <v>0.86160000000000003</v>
      </c>
      <c r="G308">
        <v>0</v>
      </c>
      <c r="H308">
        <v>1.4772000000000001</v>
      </c>
    </row>
    <row r="309" spans="1:8" x14ac:dyDescent="0.2">
      <c r="A309">
        <v>289</v>
      </c>
      <c r="B309">
        <v>24.083300000000001</v>
      </c>
      <c r="C309">
        <v>-2.7402000000000002</v>
      </c>
      <c r="D309">
        <v>0</v>
      </c>
      <c r="E309">
        <v>0</v>
      </c>
      <c r="F309">
        <v>0</v>
      </c>
      <c r="G309">
        <v>0</v>
      </c>
      <c r="H309" t="s">
        <v>470</v>
      </c>
    </row>
    <row r="310" spans="1:8" x14ac:dyDescent="0.2">
      <c r="A310">
        <v>290</v>
      </c>
      <c r="B310">
        <v>24.166699999999999</v>
      </c>
      <c r="C310">
        <v>-1.8404</v>
      </c>
      <c r="D310">
        <v>0</v>
      </c>
      <c r="E310">
        <v>0</v>
      </c>
      <c r="F310">
        <v>0</v>
      </c>
      <c r="G310">
        <v>0</v>
      </c>
      <c r="H310" t="s">
        <v>470</v>
      </c>
    </row>
    <row r="311" spans="1:8" x14ac:dyDescent="0.2">
      <c r="A311">
        <v>291</v>
      </c>
      <c r="B311">
        <v>24.25</v>
      </c>
      <c r="C311">
        <v>-3.8633999999999999</v>
      </c>
      <c r="D311">
        <v>0</v>
      </c>
      <c r="E311">
        <v>0</v>
      </c>
      <c r="F311">
        <v>0</v>
      </c>
      <c r="G311">
        <v>0</v>
      </c>
      <c r="H311" t="s">
        <v>470</v>
      </c>
    </row>
    <row r="312" spans="1:8" x14ac:dyDescent="0.2">
      <c r="A312">
        <v>292</v>
      </c>
      <c r="B312">
        <v>24.333300000000001</v>
      </c>
      <c r="C312">
        <v>-1.996</v>
      </c>
      <c r="D312">
        <v>0</v>
      </c>
      <c r="E312">
        <v>0</v>
      </c>
      <c r="F312">
        <v>0</v>
      </c>
      <c r="G312">
        <v>0</v>
      </c>
      <c r="H312" t="s">
        <v>470</v>
      </c>
    </row>
    <row r="313" spans="1:8" x14ac:dyDescent="0.2">
      <c r="A313">
        <v>293</v>
      </c>
      <c r="B313">
        <v>24.416699999999999</v>
      </c>
      <c r="C313">
        <v>-3.1739999999999999</v>
      </c>
      <c r="D313">
        <v>0</v>
      </c>
      <c r="E313">
        <v>0</v>
      </c>
      <c r="F313">
        <v>0</v>
      </c>
      <c r="G313">
        <v>0</v>
      </c>
      <c r="H313" t="s">
        <v>470</v>
      </c>
    </row>
    <row r="314" spans="1:8" x14ac:dyDescent="0.2">
      <c r="A314">
        <v>294</v>
      </c>
      <c r="B314">
        <v>24.5</v>
      </c>
      <c r="C314">
        <v>-4.9107000000000003</v>
      </c>
      <c r="D314">
        <v>0</v>
      </c>
      <c r="E314">
        <v>0</v>
      </c>
      <c r="F314">
        <v>0</v>
      </c>
      <c r="G314">
        <v>0</v>
      </c>
      <c r="H314" t="s">
        <v>470</v>
      </c>
    </row>
    <row r="315" spans="1:8" x14ac:dyDescent="0.2">
      <c r="A315">
        <v>295</v>
      </c>
      <c r="B315">
        <v>24.583300000000001</v>
      </c>
      <c r="C315">
        <v>-3.4864999999999999</v>
      </c>
      <c r="D315">
        <v>0</v>
      </c>
      <c r="E315">
        <v>0</v>
      </c>
      <c r="F315">
        <v>0</v>
      </c>
      <c r="G315">
        <v>0</v>
      </c>
      <c r="H315" t="s">
        <v>470</v>
      </c>
    </row>
    <row r="316" spans="1:8" x14ac:dyDescent="0.2">
      <c r="A316">
        <v>296</v>
      </c>
      <c r="B316">
        <v>24.666699999999999</v>
      </c>
      <c r="C316">
        <v>-4.0471000000000004</v>
      </c>
      <c r="D316">
        <v>0</v>
      </c>
      <c r="E316">
        <v>0</v>
      </c>
      <c r="F316">
        <v>0</v>
      </c>
      <c r="G316">
        <v>0</v>
      </c>
      <c r="H316" t="s">
        <v>470</v>
      </c>
    </row>
    <row r="317" spans="1:8" x14ac:dyDescent="0.2">
      <c r="A317">
        <v>297</v>
      </c>
      <c r="B317">
        <v>24.75</v>
      </c>
      <c r="C317">
        <v>-4.5316999999999998</v>
      </c>
      <c r="D317">
        <v>0</v>
      </c>
      <c r="E317">
        <v>0</v>
      </c>
      <c r="F317">
        <v>0</v>
      </c>
      <c r="G317">
        <v>0</v>
      </c>
      <c r="H317" t="s">
        <v>470</v>
      </c>
    </row>
    <row r="318" spans="1:8" x14ac:dyDescent="0.2">
      <c r="A318">
        <v>298</v>
      </c>
      <c r="B318">
        <v>24.833300000000001</v>
      </c>
      <c r="C318">
        <v>-7.8841999999999999</v>
      </c>
      <c r="D318">
        <v>0</v>
      </c>
      <c r="E318">
        <v>0</v>
      </c>
      <c r="F318">
        <v>0</v>
      </c>
      <c r="G318">
        <v>0</v>
      </c>
      <c r="H318" t="s">
        <v>470</v>
      </c>
    </row>
    <row r="319" spans="1:8" x14ac:dyDescent="0.2">
      <c r="A319">
        <v>299</v>
      </c>
      <c r="B319">
        <v>24.916699999999999</v>
      </c>
      <c r="C319">
        <v>-5.4537000000000004</v>
      </c>
      <c r="D319">
        <v>0</v>
      </c>
      <c r="E319">
        <v>0</v>
      </c>
      <c r="F319">
        <v>0</v>
      </c>
      <c r="G319">
        <v>0</v>
      </c>
      <c r="H319" t="s">
        <v>470</v>
      </c>
    </row>
    <row r="320" spans="1:8" x14ac:dyDescent="0.2">
      <c r="A320">
        <v>300</v>
      </c>
      <c r="B320">
        <v>25</v>
      </c>
      <c r="C320">
        <v>-5.8304</v>
      </c>
      <c r="D320">
        <v>0</v>
      </c>
      <c r="E320">
        <v>0</v>
      </c>
      <c r="F320">
        <v>0</v>
      </c>
      <c r="G320">
        <v>0</v>
      </c>
      <c r="H320" t="s">
        <v>470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19"/>
  <sheetViews>
    <sheetView workbookViewId="0">
      <selection activeCell="D18" sqref="D18"/>
    </sheetView>
  </sheetViews>
  <sheetFormatPr baseColWidth="10" defaultRowHeight="16" x14ac:dyDescent="0.2"/>
  <cols>
    <col min="3" max="3" width="17.6640625" bestFit="1" customWidth="1"/>
    <col min="4" max="4" width="14.83203125" bestFit="1" customWidth="1"/>
    <col min="5" max="5" width="12" bestFit="1" customWidth="1"/>
    <col min="6" max="6" width="17.33203125" bestFit="1" customWidth="1"/>
    <col min="7" max="7" width="17.83203125" bestFit="1" customWidth="1"/>
  </cols>
  <sheetData>
    <row r="1" spans="1:7" x14ac:dyDescent="0.2">
      <c r="A1" t="s">
        <v>480</v>
      </c>
    </row>
    <row r="2" spans="1:7" x14ac:dyDescent="0.2">
      <c r="A2" t="s">
        <v>481</v>
      </c>
    </row>
    <row r="3" spans="1:7" x14ac:dyDescent="0.2">
      <c r="A3" t="s">
        <v>482</v>
      </c>
    </row>
    <row r="4" spans="1:7" x14ac:dyDescent="0.2">
      <c r="A4" t="s">
        <v>53</v>
      </c>
      <c r="B4" t="s">
        <v>483</v>
      </c>
      <c r="C4" t="s">
        <v>484</v>
      </c>
      <c r="D4" t="s">
        <v>485</v>
      </c>
      <c r="E4" t="s">
        <v>57</v>
      </c>
      <c r="F4" t="s">
        <v>486</v>
      </c>
      <c r="G4" t="s">
        <v>487</v>
      </c>
    </row>
    <row r="5" spans="1:7" x14ac:dyDescent="0.2">
      <c r="A5" t="s">
        <v>59</v>
      </c>
      <c r="B5">
        <v>0.12230000000000001</v>
      </c>
      <c r="C5">
        <v>-2930</v>
      </c>
      <c r="D5">
        <v>10392</v>
      </c>
      <c r="E5">
        <v>13321</v>
      </c>
      <c r="F5">
        <v>-6662</v>
      </c>
      <c r="G5">
        <v>6659</v>
      </c>
    </row>
    <row r="6" spans="1:7" x14ac:dyDescent="0.2">
      <c r="A6" t="s">
        <v>60</v>
      </c>
      <c r="B6">
        <v>23000</v>
      </c>
      <c r="C6">
        <v>8332</v>
      </c>
      <c r="D6">
        <v>-868</v>
      </c>
      <c r="E6">
        <v>9200</v>
      </c>
      <c r="F6">
        <v>4600</v>
      </c>
      <c r="G6">
        <v>-4600</v>
      </c>
    </row>
    <row r="7" spans="1:7" x14ac:dyDescent="0.2">
      <c r="A7" t="s">
        <v>61</v>
      </c>
      <c r="B7">
        <v>68.294700000000006</v>
      </c>
      <c r="C7">
        <v>98</v>
      </c>
      <c r="D7">
        <v>7320</v>
      </c>
      <c r="E7">
        <v>7222</v>
      </c>
      <c r="F7">
        <v>-3634</v>
      </c>
      <c r="G7">
        <v>3587</v>
      </c>
    </row>
    <row r="8" spans="1:7" x14ac:dyDescent="0.2">
      <c r="A8" t="s">
        <v>62</v>
      </c>
      <c r="B8">
        <v>45</v>
      </c>
      <c r="C8">
        <v>605</v>
      </c>
      <c r="D8">
        <v>6859</v>
      </c>
      <c r="E8">
        <v>6254</v>
      </c>
      <c r="F8">
        <v>-3127</v>
      </c>
      <c r="G8">
        <v>3127</v>
      </c>
    </row>
    <row r="9" spans="1:7" x14ac:dyDescent="0.2">
      <c r="A9" t="s">
        <v>63</v>
      </c>
      <c r="B9">
        <v>0.2</v>
      </c>
      <c r="C9">
        <v>5086</v>
      </c>
      <c r="D9">
        <v>2370</v>
      </c>
      <c r="E9">
        <v>2716</v>
      </c>
      <c r="F9">
        <v>1353</v>
      </c>
      <c r="G9">
        <v>-1363</v>
      </c>
    </row>
    <row r="10" spans="1:7" x14ac:dyDescent="0.2">
      <c r="A10" t="s">
        <v>488</v>
      </c>
      <c r="B10">
        <v>2.8E-3</v>
      </c>
      <c r="C10">
        <v>5104</v>
      </c>
      <c r="D10">
        <v>2440</v>
      </c>
      <c r="E10">
        <v>2664</v>
      </c>
      <c r="F10">
        <v>1372</v>
      </c>
      <c r="G10">
        <v>-1292</v>
      </c>
    </row>
    <row r="11" spans="1:7" x14ac:dyDescent="0.2">
      <c r="A11" t="s">
        <v>489</v>
      </c>
      <c r="B11">
        <v>3.5999999999999999E-3</v>
      </c>
      <c r="C11">
        <v>4551</v>
      </c>
      <c r="D11">
        <v>2981</v>
      </c>
      <c r="E11">
        <v>1570</v>
      </c>
      <c r="F11">
        <v>819</v>
      </c>
      <c r="G11">
        <v>-751</v>
      </c>
    </row>
    <row r="12" spans="1:7" x14ac:dyDescent="0.2">
      <c r="A12" t="s">
        <v>490</v>
      </c>
      <c r="B12">
        <v>17.506900000000002</v>
      </c>
      <c r="C12">
        <v>3790</v>
      </c>
      <c r="D12">
        <v>3644</v>
      </c>
      <c r="E12">
        <v>146</v>
      </c>
      <c r="F12">
        <v>57</v>
      </c>
      <c r="G12">
        <v>-89</v>
      </c>
    </row>
    <row r="15" spans="1:7" x14ac:dyDescent="0.2">
      <c r="A15" t="s">
        <v>491</v>
      </c>
    </row>
    <row r="16" spans="1:7" x14ac:dyDescent="0.2">
      <c r="A16" t="s">
        <v>29</v>
      </c>
      <c r="B16" t="s">
        <v>64</v>
      </c>
      <c r="C16" t="s">
        <v>492</v>
      </c>
      <c r="D16" t="s">
        <v>493</v>
      </c>
    </row>
    <row r="17" spans="1:4" x14ac:dyDescent="0.2">
      <c r="A17" t="s">
        <v>67</v>
      </c>
      <c r="B17">
        <v>16496</v>
      </c>
      <c r="C17">
        <v>12764</v>
      </c>
      <c r="D17">
        <v>3.4197000000000002</v>
      </c>
    </row>
    <row r="18" spans="1:4" x14ac:dyDescent="0.2">
      <c r="A18" t="s">
        <v>68</v>
      </c>
      <c r="B18">
        <v>3732</v>
      </c>
      <c r="C18">
        <v>0</v>
      </c>
      <c r="D18">
        <v>0</v>
      </c>
    </row>
    <row r="19" spans="1:4" x14ac:dyDescent="0.2">
      <c r="A19" t="s">
        <v>69</v>
      </c>
      <c r="B19">
        <v>-7461</v>
      </c>
      <c r="C19">
        <v>-11193</v>
      </c>
      <c r="D19">
        <v>-2.9990000000000001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51"/>
  <sheetViews>
    <sheetView topLeftCell="A3" workbookViewId="0">
      <selection activeCell="B27" sqref="B27:F29"/>
    </sheetView>
  </sheetViews>
  <sheetFormatPr baseColWidth="10" defaultRowHeight="16" x14ac:dyDescent="0.2"/>
  <cols>
    <col min="1" max="1" width="32" customWidth="1"/>
    <col min="2" max="2" width="20" customWidth="1"/>
    <col min="3" max="4" width="18" customWidth="1"/>
    <col min="5" max="5" width="16" customWidth="1"/>
    <col min="6" max="6" width="35" customWidth="1"/>
  </cols>
  <sheetData>
    <row r="1" spans="1:6" ht="24" customHeight="1" x14ac:dyDescent="0.2">
      <c r="A1" s="157" t="s">
        <v>0</v>
      </c>
      <c r="B1" s="153"/>
      <c r="C1" s="153"/>
      <c r="D1" s="153"/>
      <c r="E1" s="153"/>
      <c r="F1" s="153"/>
    </row>
    <row r="2" spans="1:6" ht="14" customHeight="1" x14ac:dyDescent="0.2">
      <c r="A2" s="197" t="s">
        <v>1</v>
      </c>
      <c r="B2" s="153"/>
      <c r="C2" s="153"/>
      <c r="D2" s="153"/>
      <c r="E2" s="153"/>
      <c r="F2" s="153"/>
    </row>
    <row r="4" spans="1:6" ht="18" customHeight="1" x14ac:dyDescent="0.2">
      <c r="A4" s="196" t="s">
        <v>2</v>
      </c>
      <c r="B4" s="153"/>
      <c r="C4" s="153"/>
      <c r="D4" s="153"/>
      <c r="E4" s="153"/>
      <c r="F4" s="153"/>
    </row>
    <row r="5" spans="1:6" ht="16" customHeight="1" x14ac:dyDescent="0.2">
      <c r="A5" s="76" t="s">
        <v>3</v>
      </c>
      <c r="B5" s="76" t="s">
        <v>4</v>
      </c>
      <c r="C5" s="76" t="s">
        <v>5</v>
      </c>
      <c r="D5" s="76" t="s">
        <v>6</v>
      </c>
      <c r="E5" s="76" t="s">
        <v>7</v>
      </c>
      <c r="F5" s="76" t="s">
        <v>8</v>
      </c>
    </row>
    <row r="6" spans="1:6" ht="16" customHeight="1" x14ac:dyDescent="0.2">
      <c r="A6" s="77" t="s">
        <v>9</v>
      </c>
      <c r="B6" s="78">
        <v>68.294700000000006</v>
      </c>
      <c r="C6" s="79">
        <v>77.685100000000006</v>
      </c>
      <c r="D6" s="79">
        <v>67.375399999999999</v>
      </c>
      <c r="E6" s="79">
        <v>77.266300000000001</v>
      </c>
      <c r="F6" s="79" t="s">
        <v>10</v>
      </c>
    </row>
    <row r="7" spans="1:6" ht="16" customHeight="1" x14ac:dyDescent="0.2">
      <c r="A7" s="77" t="s">
        <v>11</v>
      </c>
      <c r="B7" s="78">
        <v>0.1401</v>
      </c>
      <c r="C7" s="79">
        <v>0.59309999999999996</v>
      </c>
      <c r="D7" s="79">
        <v>0.1928</v>
      </c>
      <c r="E7" s="79">
        <v>0.73829999999999996</v>
      </c>
      <c r="F7" s="79" t="s">
        <v>12</v>
      </c>
    </row>
    <row r="8" spans="1:6" ht="16" customHeight="1" x14ac:dyDescent="0.2">
      <c r="A8" s="77" t="s">
        <v>13</v>
      </c>
      <c r="B8" s="78">
        <v>17.506900000000002</v>
      </c>
      <c r="C8" s="79">
        <v>16.815000000000001</v>
      </c>
      <c r="D8" s="79">
        <v>19.357199999999999</v>
      </c>
      <c r="E8" s="79">
        <v>18.041499999999999</v>
      </c>
      <c r="F8" s="79" t="s">
        <v>10</v>
      </c>
    </row>
    <row r="9" spans="1:6" ht="16" customHeight="1" x14ac:dyDescent="0.2">
      <c r="A9" s="77" t="s">
        <v>14</v>
      </c>
      <c r="B9" s="78">
        <v>4.9485999999999999</v>
      </c>
      <c r="C9" s="79">
        <v>1.1687000000000001</v>
      </c>
      <c r="D9" s="79">
        <v>3.5948000000000002</v>
      </c>
      <c r="E9" s="79">
        <v>0.93879999999999997</v>
      </c>
      <c r="F9" s="79" t="s">
        <v>15</v>
      </c>
    </row>
    <row r="11" spans="1:6" ht="18" customHeight="1" x14ac:dyDescent="0.2">
      <c r="A11" s="196" t="s">
        <v>16</v>
      </c>
      <c r="B11" s="153"/>
      <c r="C11" s="153"/>
      <c r="D11" s="153"/>
      <c r="E11" s="153"/>
      <c r="F11" s="153"/>
    </row>
    <row r="12" spans="1:6" ht="16" customHeight="1" x14ac:dyDescent="0.2">
      <c r="A12" s="76" t="s">
        <v>17</v>
      </c>
      <c r="B12" s="76" t="s">
        <v>18</v>
      </c>
      <c r="C12" s="76" t="s">
        <v>19</v>
      </c>
      <c r="D12" s="76" t="s">
        <v>20</v>
      </c>
      <c r="E12" s="76" t="s">
        <v>21</v>
      </c>
      <c r="F12" s="76"/>
    </row>
    <row r="13" spans="1:6" ht="16" customHeight="1" x14ac:dyDescent="0.2">
      <c r="A13" s="77" t="s">
        <v>22</v>
      </c>
      <c r="B13" s="79">
        <v>62.42</v>
      </c>
      <c r="C13" s="79">
        <v>19.97</v>
      </c>
      <c r="D13" s="79">
        <v>-14.85</v>
      </c>
      <c r="E13" s="79">
        <v>62.86</v>
      </c>
      <c r="F13" s="79"/>
    </row>
    <row r="14" spans="1:6" ht="16" customHeight="1" x14ac:dyDescent="0.2">
      <c r="A14" s="80" t="s">
        <v>23</v>
      </c>
      <c r="B14" s="81">
        <v>60.67</v>
      </c>
      <c r="C14" s="81">
        <v>18.27</v>
      </c>
      <c r="D14" s="81">
        <v>-17.66</v>
      </c>
      <c r="E14" s="81">
        <v>60.8</v>
      </c>
      <c r="F14" s="81" t="s">
        <v>24</v>
      </c>
    </row>
    <row r="15" spans="1:6" ht="16" customHeight="1" x14ac:dyDescent="0.2">
      <c r="A15" s="77" t="s">
        <v>25</v>
      </c>
      <c r="B15" s="79">
        <v>58.52</v>
      </c>
      <c r="C15" s="79">
        <v>16.52</v>
      </c>
      <c r="D15" s="79">
        <v>-15.45</v>
      </c>
      <c r="E15" s="79">
        <v>58.75</v>
      </c>
      <c r="F15" s="79"/>
    </row>
    <row r="16" spans="1:6" ht="16" customHeight="1" x14ac:dyDescent="0.2">
      <c r="A16" s="77" t="s">
        <v>26</v>
      </c>
      <c r="B16" s="79">
        <v>57.43</v>
      </c>
      <c r="C16" s="79">
        <v>14.71</v>
      </c>
      <c r="D16" s="79">
        <v>-19.55</v>
      </c>
      <c r="E16" s="79">
        <v>56.69</v>
      </c>
      <c r="F16" s="79"/>
    </row>
    <row r="17" spans="1:6" ht="16" customHeight="1" x14ac:dyDescent="0.2">
      <c r="A17" s="77" t="s">
        <v>27</v>
      </c>
      <c r="B17" s="79">
        <v>54.79</v>
      </c>
      <c r="C17" s="79">
        <v>12.55</v>
      </c>
      <c r="D17" s="79">
        <v>-22.5</v>
      </c>
      <c r="E17" s="79">
        <v>54.64</v>
      </c>
      <c r="F17" s="79"/>
    </row>
    <row r="19" spans="1:6" ht="18" customHeight="1" x14ac:dyDescent="0.2">
      <c r="A19" s="196" t="s">
        <v>28</v>
      </c>
      <c r="B19" s="153"/>
      <c r="C19" s="153"/>
      <c r="D19" s="153"/>
      <c r="E19" s="153"/>
      <c r="F19" s="153"/>
    </row>
    <row r="20" spans="1:6" ht="16" customHeight="1" x14ac:dyDescent="0.2">
      <c r="A20" s="76" t="s">
        <v>29</v>
      </c>
      <c r="B20" s="76" t="s">
        <v>30</v>
      </c>
      <c r="C20" s="76" t="s">
        <v>31</v>
      </c>
      <c r="D20" s="76" t="s">
        <v>32</v>
      </c>
      <c r="E20" s="76" t="s">
        <v>33</v>
      </c>
      <c r="F20" s="76" t="s">
        <v>34</v>
      </c>
    </row>
    <row r="21" spans="1:6" ht="16" customHeight="1" x14ac:dyDescent="0.2">
      <c r="A21" s="82" t="s">
        <v>35</v>
      </c>
      <c r="B21" s="83">
        <v>3732</v>
      </c>
      <c r="C21" s="83">
        <v>2890</v>
      </c>
      <c r="D21" s="83">
        <v>-842</v>
      </c>
      <c r="E21" s="84">
        <v>-0.22559999999999999</v>
      </c>
      <c r="F21" s="82" t="s">
        <v>36</v>
      </c>
    </row>
    <row r="22" spans="1:6" ht="16" customHeight="1" x14ac:dyDescent="0.2">
      <c r="A22" s="82" t="s">
        <v>37</v>
      </c>
      <c r="B22" s="83">
        <v>9</v>
      </c>
      <c r="C22" s="83">
        <v>-698</v>
      </c>
      <c r="D22" s="83">
        <v>-707</v>
      </c>
      <c r="E22" s="84">
        <v>-78.555599999999998</v>
      </c>
      <c r="F22" s="82" t="s">
        <v>38</v>
      </c>
    </row>
    <row r="23" spans="1:6" ht="16" customHeight="1" x14ac:dyDescent="0.2">
      <c r="A23" s="85" t="s">
        <v>39</v>
      </c>
      <c r="B23" s="86">
        <v>-3044</v>
      </c>
      <c r="C23" s="86">
        <v>-3629</v>
      </c>
      <c r="D23" s="86">
        <v>-585</v>
      </c>
      <c r="E23" s="87">
        <v>-0.19220000000000001</v>
      </c>
      <c r="F23" s="85" t="s">
        <v>40</v>
      </c>
    </row>
    <row r="25" spans="1:6" ht="18" customHeight="1" x14ac:dyDescent="0.2">
      <c r="A25" s="196" t="s">
        <v>41</v>
      </c>
      <c r="B25" s="153"/>
      <c r="C25" s="153"/>
      <c r="D25" s="153"/>
      <c r="E25" s="153"/>
      <c r="F25" s="153"/>
    </row>
    <row r="26" spans="1:6" ht="16" customHeight="1" x14ac:dyDescent="0.2">
      <c r="A26" s="76" t="s">
        <v>29</v>
      </c>
      <c r="B26" s="76" t="s">
        <v>42</v>
      </c>
      <c r="C26" s="76" t="s">
        <v>43</v>
      </c>
      <c r="D26" s="76" t="s">
        <v>44</v>
      </c>
      <c r="E26" s="76" t="s">
        <v>45</v>
      </c>
      <c r="F26" s="76" t="s">
        <v>46</v>
      </c>
    </row>
    <row r="27" spans="1:6" ht="16" customHeight="1" x14ac:dyDescent="0.2">
      <c r="A27" s="77" t="s">
        <v>47</v>
      </c>
      <c r="B27" s="88">
        <v>19541</v>
      </c>
      <c r="C27" s="89">
        <v>0.84960000000000002</v>
      </c>
      <c r="D27" s="79">
        <v>1.27</v>
      </c>
      <c r="E27" s="79">
        <v>1.2</v>
      </c>
      <c r="F27" s="79">
        <v>1.35</v>
      </c>
    </row>
    <row r="28" spans="1:6" ht="16" customHeight="1" x14ac:dyDescent="0.2">
      <c r="A28" s="90" t="s">
        <v>48</v>
      </c>
      <c r="B28" s="91">
        <v>11164</v>
      </c>
      <c r="C28" s="92">
        <v>0.4854</v>
      </c>
      <c r="D28" s="93">
        <v>1.21</v>
      </c>
      <c r="E28" s="93">
        <v>1.2</v>
      </c>
      <c r="F28" s="93"/>
    </row>
    <row r="29" spans="1:6" ht="16" customHeight="1" x14ac:dyDescent="0.2">
      <c r="A29" s="77" t="s">
        <v>49</v>
      </c>
      <c r="B29" s="88">
        <v>10255</v>
      </c>
      <c r="C29" s="89">
        <v>0.44590000000000002</v>
      </c>
      <c r="D29" s="79">
        <v>1.2</v>
      </c>
      <c r="E29" s="79">
        <v>1.2</v>
      </c>
      <c r="F29" s="79"/>
    </row>
    <row r="31" spans="1:6" ht="16" customHeight="1" x14ac:dyDescent="0.2">
      <c r="A31" s="94" t="s">
        <v>50</v>
      </c>
      <c r="B31" s="95">
        <v>-0.42870000000000003</v>
      </c>
    </row>
    <row r="32" spans="1:6" ht="16" customHeight="1" x14ac:dyDescent="0.2">
      <c r="A32" s="94" t="s">
        <v>51</v>
      </c>
      <c r="B32" s="95">
        <v>-0.47520000000000001</v>
      </c>
    </row>
    <row r="34" spans="1:6" ht="18" customHeight="1" x14ac:dyDescent="0.2">
      <c r="A34" s="196" t="s">
        <v>52</v>
      </c>
      <c r="B34" s="153"/>
      <c r="C34" s="153"/>
      <c r="D34" s="153"/>
      <c r="E34" s="153"/>
      <c r="F34" s="153"/>
    </row>
    <row r="35" spans="1:6" ht="16" customHeight="1" x14ac:dyDescent="0.2">
      <c r="A35" s="76" t="s">
        <v>53</v>
      </c>
      <c r="B35" s="76" t="s">
        <v>54</v>
      </c>
      <c r="C35" s="76" t="s">
        <v>55</v>
      </c>
      <c r="D35" s="76" t="s">
        <v>56</v>
      </c>
      <c r="E35" s="76" t="s">
        <v>57</v>
      </c>
      <c r="F35" s="76" t="s">
        <v>58</v>
      </c>
    </row>
    <row r="36" spans="1:6" ht="16" customHeight="1" x14ac:dyDescent="0.2">
      <c r="A36" s="77" t="s">
        <v>59</v>
      </c>
      <c r="B36" s="88">
        <v>-2930</v>
      </c>
      <c r="C36" s="88">
        <v>3732</v>
      </c>
      <c r="D36" s="88">
        <v>10392</v>
      </c>
      <c r="E36" s="88">
        <v>13321</v>
      </c>
      <c r="F36" s="79">
        <v>1</v>
      </c>
    </row>
    <row r="37" spans="1:6" ht="16" customHeight="1" x14ac:dyDescent="0.2">
      <c r="A37" s="77" t="s">
        <v>60</v>
      </c>
      <c r="B37" s="88">
        <v>8332</v>
      </c>
      <c r="C37" s="88">
        <v>3732</v>
      </c>
      <c r="D37" s="88">
        <v>-868</v>
      </c>
      <c r="E37" s="88">
        <v>9200</v>
      </c>
      <c r="F37" s="79">
        <v>2</v>
      </c>
    </row>
    <row r="38" spans="1:6" ht="16" customHeight="1" x14ac:dyDescent="0.2">
      <c r="A38" s="77" t="s">
        <v>61</v>
      </c>
      <c r="B38" s="88">
        <v>98</v>
      </c>
      <c r="C38" s="88">
        <v>3732</v>
      </c>
      <c r="D38" s="88">
        <v>7320</v>
      </c>
      <c r="E38" s="88">
        <v>7222</v>
      </c>
      <c r="F38" s="79">
        <v>3</v>
      </c>
    </row>
    <row r="39" spans="1:6" ht="16" customHeight="1" x14ac:dyDescent="0.2">
      <c r="A39" s="77" t="s">
        <v>62</v>
      </c>
      <c r="B39" s="88">
        <v>605</v>
      </c>
      <c r="C39" s="88">
        <v>3732</v>
      </c>
      <c r="D39" s="88">
        <v>6859</v>
      </c>
      <c r="E39" s="88">
        <v>6254</v>
      </c>
      <c r="F39" s="79">
        <v>4</v>
      </c>
    </row>
    <row r="40" spans="1:6" ht="16" customHeight="1" x14ac:dyDescent="0.2">
      <c r="A40" s="77" t="s">
        <v>63</v>
      </c>
      <c r="B40" s="88">
        <v>5086</v>
      </c>
      <c r="C40" s="88">
        <v>3732</v>
      </c>
      <c r="D40" s="88">
        <v>2370</v>
      </c>
      <c r="E40" s="88">
        <v>2716</v>
      </c>
      <c r="F40" s="79">
        <v>5</v>
      </c>
    </row>
    <row r="42" spans="1:6" ht="16" customHeight="1" x14ac:dyDescent="0.2">
      <c r="A42" s="76" t="s">
        <v>29</v>
      </c>
      <c r="B42" s="76" t="s">
        <v>64</v>
      </c>
      <c r="C42" s="76" t="s">
        <v>65</v>
      </c>
      <c r="D42" s="76" t="s">
        <v>66</v>
      </c>
      <c r="E42" s="76"/>
      <c r="F42" s="76"/>
    </row>
    <row r="43" spans="1:6" ht="16" customHeight="1" x14ac:dyDescent="0.2">
      <c r="A43" s="82" t="s">
        <v>67</v>
      </c>
      <c r="B43" s="83">
        <v>16496</v>
      </c>
      <c r="C43" s="83">
        <v>12764</v>
      </c>
      <c r="D43" s="84">
        <v>3.4198</v>
      </c>
      <c r="E43" s="78"/>
      <c r="F43" s="78"/>
    </row>
    <row r="44" spans="1:6" ht="16" customHeight="1" x14ac:dyDescent="0.2">
      <c r="A44" s="77" t="s">
        <v>68</v>
      </c>
      <c r="B44" s="88">
        <v>3732</v>
      </c>
      <c r="C44" s="88">
        <v>0</v>
      </c>
      <c r="D44" s="89">
        <v>0</v>
      </c>
      <c r="E44" s="79"/>
      <c r="F44" s="79"/>
    </row>
    <row r="45" spans="1:6" ht="16" customHeight="1" x14ac:dyDescent="0.2">
      <c r="A45" s="90" t="s">
        <v>69</v>
      </c>
      <c r="B45" s="91">
        <v>-7461</v>
      </c>
      <c r="C45" s="91">
        <v>-11193</v>
      </c>
      <c r="D45" s="92">
        <v>-2.9988999999999999</v>
      </c>
      <c r="E45" s="93"/>
      <c r="F45" s="93"/>
    </row>
    <row r="47" spans="1:6" ht="18" customHeight="1" x14ac:dyDescent="0.2">
      <c r="A47" s="196" t="s">
        <v>70</v>
      </c>
      <c r="B47" s="153"/>
      <c r="C47" s="153"/>
      <c r="D47" s="153"/>
      <c r="E47" s="153"/>
      <c r="F47" s="153"/>
    </row>
    <row r="48" spans="1:6" ht="45" customHeight="1" x14ac:dyDescent="0.2">
      <c r="A48" s="96" t="s">
        <v>71</v>
      </c>
      <c r="B48" s="195" t="s">
        <v>72</v>
      </c>
      <c r="C48" s="153"/>
      <c r="D48" s="153"/>
      <c r="E48" s="153"/>
      <c r="F48" s="153"/>
    </row>
    <row r="49" spans="1:6" ht="45" customHeight="1" x14ac:dyDescent="0.2">
      <c r="A49" s="96" t="s">
        <v>73</v>
      </c>
      <c r="B49" s="195" t="s">
        <v>74</v>
      </c>
      <c r="C49" s="153"/>
      <c r="D49" s="153"/>
      <c r="E49" s="153"/>
      <c r="F49" s="153"/>
    </row>
    <row r="50" spans="1:6" ht="45" customHeight="1" x14ac:dyDescent="0.2">
      <c r="A50" s="96" t="s">
        <v>75</v>
      </c>
      <c r="B50" s="195" t="s">
        <v>76</v>
      </c>
      <c r="C50" s="153"/>
      <c r="D50" s="153"/>
      <c r="E50" s="153"/>
      <c r="F50" s="153"/>
    </row>
    <row r="51" spans="1:6" ht="45" customHeight="1" x14ac:dyDescent="0.2">
      <c r="A51" s="96" t="s">
        <v>77</v>
      </c>
      <c r="B51" s="195" t="s">
        <v>78</v>
      </c>
      <c r="C51" s="153"/>
      <c r="D51" s="153"/>
      <c r="E51" s="153"/>
      <c r="F51" s="153"/>
    </row>
  </sheetData>
  <mergeCells count="12">
    <mergeCell ref="A1:F1"/>
    <mergeCell ref="B51:F51"/>
    <mergeCell ref="A34:F34"/>
    <mergeCell ref="A4:F4"/>
    <mergeCell ref="B50:F50"/>
    <mergeCell ref="A25:F25"/>
    <mergeCell ref="B49:F49"/>
    <mergeCell ref="A2:F2"/>
    <mergeCell ref="A11:F11"/>
    <mergeCell ref="A47:F47"/>
    <mergeCell ref="A19:F19"/>
    <mergeCell ref="B48:F4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Cover Page</vt:lpstr>
      <vt:lpstr>Workbook Guide</vt:lpstr>
      <vt:lpstr>Data Log</vt:lpstr>
      <vt:lpstr>Assumptions</vt:lpstr>
      <vt:lpstr>Electricity Price Data</vt:lpstr>
      <vt:lpstr>Capture Price Inputs</vt:lpstr>
      <vt:lpstr>Calibration</vt:lpstr>
      <vt:lpstr>Simulation</vt:lpstr>
      <vt:lpstr>WACC</vt:lpstr>
      <vt:lpstr>FCFF Model</vt:lpstr>
      <vt:lpstr>Debt Sizing</vt:lpstr>
      <vt:lpstr>Stress Test</vt:lpstr>
      <vt:lpstr>Output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Sarah Wulff</dc:creator>
  <cp:lastModifiedBy>Sarah Wulff</cp:lastModifiedBy>
  <dcterms:created xsi:type="dcterms:W3CDTF">2026-04-23T07:47:57Z</dcterms:created>
  <dcterms:modified xsi:type="dcterms:W3CDTF">2026-05-20T08:19:49Z</dcterms:modified>
</cp:coreProperties>
</file>