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ine\Desktop\Semester-Projekt-3\Hardware\"/>
    </mc:Choice>
  </mc:AlternateContent>
  <bookViews>
    <workbookView xWindow="0" yWindow="0" windowWidth="20490" windowHeight="7755" activeTab="2"/>
  </bookViews>
  <sheets>
    <sheet name="Ark3" sheetId="3" r:id="rId1"/>
    <sheet name="Filter" sheetId="4" r:id="rId2"/>
    <sheet name="Vandsøjle" sheetId="6" r:id="rId3"/>
    <sheet name="Filter og forstærker sammen" sheetId="5" r:id="rId4"/>
    <sheet name="Forstærker" sheetId="1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6" l="1"/>
  <c r="H27" i="6"/>
  <c r="H25" i="6"/>
  <c r="H23" i="6"/>
  <c r="H21" i="6"/>
  <c r="H13" i="6"/>
  <c r="H32" i="5"/>
  <c r="H33" i="5"/>
  <c r="E30" i="5"/>
  <c r="E31" i="5"/>
  <c r="E32" i="5"/>
  <c r="E33" i="5"/>
  <c r="D32" i="5"/>
  <c r="D33" i="5"/>
  <c r="H31" i="5"/>
  <c r="D31" i="5"/>
  <c r="H30" i="5"/>
  <c r="D30" i="5"/>
  <c r="E24" i="5"/>
  <c r="E25" i="5"/>
  <c r="E26" i="5"/>
  <c r="E27" i="5"/>
  <c r="E28" i="5"/>
  <c r="E29" i="5"/>
  <c r="E34" i="5"/>
  <c r="E35" i="5"/>
  <c r="E5" i="5"/>
  <c r="E6" i="5"/>
  <c r="E7" i="5"/>
  <c r="E8" i="5"/>
  <c r="E9" i="5"/>
  <c r="E10" i="5"/>
  <c r="E11" i="5"/>
  <c r="E4" i="5"/>
  <c r="D34" i="5"/>
  <c r="D35" i="5"/>
  <c r="H34" i="5"/>
  <c r="D29" i="5"/>
  <c r="D28" i="5"/>
  <c r="H29" i="5"/>
  <c r="H28" i="5"/>
  <c r="H27" i="5"/>
  <c r="H26" i="5"/>
  <c r="D26" i="5"/>
  <c r="D27" i="5"/>
  <c r="H25" i="5"/>
  <c r="D25" i="5"/>
  <c r="H24" i="5"/>
  <c r="D24" i="5"/>
  <c r="D11" i="5"/>
  <c r="D10" i="5"/>
  <c r="D4" i="5"/>
  <c r="D5" i="5"/>
  <c r="D6" i="5"/>
  <c r="D7" i="5"/>
  <c r="D8" i="5"/>
  <c r="D9" i="5"/>
  <c r="H4" i="6" l="1"/>
  <c r="H19" i="6"/>
  <c r="H18" i="6"/>
  <c r="H17" i="6"/>
  <c r="H3" i="6"/>
  <c r="H15" i="6"/>
  <c r="H14" i="6"/>
  <c r="H2" i="6" l="1"/>
  <c r="G7" i="1" l="1"/>
  <c r="G8" i="1"/>
  <c r="G9" i="1"/>
  <c r="G10" i="1"/>
  <c r="G11" i="1"/>
  <c r="G12" i="1"/>
  <c r="G13" i="1"/>
  <c r="G6" i="1"/>
  <c r="F7" i="1"/>
  <c r="F8" i="1"/>
  <c r="F9" i="1"/>
  <c r="F10" i="1"/>
  <c r="F11" i="1"/>
  <c r="F12" i="1"/>
  <c r="F13" i="1"/>
  <c r="F6" i="1"/>
  <c r="G21" i="1"/>
  <c r="G22" i="1"/>
  <c r="G23" i="1"/>
  <c r="G24" i="1"/>
  <c r="G25" i="1"/>
  <c r="G26" i="1"/>
  <c r="G27" i="1"/>
  <c r="G28" i="1"/>
  <c r="G29" i="1"/>
  <c r="G20" i="1"/>
  <c r="F21" i="1"/>
  <c r="F22" i="1"/>
  <c r="F23" i="1"/>
  <c r="F24" i="1"/>
  <c r="F25" i="1"/>
  <c r="F26" i="1"/>
  <c r="F27" i="1"/>
  <c r="F28" i="1"/>
  <c r="F29" i="1"/>
  <c r="F20" i="1"/>
  <c r="F3" i="6"/>
  <c r="F2" i="6"/>
  <c r="F4" i="6"/>
  <c r="H13" i="5"/>
  <c r="H14" i="5"/>
  <c r="H15" i="5"/>
  <c r="H16" i="5"/>
  <c r="H17" i="5"/>
  <c r="H18" i="5"/>
  <c r="H19" i="5"/>
  <c r="H20" i="5"/>
  <c r="H21" i="5"/>
  <c r="H22" i="5"/>
  <c r="H23" i="5"/>
  <c r="H12" i="5"/>
  <c r="E4" i="6" l="1"/>
  <c r="D4" i="6"/>
  <c r="E3" i="6"/>
  <c r="E2" i="6"/>
  <c r="D2" i="6"/>
  <c r="B44" i="4" l="1"/>
  <c r="C44" i="4" s="1"/>
  <c r="B43" i="4"/>
  <c r="C43" i="4" s="1"/>
  <c r="B42" i="4"/>
  <c r="C42" i="4" s="1"/>
  <c r="B41" i="4"/>
  <c r="C41" i="4" s="1"/>
  <c r="B40" i="4"/>
  <c r="C40" i="4" s="1"/>
  <c r="B39" i="4"/>
  <c r="C39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9" i="4"/>
  <c r="C29" i="4" s="1"/>
  <c r="B28" i="4"/>
  <c r="C28" i="4" s="1"/>
  <c r="C27" i="4"/>
  <c r="C23" i="4"/>
  <c r="E22" i="4"/>
  <c r="C22" i="4"/>
  <c r="E21" i="4"/>
  <c r="C21" i="4"/>
  <c r="E20" i="4"/>
  <c r="C20" i="4"/>
  <c r="E19" i="4"/>
  <c r="C19" i="4"/>
  <c r="E18" i="4"/>
  <c r="C18" i="4"/>
  <c r="E17" i="4"/>
  <c r="C17" i="4"/>
  <c r="E16" i="4"/>
  <c r="C16" i="4"/>
  <c r="E15" i="4"/>
  <c r="C15" i="4"/>
  <c r="E14" i="4"/>
  <c r="C14" i="4"/>
  <c r="E13" i="4"/>
  <c r="C13" i="4"/>
  <c r="E12" i="4"/>
  <c r="C12" i="4"/>
  <c r="E11" i="4"/>
  <c r="C11" i="4"/>
  <c r="E10" i="4"/>
  <c r="C10" i="4"/>
  <c r="E9" i="4"/>
  <c r="C9" i="4"/>
  <c r="E8" i="4"/>
  <c r="C8" i="4"/>
  <c r="E7" i="4"/>
  <c r="C7" i="4"/>
  <c r="E6" i="4"/>
  <c r="C6" i="4"/>
  <c r="E5" i="4"/>
  <c r="E4" i="4"/>
  <c r="E3" i="4"/>
  <c r="F13" i="5" l="1"/>
  <c r="F14" i="5"/>
  <c r="F15" i="5"/>
  <c r="F16" i="5"/>
  <c r="F17" i="5"/>
  <c r="F18" i="5"/>
  <c r="F19" i="5"/>
  <c r="F20" i="5"/>
  <c r="F21" i="5"/>
  <c r="F22" i="5"/>
  <c r="F23" i="5"/>
  <c r="F12" i="5"/>
  <c r="E20" i="1"/>
  <c r="E13" i="5"/>
  <c r="E14" i="5"/>
  <c r="E15" i="5"/>
  <c r="E16" i="5"/>
  <c r="E17" i="5"/>
  <c r="E18" i="5"/>
  <c r="E19" i="5"/>
  <c r="E20" i="5"/>
  <c r="E21" i="5"/>
  <c r="E22" i="5"/>
  <c r="E23" i="5"/>
  <c r="E12" i="5"/>
  <c r="E7" i="1" l="1"/>
  <c r="E8" i="1"/>
  <c r="E9" i="1"/>
  <c r="E10" i="1"/>
  <c r="E11" i="1"/>
  <c r="E12" i="1"/>
  <c r="E13" i="1"/>
  <c r="E6" i="1"/>
  <c r="C13" i="1"/>
  <c r="C12" i="1"/>
  <c r="C11" i="1"/>
  <c r="C10" i="1"/>
  <c r="C9" i="1"/>
  <c r="C8" i="1"/>
  <c r="C7" i="1"/>
  <c r="D6" i="1"/>
  <c r="C6" i="1"/>
  <c r="E28" i="1"/>
  <c r="E29" i="1"/>
  <c r="E27" i="1"/>
  <c r="D27" i="1"/>
  <c r="C27" i="1"/>
  <c r="D28" i="1"/>
  <c r="C28" i="1"/>
  <c r="D29" i="1"/>
  <c r="C29" i="1"/>
  <c r="E21" i="1"/>
  <c r="E22" i="1"/>
  <c r="E23" i="1"/>
  <c r="E24" i="1"/>
  <c r="E25" i="1"/>
  <c r="E26" i="1"/>
  <c r="D26" i="1"/>
  <c r="C26" i="1"/>
  <c r="D25" i="1"/>
  <c r="D23" i="1"/>
  <c r="D22" i="1"/>
  <c r="D21" i="1"/>
  <c r="D24" i="1"/>
  <c r="D20" i="1"/>
  <c r="C24" i="1"/>
  <c r="C25" i="1"/>
  <c r="C23" i="1"/>
  <c r="C22" i="1"/>
  <c r="C21" i="1"/>
  <c r="C20" i="1"/>
  <c r="B20" i="1" l="1"/>
  <c r="B25" i="1"/>
  <c r="B24" i="1"/>
  <c r="B23" i="1"/>
  <c r="B22" i="1"/>
  <c r="B21" i="1"/>
  <c r="B8" i="1" l="1"/>
  <c r="B6" i="1"/>
  <c r="B9" i="1"/>
  <c r="B7" i="1"/>
</calcChain>
</file>

<file path=xl/sharedStrings.xml><?xml version="1.0" encoding="utf-8"?>
<sst xmlns="http://schemas.openxmlformats.org/spreadsheetml/2006/main" count="80" uniqueCount="68">
  <si>
    <t>Forstærkning</t>
  </si>
  <si>
    <t>Vin i mV</t>
  </si>
  <si>
    <t>Vout i V</t>
  </si>
  <si>
    <t>Vin i V</t>
  </si>
  <si>
    <t>Vin målt i 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</si>
  <si>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</si>
  <si>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</si>
  <si>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</si>
  <si>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</si>
  <si>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</si>
  <si>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</si>
  <si>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</si>
  <si>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</si>
  <si>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</si>
  <si>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</si>
  <si>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</si>
  <si>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</si>
  <si>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</si>
  <si>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</si>
  <si>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</si>
  <si>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</si>
  <si>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</si>
  <si>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</si>
  <si>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</si>
  <si>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</si>
  <si>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</si>
  <si>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</si>
  <si>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</si>
  <si>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</si>
  <si>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</si>
  <si>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</si>
  <si>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Predicted 0,0029</t>
  </si>
  <si>
    <t>Residuals</t>
  </si>
  <si>
    <t>Sinus Signal</t>
  </si>
  <si>
    <t>DC Signal</t>
  </si>
  <si>
    <t>1 Hz</t>
  </si>
  <si>
    <t>Amplitude ind</t>
  </si>
  <si>
    <t>Frekvens</t>
  </si>
  <si>
    <t>Top til top ind &amp; ud, i ms</t>
  </si>
  <si>
    <t>Amplitude ud i V</t>
  </si>
  <si>
    <t>Fasedrej</t>
  </si>
  <si>
    <t>Integrationstest</t>
  </si>
  <si>
    <t>Amplitude ind i V</t>
  </si>
  <si>
    <t>Amplitude i DB</t>
  </si>
  <si>
    <t>Top til top ind/ud i ms</t>
  </si>
  <si>
    <t>Gain</t>
  </si>
  <si>
    <t>Fasedrej i grader</t>
  </si>
  <si>
    <t>mmHg</t>
  </si>
  <si>
    <t>Vandsøjle i mm</t>
  </si>
  <si>
    <t>Målt input i V</t>
  </si>
  <si>
    <t>Output i V</t>
  </si>
  <si>
    <t>Logartmisk skala (amplitude værdier i dB)</t>
  </si>
  <si>
    <t>Frekvens i Hz</t>
  </si>
  <si>
    <t>Oprindelig input</t>
  </si>
  <si>
    <t>Vandhøjde</t>
  </si>
  <si>
    <t>Massefylde vand=0,997 g/cm2</t>
  </si>
  <si>
    <t>Tyngde acceleration m/s^2</t>
  </si>
  <si>
    <t>Diameter i meter</t>
  </si>
  <si>
    <t>Areal af cirkel i m2</t>
  </si>
  <si>
    <t>Pascal</t>
  </si>
  <si>
    <t>Indgang i mV</t>
  </si>
  <si>
    <t>Udgang mV voltmeter</t>
  </si>
  <si>
    <t xml:space="preserve">Udgang analog </t>
  </si>
  <si>
    <t>Ind</t>
  </si>
  <si>
    <t>Ud</t>
  </si>
  <si>
    <t>Atmosfærisk tryk</t>
  </si>
  <si>
    <t>Gammel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</si>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</sst>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Dæmpning</a:t>
            </a:r>
            <a:r>
              <a:rPr lang="en-US" baseline="0"/>
              <a:t> af signal ved forskellige frekvenser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[1]Filter!$A$3:$A$23</c:f>
              <c:strCache>
                <c:ptCount val="1"/>
                <c:pt idx="0">
                  <c:v>1 5 10 20 30 35 40 43 46 50 53 56 60 70 80 90 100 110 120 150 500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[1]Filter!$A$3:$A$23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43</c:v>
                </c:pt>
                <c:pt idx="8">
                  <c:v>46</c:v>
                </c:pt>
                <c:pt idx="9">
                  <c:v>50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70</c:v>
                </c:pt>
                <c:pt idx="14">
                  <c:v>80</c:v>
                </c:pt>
                <c:pt idx="15">
                  <c:v>90</c:v>
                </c:pt>
                <c:pt idx="16">
                  <c:v>100</c:v>
                </c:pt>
                <c:pt idx="17">
                  <c:v>110</c:v>
                </c:pt>
                <c:pt idx="18">
                  <c:v>120</c:v>
                </c:pt>
                <c:pt idx="19">
                  <c:v>150</c:v>
                </c:pt>
                <c:pt idx="20">
                  <c:v>500</c:v>
                </c:pt>
              </c:numCache>
            </c:numRef>
          </c:xVal>
          <c:yVal>
            <c:numRef>
              <c:f>[1]Filter!$C$3:$C$23</c:f>
              <c:numCache>
                <c:formatCode>General</c:formatCode>
                <c:ptCount val="21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2.4700000000000002</c:v>
                </c:pt>
                <c:pt idx="4">
                  <c:v>2.36</c:v>
                </c:pt>
                <c:pt idx="5">
                  <c:v>2.27</c:v>
                </c:pt>
                <c:pt idx="6">
                  <c:v>2.14</c:v>
                </c:pt>
                <c:pt idx="7">
                  <c:v>2.04</c:v>
                </c:pt>
                <c:pt idx="8">
                  <c:v>1.97</c:v>
                </c:pt>
                <c:pt idx="9">
                  <c:v>1.81</c:v>
                </c:pt>
                <c:pt idx="10">
                  <c:v>1.72</c:v>
                </c:pt>
                <c:pt idx="11">
                  <c:v>1.61</c:v>
                </c:pt>
                <c:pt idx="12">
                  <c:v>1.48</c:v>
                </c:pt>
                <c:pt idx="13">
                  <c:v>1.18</c:v>
                </c:pt>
                <c:pt idx="14">
                  <c:v>0.96</c:v>
                </c:pt>
                <c:pt idx="15">
                  <c:v>0.77</c:v>
                </c:pt>
                <c:pt idx="16">
                  <c:v>0.64</c:v>
                </c:pt>
                <c:pt idx="17">
                  <c:v>0.55000000000000004</c:v>
                </c:pt>
                <c:pt idx="18">
                  <c:v>0.46</c:v>
                </c:pt>
                <c:pt idx="19">
                  <c:v>0.28999999999999998</c:v>
                </c:pt>
                <c:pt idx="20">
                  <c:v>2.75E-2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75080"/>
        <c:axId val="38206841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[1]Filter!$A$5:$A$22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40</c:v>
                      </c:pt>
                      <c:pt idx="5">
                        <c:v>43</c:v>
                      </c:pt>
                      <c:pt idx="6">
                        <c:v>46</c:v>
                      </c:pt>
                      <c:pt idx="7">
                        <c:v>50</c:v>
                      </c:pt>
                      <c:pt idx="8">
                        <c:v>53</c:v>
                      </c:pt>
                      <c:pt idx="9">
                        <c:v>56</c:v>
                      </c:pt>
                      <c:pt idx="10">
                        <c:v>60</c:v>
                      </c:pt>
                      <c:pt idx="11">
                        <c:v>70</c:v>
                      </c:pt>
                      <c:pt idx="12">
                        <c:v>80</c:v>
                      </c:pt>
                      <c:pt idx="13">
                        <c:v>90</c:v>
                      </c:pt>
                      <c:pt idx="14">
                        <c:v>100</c:v>
                      </c:pt>
                      <c:pt idx="15">
                        <c:v>110</c:v>
                      </c:pt>
                      <c:pt idx="16">
                        <c:v>120</c:v>
                      </c:pt>
                      <c:pt idx="17">
                        <c:v>150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[1]Filter!$C$5:$C$22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2.5</c:v>
                      </c:pt>
                      <c:pt idx="1">
                        <c:v>2.4700000000000002</c:v>
                      </c:pt>
                      <c:pt idx="2">
                        <c:v>2.36</c:v>
                      </c:pt>
                      <c:pt idx="3">
                        <c:v>2.27</c:v>
                      </c:pt>
                      <c:pt idx="4">
                        <c:v>2.14</c:v>
                      </c:pt>
                      <c:pt idx="5">
                        <c:v>2.04</c:v>
                      </c:pt>
                      <c:pt idx="6">
                        <c:v>1.97</c:v>
                      </c:pt>
                      <c:pt idx="7">
                        <c:v>1.81</c:v>
                      </c:pt>
                      <c:pt idx="8">
                        <c:v>1.72</c:v>
                      </c:pt>
                      <c:pt idx="9">
                        <c:v>1.61</c:v>
                      </c:pt>
                      <c:pt idx="10">
                        <c:v>1.48</c:v>
                      </c:pt>
                      <c:pt idx="11">
                        <c:v>1.18</c:v>
                      </c:pt>
                      <c:pt idx="12">
                        <c:v>0.96</c:v>
                      </c:pt>
                      <c:pt idx="13">
                        <c:v>0.77</c:v>
                      </c:pt>
                      <c:pt idx="14">
                        <c:v>0.64</c:v>
                      </c:pt>
                      <c:pt idx="15">
                        <c:v>0.55000000000000004</c:v>
                      </c:pt>
                      <c:pt idx="16">
                        <c:v>0.46</c:v>
                      </c:pt>
                      <c:pt idx="17">
                        <c:v>0.28999999999999998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3820750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068416"/>
        <c:crosses val="autoZero"/>
        <c:crossBetween val="midCat"/>
      </c:valAx>
      <c:valAx>
        <c:axId val="38206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075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Amplitude</a:t>
            </a:r>
            <a:r>
              <a:rPr lang="da-DK" baseline="0"/>
              <a:t> i dB (y), frekvenser i log på x akse</a:t>
            </a:r>
            <a:endParaRPr lang="da-D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[1]Filter!$A$27:$A$44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46</c:v>
                </c:pt>
                <c:pt idx="7">
                  <c:v>50</c:v>
                </c:pt>
                <c:pt idx="8">
                  <c:v>53</c:v>
                </c:pt>
                <c:pt idx="9">
                  <c:v>56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150</c:v>
                </c:pt>
              </c:numCache>
            </c:numRef>
          </c:xVal>
          <c:yVal>
            <c:numRef>
              <c:f>[1]Filter!$C$27:$C$44</c:f>
              <c:numCache>
                <c:formatCode>General</c:formatCode>
                <c:ptCount val="18"/>
                <c:pt idx="0">
                  <c:v>7.9588001734407516</c:v>
                </c:pt>
                <c:pt idx="1">
                  <c:v>7.8539390651933152</c:v>
                </c:pt>
                <c:pt idx="2">
                  <c:v>7.4582400594021312</c:v>
                </c:pt>
                <c:pt idx="3">
                  <c:v>7.1205171438624548</c:v>
                </c:pt>
                <c:pt idx="4">
                  <c:v>6.6082754669838177</c:v>
                </c:pt>
                <c:pt idx="5">
                  <c:v>6.1926033485179754</c:v>
                </c:pt>
                <c:pt idx="6">
                  <c:v>5.8893245232318581</c:v>
                </c:pt>
                <c:pt idx="7">
                  <c:v>5.1535714973836901</c:v>
                </c:pt>
                <c:pt idx="8">
                  <c:v>4.7105689381509777</c:v>
                </c:pt>
                <c:pt idx="9">
                  <c:v>4.1365175206369944</c:v>
                </c:pt>
                <c:pt idx="10">
                  <c:v>3.4052343078991476</c:v>
                </c:pt>
                <c:pt idx="11">
                  <c:v>1.4376401461225072</c:v>
                </c:pt>
                <c:pt idx="12">
                  <c:v>-0.35457533920863205</c:v>
                </c:pt>
                <c:pt idx="13">
                  <c:v>-2.2701854965503623</c:v>
                </c:pt>
                <c:pt idx="14">
                  <c:v>-3.8764005203222562</c:v>
                </c:pt>
                <c:pt idx="15">
                  <c:v>-5.1927462101151223</c:v>
                </c:pt>
                <c:pt idx="16">
                  <c:v>-6.7448433663685181</c:v>
                </c:pt>
                <c:pt idx="17">
                  <c:v>-10.752040042020878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69592"/>
        <c:axId val="3820774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[1]Filter!$A$27:$A$44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40</c:v>
                      </c:pt>
                      <c:pt idx="5">
                        <c:v>43</c:v>
                      </c:pt>
                      <c:pt idx="6">
                        <c:v>46</c:v>
                      </c:pt>
                      <c:pt idx="7">
                        <c:v>50</c:v>
                      </c:pt>
                      <c:pt idx="8">
                        <c:v>53</c:v>
                      </c:pt>
                      <c:pt idx="9">
                        <c:v>56</c:v>
                      </c:pt>
                      <c:pt idx="10">
                        <c:v>60</c:v>
                      </c:pt>
                      <c:pt idx="11">
                        <c:v>70</c:v>
                      </c:pt>
                      <c:pt idx="12">
                        <c:v>80</c:v>
                      </c:pt>
                      <c:pt idx="13">
                        <c:v>90</c:v>
                      </c:pt>
                      <c:pt idx="14">
                        <c:v>100</c:v>
                      </c:pt>
                      <c:pt idx="15">
                        <c:v>110</c:v>
                      </c:pt>
                      <c:pt idx="16">
                        <c:v>120</c:v>
                      </c:pt>
                      <c:pt idx="17">
                        <c:v>150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3820695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077432"/>
        <c:crosses val="autoZero"/>
        <c:crossBetween val="midCat"/>
      </c:valAx>
      <c:valAx>
        <c:axId val="38207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069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Fasedrejning</a:t>
            </a:r>
            <a:r>
              <a:rPr lang="en-US" baseline="0"/>
              <a:t> i grader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7171296296296298"/>
          <c:w val="0.85721062992125985"/>
          <c:h val="0.6714577865266842"/>
        </c:manualLayout>
      </c:layout>
      <c:scatterChart>
        <c:scatterStyle val="lineMarker"/>
        <c:varyColors val="0"/>
        <c:ser>
          <c:idx val="0"/>
          <c:order val="0"/>
          <c:tx>
            <c:v>Serien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[1]Filter!$A$3:$A$23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43</c:v>
                </c:pt>
                <c:pt idx="8">
                  <c:v>46</c:v>
                </c:pt>
                <c:pt idx="9">
                  <c:v>50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70</c:v>
                </c:pt>
                <c:pt idx="14">
                  <c:v>80</c:v>
                </c:pt>
                <c:pt idx="15">
                  <c:v>90</c:v>
                </c:pt>
                <c:pt idx="16">
                  <c:v>100</c:v>
                </c:pt>
                <c:pt idx="17">
                  <c:v>110</c:v>
                </c:pt>
                <c:pt idx="18">
                  <c:v>120</c:v>
                </c:pt>
                <c:pt idx="19">
                  <c:v>150</c:v>
                </c:pt>
                <c:pt idx="20">
                  <c:v>500</c:v>
                </c:pt>
              </c:numCache>
            </c:numRef>
          </c:xVal>
          <c:yVal>
            <c:numRef>
              <c:f>[1]Filter!$E$3:$E$23</c:f>
              <c:numCache>
                <c:formatCode>General</c:formatCode>
                <c:ptCount val="21"/>
                <c:pt idx="0">
                  <c:v>0</c:v>
                </c:pt>
                <c:pt idx="1">
                  <c:v>-5.4</c:v>
                </c:pt>
                <c:pt idx="2">
                  <c:v>-16.559999999999999</c:v>
                </c:pt>
                <c:pt idx="3">
                  <c:v>-31.680000000000003</c:v>
                </c:pt>
                <c:pt idx="4">
                  <c:v>-47.52000000000001</c:v>
                </c:pt>
                <c:pt idx="5">
                  <c:v>-59.22</c:v>
                </c:pt>
                <c:pt idx="6">
                  <c:v>-69.12</c:v>
                </c:pt>
                <c:pt idx="7">
                  <c:v>-74.304000000000002</c:v>
                </c:pt>
                <c:pt idx="8">
                  <c:v>-79.488</c:v>
                </c:pt>
                <c:pt idx="9">
                  <c:v>-86.4</c:v>
                </c:pt>
                <c:pt idx="10">
                  <c:v>-95.4</c:v>
                </c:pt>
                <c:pt idx="11">
                  <c:v>-100.8</c:v>
                </c:pt>
                <c:pt idx="12">
                  <c:v>-108</c:v>
                </c:pt>
                <c:pt idx="13">
                  <c:v>-110.88000000000002</c:v>
                </c:pt>
                <c:pt idx="14">
                  <c:v>-126.72000000000001</c:v>
                </c:pt>
                <c:pt idx="15">
                  <c:v>-131.22</c:v>
                </c:pt>
                <c:pt idx="16">
                  <c:v>-135</c:v>
                </c:pt>
                <c:pt idx="17">
                  <c:v>-141.768</c:v>
                </c:pt>
                <c:pt idx="18">
                  <c:v>-156.816</c:v>
                </c:pt>
                <c:pt idx="19">
                  <c:v>-151.20000000000002</c:v>
                </c:pt>
                <c:pt idx="20">
                  <c:v>-180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70376"/>
        <c:axId val="382073904"/>
      </c:scatterChart>
      <c:valAx>
        <c:axId val="382070376"/>
        <c:scaling>
          <c:logBase val="10"/>
          <c:orientation val="minMax"/>
          <c:max val="50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073904"/>
        <c:crossesAt val="-200"/>
        <c:crossBetween val="midCat"/>
      </c:valAx>
      <c:valAx>
        <c:axId val="3820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070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Sammenhæng</a:t>
            </a:r>
            <a:r>
              <a:rPr lang="en-US" baseline="0"/>
              <a:t> mellem væsketryk og udgangsspænding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Måling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847769028871391E-2"/>
                  <c:y val="0.4116203703703703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1,0261x - 24,331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0,9999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(Vandsøjle!$I$21,Vandsøjle!$I$23,Vandsøjle!$I$25,Vandsøjle!$I$27,Vandsøjle!$I$29)</c:f>
              <c:numCache>
                <c:formatCode>General</c:formatCode>
                <c:ptCount val="5"/>
                <c:pt idx="0">
                  <c:v>43.33</c:v>
                </c:pt>
                <c:pt idx="1">
                  <c:v>53.97</c:v>
                </c:pt>
                <c:pt idx="2">
                  <c:v>85.55</c:v>
                </c:pt>
                <c:pt idx="3">
                  <c:v>105.01</c:v>
                </c:pt>
                <c:pt idx="4">
                  <c:v>113.82</c:v>
                </c:pt>
              </c:numCache>
            </c:numRef>
          </c:xVal>
          <c:yVal>
            <c:numRef>
              <c:f>(Vandsøjle!$K$21,Vandsøjle!$K$23,Vandsøjle!$K$25,Vandsøjle!$K$27,Vandsøjle!$K$29)</c:f>
              <c:numCache>
                <c:formatCode>General</c:formatCode>
                <c:ptCount val="5"/>
                <c:pt idx="0">
                  <c:v>20</c:v>
                </c:pt>
                <c:pt idx="1">
                  <c:v>31</c:v>
                </c:pt>
                <c:pt idx="2">
                  <c:v>64</c:v>
                </c:pt>
                <c:pt idx="3">
                  <c:v>83</c:v>
                </c:pt>
                <c:pt idx="4">
                  <c:v>92.5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79040"/>
        <c:axId val="381184528"/>
      </c:scatterChart>
      <c:valAx>
        <c:axId val="38117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1184528"/>
        <c:crosses val="autoZero"/>
        <c:crossBetween val="midCat"/>
      </c:valAx>
      <c:valAx>
        <c:axId val="38118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117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Høj amplitude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('Filter og forstærker sammen'!$B$5,'Filter og forstærker sammen'!$B$7,'Filter og forstærker sammen'!$B$9,'Filter og forstærker sammen'!$B$11,'Filter og forstærker sammen'!$B$13,'Filter og forstærker sammen'!$B$15,'Filter og forstærker sammen'!$B$17,'Filter og forstærker sammen'!$B$19,'Filter og forstærker sammen'!$B$21,'Filter og forstærker sammen'!$B$23,'Filter og forstærker sammen'!$B$25,'Filter og forstærker sammen'!$B$27,'Filter og forstærker sammen'!$B$29,'Filter og forstærker sammen'!$B$35)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70</c:v>
                </c:pt>
                <c:pt idx="11">
                  <c:v>90</c:v>
                </c:pt>
                <c:pt idx="12">
                  <c:v>100</c:v>
                </c:pt>
                <c:pt idx="13">
                  <c:v>1000</c:v>
                </c:pt>
              </c:numCache>
            </c:numRef>
          </c:xVal>
          <c:yVal>
            <c:numRef>
              <c:f>('Filter og forstærker sammen'!$E$5,'Filter og forstærker sammen'!$E$7,'Filter og forstærker sammen'!$E$9,'Filter og forstærker sammen'!$E$11,'Filter og forstærker sammen'!$E$13,'Filter og forstærker sammen'!$E$15,'Filter og forstærker sammen'!$E$17,'Filter og forstærker sammen'!$E$19,'Filter og forstærker sammen'!$E$21,'Filter og forstærker sammen'!$E$23,'Filter og forstærker sammen'!$E$25,'Filter og forstærker sammen'!$E$27,'Filter og forstærker sammen'!$E$29,'Filter og forstærker sammen'!$E$35)</c:f>
              <c:numCache>
                <c:formatCode>General</c:formatCode>
                <c:ptCount val="14"/>
                <c:pt idx="0">
                  <c:v>8.8652597491738998</c:v>
                </c:pt>
                <c:pt idx="1">
                  <c:v>8.8652597491738998</c:v>
                </c:pt>
                <c:pt idx="2">
                  <c:v>8.6272752831797472</c:v>
                </c:pt>
                <c:pt idx="3">
                  <c:v>8.6272752831797472</c:v>
                </c:pt>
                <c:pt idx="4">
                  <c:v>8.2994669594163604</c:v>
                </c:pt>
                <c:pt idx="5">
                  <c:v>7.4949669202020779</c:v>
                </c:pt>
                <c:pt idx="6">
                  <c:v>6.8878454737022139</c:v>
                </c:pt>
                <c:pt idx="7">
                  <c:v>6.107027388932476</c:v>
                </c:pt>
                <c:pt idx="8">
                  <c:v>5.2014277597014953</c:v>
                </c:pt>
                <c:pt idx="9">
                  <c:v>4.2968769609539574</c:v>
                </c:pt>
                <c:pt idx="10">
                  <c:v>2.2788670461367357</c:v>
                </c:pt>
                <c:pt idx="11">
                  <c:v>-1.4116214857141456</c:v>
                </c:pt>
                <c:pt idx="12">
                  <c:v>-3.0980391997148637</c:v>
                </c:pt>
                <c:pt idx="13">
                  <c:v>-37.077439286435244</c:v>
                </c:pt>
              </c:numCache>
            </c:numRef>
          </c:yVal>
          <c:smooth val="0"/>
        </c:ser>
        <c:ser>
          <c:idx val="1"/>
          <c:order val="1"/>
          <c:tx>
            <c:v>Lav amplitude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('Filter og forstærker sammen'!$B$4,'Filter og forstærker sammen'!$B$6,'Filter og forstærker sammen'!$B$8,'Filter og forstærker sammen'!$B$10,'Filter og forstærker sammen'!$B$12,'Filter og forstærker sammen'!$B$14,'Filter og forstærker sammen'!$B$16,'Filter og forstærker sammen'!$B$18,'Filter og forstærker sammen'!$B$20,'Filter og forstærker sammen'!$B$22,'Filter og forstærker sammen'!$B$24,'Filter og forstærker sammen'!$B$26,'Filter og forstærker sammen'!$B$28,'Filter og forstærker sammen'!$B$34)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70</c:v>
                </c:pt>
                <c:pt idx="11">
                  <c:v>90</c:v>
                </c:pt>
                <c:pt idx="12">
                  <c:v>100</c:v>
                </c:pt>
                <c:pt idx="13">
                  <c:v>1000</c:v>
                </c:pt>
              </c:numCache>
            </c:numRef>
          </c:xVal>
          <c:yVal>
            <c:numRef>
              <c:f>('Filter og forstærker sammen'!$E$4,'Filter og forstærker sammen'!$E$6,'Filter og forstærker sammen'!$E$8,'Filter og forstærker sammen'!$E$10,'Filter og forstærker sammen'!$E$12,'Filter og forstærker sammen'!$E$14,'Filter og forstærker sammen'!$E$16,'Filter og forstærker sammen'!$E$18,'Filter og forstærker sammen'!$E$20,'Filter og forstærker sammen'!$E$22,'Filter og forstærker sammen'!$E$24,'Filter og forstærker sammen'!$E$26,'Filter og forstærker sammen'!$E$28,'Filter og forstærker sammen'!$E$34)</c:f>
              <c:numCache>
                <c:formatCode>General</c:formatCode>
                <c:ptCount val="14"/>
                <c:pt idx="0">
                  <c:v>7.4949669202020779</c:v>
                </c:pt>
                <c:pt idx="1">
                  <c:v>7.5132722792177074</c:v>
                </c:pt>
                <c:pt idx="2">
                  <c:v>7.5132722792177074</c:v>
                </c:pt>
                <c:pt idx="3">
                  <c:v>7.2345567203518568</c:v>
                </c:pt>
                <c:pt idx="4">
                  <c:v>6.689075023018618</c:v>
                </c:pt>
                <c:pt idx="5">
                  <c:v>6.1499207582642583</c:v>
                </c:pt>
                <c:pt idx="6">
                  <c:v>5.5750720190565781</c:v>
                </c:pt>
                <c:pt idx="7">
                  <c:v>4.7609220625759079</c:v>
                </c:pt>
                <c:pt idx="8">
                  <c:v>3.8066339634058299</c:v>
                </c:pt>
                <c:pt idx="9">
                  <c:v>2.9843822531075976</c:v>
                </c:pt>
                <c:pt idx="10">
                  <c:v>1.0230504489476258</c:v>
                </c:pt>
                <c:pt idx="11">
                  <c:v>-2.7932398685801263</c:v>
                </c:pt>
                <c:pt idx="12">
                  <c:v>-4.0823996531184958</c:v>
                </c:pt>
                <c:pt idx="13">
                  <c:v>-40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80176"/>
        <c:axId val="382068024"/>
      </c:scatterChart>
      <c:valAx>
        <c:axId val="382080176"/>
        <c:scaling>
          <c:logBase val="10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Frekvens i Hz, logaritmisk skala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068024"/>
        <c:crosses val="autoZero"/>
        <c:crossBetween val="midCat"/>
      </c:valAx>
      <c:valAx>
        <c:axId val="38206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Amplitude længde</a:t>
                </a:r>
                <a:r>
                  <a:rPr lang="da-DK" baseline="0"/>
                  <a:t> i</a:t>
                </a:r>
                <a:r>
                  <a:rPr lang="da-DK"/>
                  <a:t> mV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08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DC-forstærkning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453472989021557E-2"/>
                  <c:y val="0.3911796137977677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386,38x + 0,5547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0,9979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Forstærker!$C$6:$C$13</c:f>
              <c:numCache>
                <c:formatCode>General</c:formatCode>
                <c:ptCount val="8"/>
                <c:pt idx="0">
                  <c:v>1.25E-3</c:v>
                </c:pt>
                <c:pt idx="1">
                  <c:v>1.9499999999999999E-3</c:v>
                </c:pt>
                <c:pt idx="2">
                  <c:v>3.2500000000000003E-3</c:v>
                </c:pt>
                <c:pt idx="3">
                  <c:v>3.9500000000000004E-3</c:v>
                </c:pt>
                <c:pt idx="4">
                  <c:v>5.5500000000000002E-3</c:v>
                </c:pt>
                <c:pt idx="5">
                  <c:v>6.2000000000000006E-3</c:v>
                </c:pt>
                <c:pt idx="6">
                  <c:v>7.6E-3</c:v>
                </c:pt>
                <c:pt idx="7">
                  <c:v>8.2500000000000004E-3</c:v>
                </c:pt>
              </c:numCache>
            </c:numRef>
          </c:xVal>
          <c:yVal>
            <c:numRef>
              <c:f>Forstærker!$D$6:$D$13</c:f>
              <c:numCache>
                <c:formatCode>General</c:formatCode>
                <c:ptCount val="8"/>
                <c:pt idx="0">
                  <c:v>0.98</c:v>
                </c:pt>
                <c:pt idx="1">
                  <c:v>1.3</c:v>
                </c:pt>
                <c:pt idx="2">
                  <c:v>1.88</c:v>
                </c:pt>
                <c:pt idx="3">
                  <c:v>2.14</c:v>
                </c:pt>
                <c:pt idx="4">
                  <c:v>2.66</c:v>
                </c:pt>
                <c:pt idx="5">
                  <c:v>2.94</c:v>
                </c:pt>
                <c:pt idx="6">
                  <c:v>3.46</c:v>
                </c:pt>
                <c:pt idx="7">
                  <c:v>3.76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72728"/>
        <c:axId val="382070768"/>
      </c:scatterChart>
      <c:valAx>
        <c:axId val="38207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070768"/>
        <c:crosses val="autoZero"/>
        <c:crossBetween val="midCat"/>
      </c:valAx>
      <c:valAx>
        <c:axId val="38207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072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Sinus Signal 1 Hz</a:t>
            </a:r>
            <a:r>
              <a:rPr lang="da-DK" baseline="0"/>
              <a:t> </a:t>
            </a:r>
            <a:endParaRPr lang="da-D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6.0470987839322851E-2"/>
          <c:y val="0.1543005467505994"/>
          <c:w val="0.89052665994605351"/>
          <c:h val="0.749190815009222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588625816236644E-2"/>
                  <c:y val="0.323597672010568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415,76x - 0,0937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0,9993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Forstærker!$C$20:$C$29</c:f>
              <c:numCache>
                <c:formatCode>General</c:formatCode>
                <c:ptCount val="10"/>
                <c:pt idx="0">
                  <c:v>1.1000000000000001E-3</c:v>
                </c:pt>
                <c:pt idx="1">
                  <c:v>2E-3</c:v>
                </c:pt>
                <c:pt idx="2">
                  <c:v>3.0499999999999998E-3</c:v>
                </c:pt>
                <c:pt idx="3">
                  <c:v>3.9249999999999997E-3</c:v>
                </c:pt>
                <c:pt idx="4">
                  <c:v>5.0999999999999995E-3</c:v>
                </c:pt>
                <c:pt idx="5">
                  <c:v>6.0999999999999995E-3</c:v>
                </c:pt>
                <c:pt idx="6">
                  <c:v>6.9000000000000008E-3</c:v>
                </c:pt>
                <c:pt idx="7">
                  <c:v>7.9500000000000005E-3</c:v>
                </c:pt>
                <c:pt idx="8">
                  <c:v>8.8000000000000005E-3</c:v>
                </c:pt>
                <c:pt idx="9">
                  <c:v>9.75E-3</c:v>
                </c:pt>
              </c:numCache>
            </c:numRef>
          </c:xVal>
          <c:yVal>
            <c:numRef>
              <c:f>Forstærker!$D$20:$D$29</c:f>
              <c:numCache>
                <c:formatCode>General</c:formatCode>
                <c:ptCount val="10"/>
                <c:pt idx="0">
                  <c:v>0.38500000000000001</c:v>
                </c:pt>
                <c:pt idx="1">
                  <c:v>0.77</c:v>
                </c:pt>
                <c:pt idx="2">
                  <c:v>1.1599999999999999</c:v>
                </c:pt>
                <c:pt idx="3">
                  <c:v>1.5449999999999999</c:v>
                </c:pt>
                <c:pt idx="4">
                  <c:v>1.9850000000000001</c:v>
                </c:pt>
                <c:pt idx="5">
                  <c:v>2.37</c:v>
                </c:pt>
                <c:pt idx="6">
                  <c:v>2.79</c:v>
                </c:pt>
                <c:pt idx="7">
                  <c:v>3.22</c:v>
                </c:pt>
                <c:pt idx="8">
                  <c:v>3.59</c:v>
                </c:pt>
                <c:pt idx="9">
                  <c:v>3.98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71160"/>
        <c:axId val="382074688"/>
      </c:scatterChart>
      <c:valAx>
        <c:axId val="382071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074688"/>
        <c:crosses val="autoZero"/>
        <c:crossBetween val="midCat"/>
      </c:valAx>
      <c:valAx>
        <c:axId val="38207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071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0</xdr:row>
      <xdr:rowOff>185738</xdr:rowOff>
    </xdr:from>
    <xdr:to>
      <xdr:col>11</xdr:col>
      <xdr:colOff>485775</xdr:colOff>
      <xdr:row>15</xdr:row>
      <xdr:rowOff>123826</xdr:rowOff>
    </xdr:to>
    <xdr:graphicFrame macro="">
      <xdr:nvGraphicFramePr>
        <xdr:cNvPr id="4" name="Diagra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1285875</xdr:colOff>
      <xdr:row>31</xdr:row>
      <xdr:rowOff>4762</xdr:rowOff>
    </xdr:from>
    <xdr:to>
      <xdr:col>11</xdr:col>
      <xdr:colOff>57150</xdr:colOff>
      <xdr:row>45</xdr:row>
      <xdr:rowOff>80962</xdr:rowOff>
    </xdr:to>
    <xdr:graphicFrame macro="">
      <xdr:nvGraphicFramePr>
        <xdr:cNvPr id="5" name="Diagra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4</xdr:col>
      <xdr:colOff>1009650</xdr:colOff>
      <xdr:row>0</xdr:row>
      <xdr:rowOff>161925</xdr:rowOff>
    </xdr:to>
    <xdr:pic>
      <xdr:nvPicPr>
        <xdr:cNvPr id="6" name="Billed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0"/>
          <a:ext cx="1009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495300</xdr:colOff>
      <xdr:row>16</xdr:row>
      <xdr:rowOff>4762</xdr:rowOff>
    </xdr:from>
    <xdr:to>
      <xdr:col>11</xdr:col>
      <xdr:colOff>190500</xdr:colOff>
      <xdr:row>30</xdr:row>
      <xdr:rowOff>80962</xdr:rowOff>
    </xdr:to>
    <xdr:graphicFrame macro="">
      <xdr:nvGraphicFramePr>
        <xdr:cNvPr id="7" name="Diagra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16</xdr:row>
      <xdr:rowOff>185737</xdr:rowOff>
    </xdr:from>
    <xdr:to>
      <xdr:col>5</xdr:col>
      <xdr:colOff>628650</xdr:colOff>
      <xdr:row>31</xdr:row>
      <xdr:rowOff>71437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781050</xdr:colOff>
      <xdr:row>36</xdr:row>
      <xdr:rowOff>109537</xdr:rowOff>
    </xdr:from>
    <xdr:to>
      <xdr:col>8</xdr:col>
      <xdr:colOff>219075</xdr:colOff>
      <xdr:row>50</xdr:row>
      <xdr:rowOff>185737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7</xdr:col>
      <xdr:colOff>1009650</xdr:colOff>
      <xdr:row>1</xdr:row>
      <xdr:rowOff>161925</xdr:rowOff>
    </xdr:to>
    <xdr:pic>
      <xdr:nvPicPr>
        <xdr:cNvPr id="4" name="Billed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0500"/>
          <a:ext cx="1009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590549</xdr:colOff>
      <xdr:row>0</xdr:row>
      <xdr:rowOff>100011</xdr:rowOff>
    </xdr:from>
    <xdr:to>
      <xdr:col>21</xdr:col>
      <xdr:colOff>257175</xdr:colOff>
      <xdr:row>16</xdr:row>
      <xdr:rowOff>85725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17</xdr:row>
      <xdr:rowOff>185736</xdr:rowOff>
    </xdr:from>
    <xdr:to>
      <xdr:col>17</xdr:col>
      <xdr:colOff>285750</xdr:colOff>
      <xdr:row>33</xdr:row>
      <xdr:rowOff>190499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ine/Desktop/TheGoldenDoc%20(reg%20af%20forst&#230;rker)%20&amp;%20filter%20og%20kafge%20t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3"/>
      <sheetName val="Filter"/>
      <sheetName val="Filter og forstærker sammen"/>
      <sheetName val="Forstærker"/>
    </sheetNames>
    <sheetDataSet>
      <sheetData sheetId="0"/>
      <sheetData sheetId="1">
        <row r="3">
          <cell r="A3">
            <v>1</v>
          </cell>
          <cell r="C3">
            <v>2.5</v>
          </cell>
          <cell r="E3">
            <v>0</v>
          </cell>
        </row>
        <row r="4">
          <cell r="A4">
            <v>5</v>
          </cell>
          <cell r="C4">
            <v>2.5</v>
          </cell>
          <cell r="E4">
            <v>-5.4</v>
          </cell>
        </row>
        <row r="5">
          <cell r="A5">
            <v>10</v>
          </cell>
          <cell r="C5">
            <v>2.5</v>
          </cell>
          <cell r="E5">
            <v>-16.559999999999999</v>
          </cell>
        </row>
        <row r="6">
          <cell r="A6">
            <v>20</v>
          </cell>
          <cell r="C6">
            <v>2.4700000000000002</v>
          </cell>
          <cell r="E6">
            <v>-31.680000000000003</v>
          </cell>
        </row>
        <row r="7">
          <cell r="A7">
            <v>30</v>
          </cell>
          <cell r="C7">
            <v>2.36</v>
          </cell>
          <cell r="E7">
            <v>-47.52000000000001</v>
          </cell>
        </row>
        <row r="8">
          <cell r="A8">
            <v>35</v>
          </cell>
          <cell r="C8">
            <v>2.27</v>
          </cell>
          <cell r="E8">
            <v>-59.22</v>
          </cell>
        </row>
        <row r="9">
          <cell r="A9">
            <v>40</v>
          </cell>
          <cell r="C9">
            <v>2.14</v>
          </cell>
          <cell r="E9">
            <v>-69.12</v>
          </cell>
        </row>
        <row r="10">
          <cell r="A10">
            <v>43</v>
          </cell>
          <cell r="C10">
            <v>2.04</v>
          </cell>
          <cell r="E10">
            <v>-74.304000000000002</v>
          </cell>
        </row>
        <row r="11">
          <cell r="A11">
            <v>46</v>
          </cell>
          <cell r="C11">
            <v>1.97</v>
          </cell>
          <cell r="E11">
            <v>-79.488</v>
          </cell>
        </row>
        <row r="12">
          <cell r="A12">
            <v>50</v>
          </cell>
          <cell r="C12">
            <v>1.81</v>
          </cell>
          <cell r="E12">
            <v>-86.4</v>
          </cell>
        </row>
        <row r="13">
          <cell r="A13">
            <v>53</v>
          </cell>
          <cell r="C13">
            <v>1.72</v>
          </cell>
          <cell r="E13">
            <v>-95.4</v>
          </cell>
        </row>
        <row r="14">
          <cell r="A14">
            <v>56</v>
          </cell>
          <cell r="C14">
            <v>1.61</v>
          </cell>
          <cell r="E14">
            <v>-100.8</v>
          </cell>
        </row>
        <row r="15">
          <cell r="A15">
            <v>60</v>
          </cell>
          <cell r="C15">
            <v>1.48</v>
          </cell>
          <cell r="E15">
            <v>-108</v>
          </cell>
        </row>
        <row r="16">
          <cell r="A16">
            <v>70</v>
          </cell>
          <cell r="C16">
            <v>1.18</v>
          </cell>
          <cell r="E16">
            <v>-110.88000000000002</v>
          </cell>
        </row>
        <row r="17">
          <cell r="A17">
            <v>80</v>
          </cell>
          <cell r="C17">
            <v>0.96</v>
          </cell>
          <cell r="E17">
            <v>-126.72000000000001</v>
          </cell>
        </row>
        <row r="18">
          <cell r="A18">
            <v>90</v>
          </cell>
          <cell r="C18">
            <v>0.77</v>
          </cell>
          <cell r="E18">
            <v>-131.22</v>
          </cell>
        </row>
        <row r="19">
          <cell r="A19">
            <v>100</v>
          </cell>
          <cell r="C19">
            <v>0.64</v>
          </cell>
          <cell r="E19">
            <v>-135</v>
          </cell>
        </row>
        <row r="20">
          <cell r="A20">
            <v>110</v>
          </cell>
          <cell r="C20">
            <v>0.55000000000000004</v>
          </cell>
          <cell r="E20">
            <v>-141.768</v>
          </cell>
        </row>
        <row r="21">
          <cell r="A21">
            <v>120</v>
          </cell>
          <cell r="C21">
            <v>0.46</v>
          </cell>
          <cell r="E21">
            <v>-156.816</v>
          </cell>
        </row>
        <row r="22">
          <cell r="A22">
            <v>150</v>
          </cell>
          <cell r="C22">
            <v>0.28999999999999998</v>
          </cell>
          <cell r="E22">
            <v>-151.20000000000002</v>
          </cell>
        </row>
        <row r="23">
          <cell r="A23">
            <v>500</v>
          </cell>
          <cell r="C23">
            <v>2.75E-2</v>
          </cell>
          <cell r="E23">
            <v>-180</v>
          </cell>
        </row>
        <row r="27">
          <cell r="A27">
            <v>10</v>
          </cell>
          <cell r="C27">
            <v>7.9588001734407516</v>
          </cell>
        </row>
        <row r="28">
          <cell r="A28">
            <v>20</v>
          </cell>
          <cell r="C28">
            <v>7.8539390651933152</v>
          </cell>
        </row>
        <row r="29">
          <cell r="A29">
            <v>30</v>
          </cell>
          <cell r="C29">
            <v>7.4582400594021312</v>
          </cell>
        </row>
        <row r="30">
          <cell r="A30">
            <v>35</v>
          </cell>
          <cell r="C30">
            <v>7.1205171438624548</v>
          </cell>
        </row>
        <row r="31">
          <cell r="A31">
            <v>40</v>
          </cell>
          <cell r="C31">
            <v>6.6082754669838177</v>
          </cell>
        </row>
        <row r="32">
          <cell r="A32">
            <v>43</v>
          </cell>
          <cell r="C32">
            <v>6.1926033485179754</v>
          </cell>
        </row>
        <row r="33">
          <cell r="A33">
            <v>46</v>
          </cell>
          <cell r="C33">
            <v>5.8893245232318581</v>
          </cell>
        </row>
        <row r="34">
          <cell r="A34">
            <v>50</v>
          </cell>
          <cell r="C34">
            <v>5.1535714973836901</v>
          </cell>
        </row>
        <row r="35">
          <cell r="A35">
            <v>53</v>
          </cell>
          <cell r="C35">
            <v>4.7105689381509777</v>
          </cell>
        </row>
        <row r="36">
          <cell r="A36">
            <v>56</v>
          </cell>
          <cell r="C36">
            <v>4.1365175206369944</v>
          </cell>
        </row>
        <row r="37">
          <cell r="A37">
            <v>60</v>
          </cell>
          <cell r="C37">
            <v>3.4052343078991476</v>
          </cell>
        </row>
        <row r="38">
          <cell r="A38">
            <v>70</v>
          </cell>
          <cell r="C38">
            <v>1.4376401461225072</v>
          </cell>
        </row>
        <row r="39">
          <cell r="A39">
            <v>80</v>
          </cell>
          <cell r="C39">
            <v>-0.35457533920863205</v>
          </cell>
        </row>
        <row r="40">
          <cell r="A40">
            <v>90</v>
          </cell>
          <cell r="C40">
            <v>-2.2701854965503623</v>
          </cell>
        </row>
        <row r="41">
          <cell r="A41">
            <v>100</v>
          </cell>
          <cell r="C41">
            <v>-3.8764005203222562</v>
          </cell>
        </row>
        <row r="42">
          <cell r="A42">
            <v>110</v>
          </cell>
          <cell r="C42">
            <v>-5.1927462101151223</v>
          </cell>
        </row>
        <row r="43">
          <cell r="A43">
            <v>120</v>
          </cell>
          <cell r="C43">
            <v>-6.7448433663685181</v>
          </cell>
        </row>
        <row r="44">
          <cell r="A44">
            <v>150</v>
          </cell>
          <cell r="C44">
            <v>-10.752040042020878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J7" sqref="J7"/>
    </sheetView>
  </sheetViews>
  <sheetFormatPr defaultRowHeight="15" x14ac:dyDescent="0.25"/>
  <cols>
    <col min="1" max="1" width="20.85546875" customWidth="1"/>
    <col min="2" max="2" width="16.28515625" customWidth="1"/>
    <col min="3" max="3" width="16" customWidth="1"/>
    <col min="4" max="4" width="19.85546875" customWidth="1"/>
    <col min="5" max="5" width="16.5703125" customWidth="1"/>
    <col min="6" max="6" width="20.7109375" customWidth="1"/>
    <col min="7" max="7" width="15.85546875" customWidth="1"/>
    <col min="8" max="8" width="18.28515625" customWidth="1"/>
    <col min="9" max="9" width="16.85546875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0.98903825705003645</v>
      </c>
    </row>
    <row r="5" spans="1:9" x14ac:dyDescent="0.25">
      <c r="A5" s="1" t="s">
        <v>8</v>
      </c>
      <c r="B5" s="1">
        <v>0.97819667390857401</v>
      </c>
    </row>
    <row r="6" spans="1:9" x14ac:dyDescent="0.25">
      <c r="A6" s="1" t="s">
        <v>9</v>
      </c>
      <c r="B6" s="1">
        <v>0.97092889854476538</v>
      </c>
    </row>
    <row r="7" spans="1:9" x14ac:dyDescent="0.25">
      <c r="A7" s="1" t="s">
        <v>10</v>
      </c>
      <c r="B7" s="1">
        <v>2.442414792498223E-4</v>
      </c>
    </row>
    <row r="8" spans="1:9" ht="15.75" thickBot="1" x14ac:dyDescent="0.3">
      <c r="A8" s="2" t="s">
        <v>11</v>
      </c>
      <c r="B8" s="2">
        <v>5</v>
      </c>
    </row>
    <row r="10" spans="1:9" ht="15.75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1</v>
      </c>
      <c r="C12" s="1">
        <v>8.0290382994415759E-6</v>
      </c>
      <c r="D12" s="1">
        <v>8.0290382994415759E-6</v>
      </c>
      <c r="E12" s="1">
        <v>134.5936858174926</v>
      </c>
      <c r="F12" s="1">
        <v>1.3754281075210246E-3</v>
      </c>
    </row>
    <row r="13" spans="1:9" x14ac:dyDescent="0.25">
      <c r="A13" s="1" t="s">
        <v>14</v>
      </c>
      <c r="B13" s="1">
        <v>3</v>
      </c>
      <c r="C13" s="1">
        <v>1.7896170055842413E-7</v>
      </c>
      <c r="D13" s="1">
        <v>5.9653900186141374E-8</v>
      </c>
      <c r="E13" s="1"/>
      <c r="F13" s="1"/>
    </row>
    <row r="14" spans="1:9" ht="15.75" thickBot="1" x14ac:dyDescent="0.3">
      <c r="A14" s="2" t="s">
        <v>15</v>
      </c>
      <c r="B14" s="2">
        <v>4</v>
      </c>
      <c r="C14" s="2">
        <v>8.208E-6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5">
      <c r="A17" s="1" t="s">
        <v>16</v>
      </c>
      <c r="B17" s="1">
        <v>1.0944689706037297E-3</v>
      </c>
      <c r="C17" s="1">
        <v>3.9762240508334462E-4</v>
      </c>
      <c r="D17" s="1">
        <v>2.7525334503580621</v>
      </c>
      <c r="E17" s="1">
        <v>7.0592211331814148E-2</v>
      </c>
      <c r="F17" s="1">
        <v>-1.709429833517827E-4</v>
      </c>
      <c r="G17" s="1">
        <v>2.3598809245592421E-3</v>
      </c>
      <c r="H17" s="1">
        <v>-1.709429833517827E-4</v>
      </c>
      <c r="I17" s="1">
        <v>2.3598809245592421E-3</v>
      </c>
    </row>
    <row r="18" spans="1:9" ht="15.75" thickBot="1" x14ac:dyDescent="0.3">
      <c r="A18" s="2">
        <v>1.34</v>
      </c>
      <c r="B18" s="2">
        <v>1.4542724686545149E-3</v>
      </c>
      <c r="C18" s="2">
        <v>1.2535262682563357E-4</v>
      </c>
      <c r="D18" s="2">
        <v>11.601451884031267</v>
      </c>
      <c r="E18" s="2">
        <v>1.3754281075210235E-3</v>
      </c>
      <c r="F18" s="2">
        <v>1.0553444645556697E-3</v>
      </c>
      <c r="G18" s="2">
        <v>1.8532004727533601E-3</v>
      </c>
      <c r="H18" s="2">
        <v>1.0553444645556697E-3</v>
      </c>
      <c r="I18" s="2">
        <v>1.8532004727533601E-3</v>
      </c>
    </row>
    <row r="22" spans="1:9" x14ac:dyDescent="0.25">
      <c r="A22" t="s">
        <v>29</v>
      </c>
    </row>
    <row r="23" spans="1:9" ht="15.75" thickBot="1" x14ac:dyDescent="0.3"/>
    <row r="24" spans="1:9" x14ac:dyDescent="0.25">
      <c r="A24" s="3" t="s">
        <v>30</v>
      </c>
      <c r="B24" s="3" t="s">
        <v>31</v>
      </c>
      <c r="C24" s="3" t="s">
        <v>32</v>
      </c>
    </row>
    <row r="25" spans="1:9" x14ac:dyDescent="0.25">
      <c r="A25" s="1">
        <v>1</v>
      </c>
      <c r="B25" s="1">
        <v>3.5958176166894953E-3</v>
      </c>
      <c r="C25" s="1">
        <v>4.1823833105050084E-6</v>
      </c>
    </row>
    <row r="26" spans="1:9" x14ac:dyDescent="0.25">
      <c r="A26" s="1">
        <v>2</v>
      </c>
      <c r="B26" s="1">
        <v>4.8319492150458321E-3</v>
      </c>
      <c r="C26" s="1">
        <v>1.1805078495416826E-4</v>
      </c>
    </row>
    <row r="27" spans="1:9" x14ac:dyDescent="0.25">
      <c r="A27" s="1">
        <v>3</v>
      </c>
      <c r="B27" s="1">
        <v>5.4572863765672743E-3</v>
      </c>
      <c r="C27" s="1">
        <v>-2.5728637656727369E-4</v>
      </c>
    </row>
    <row r="28" spans="1:9" x14ac:dyDescent="0.25">
      <c r="A28" s="1">
        <v>4</v>
      </c>
      <c r="B28" s="1">
        <v>6.6207043514908857E-3</v>
      </c>
      <c r="C28" s="1">
        <v>2.7929564850911505E-4</v>
      </c>
    </row>
    <row r="29" spans="1:9" ht="15.75" thickBot="1" x14ac:dyDescent="0.3">
      <c r="A29" s="2">
        <v>5</v>
      </c>
      <c r="B29" s="2">
        <v>7.1442424402065122E-3</v>
      </c>
      <c r="C29" s="2">
        <v>-1.4424244020651202E-4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opLeftCell="A26" workbookViewId="0">
      <selection activeCell="E13" sqref="E13"/>
    </sheetView>
  </sheetViews>
  <sheetFormatPr defaultRowHeight="15" x14ac:dyDescent="0.25"/>
  <cols>
    <col min="2" max="2" width="16.140625" customWidth="1"/>
    <col min="3" max="3" width="17.140625" customWidth="1"/>
    <col min="4" max="4" width="23" customWidth="1"/>
    <col min="5" max="5" width="24" customWidth="1"/>
  </cols>
  <sheetData>
    <row r="2" spans="1:5" x14ac:dyDescent="0.25">
      <c r="A2" s="6" t="s">
        <v>37</v>
      </c>
      <c r="B2" s="6" t="s">
        <v>36</v>
      </c>
      <c r="C2" s="6" t="s">
        <v>39</v>
      </c>
      <c r="D2" s="6" t="s">
        <v>38</v>
      </c>
      <c r="E2" s="6" t="s">
        <v>46</v>
      </c>
    </row>
    <row r="3" spans="1:5" x14ac:dyDescent="0.25">
      <c r="A3">
        <v>1</v>
      </c>
      <c r="B3">
        <v>2.5</v>
      </c>
      <c r="C3">
        <v>2.5</v>
      </c>
      <c r="D3">
        <v>0</v>
      </c>
      <c r="E3">
        <f>360*A3*D3</f>
        <v>0</v>
      </c>
    </row>
    <row r="4" spans="1:5" x14ac:dyDescent="0.25">
      <c r="A4">
        <v>5</v>
      </c>
      <c r="B4">
        <v>2.5</v>
      </c>
      <c r="C4">
        <v>2.5</v>
      </c>
      <c r="D4">
        <v>3</v>
      </c>
      <c r="E4">
        <f>-360*A4*D4*10^-3</f>
        <v>-5.4</v>
      </c>
    </row>
    <row r="5" spans="1:5" x14ac:dyDescent="0.25">
      <c r="A5">
        <v>10</v>
      </c>
      <c r="B5">
        <v>2.5</v>
      </c>
      <c r="C5">
        <v>2.5</v>
      </c>
      <c r="D5">
        <v>4.5999999999999996</v>
      </c>
      <c r="E5">
        <f t="shared" ref="E5:E22" si="0">-360*A5*D5*10^-3</f>
        <v>-16.559999999999999</v>
      </c>
    </row>
    <row r="6" spans="1:5" x14ac:dyDescent="0.25">
      <c r="A6">
        <v>20</v>
      </c>
      <c r="B6">
        <v>2.5</v>
      </c>
      <c r="C6">
        <f>4.94/2</f>
        <v>2.4700000000000002</v>
      </c>
      <c r="D6">
        <v>4.4000000000000004</v>
      </c>
      <c r="E6">
        <f t="shared" si="0"/>
        <v>-31.680000000000003</v>
      </c>
    </row>
    <row r="7" spans="1:5" x14ac:dyDescent="0.25">
      <c r="A7">
        <v>30</v>
      </c>
      <c r="B7">
        <v>2.5</v>
      </c>
      <c r="C7">
        <f>4.72/2</f>
        <v>2.36</v>
      </c>
      <c r="D7">
        <v>4.4000000000000004</v>
      </c>
      <c r="E7">
        <f t="shared" si="0"/>
        <v>-47.52000000000001</v>
      </c>
    </row>
    <row r="8" spans="1:5" x14ac:dyDescent="0.25">
      <c r="A8">
        <v>35</v>
      </c>
      <c r="B8">
        <v>2.5</v>
      </c>
      <c r="C8">
        <f>4.54/2</f>
        <v>2.27</v>
      </c>
      <c r="D8">
        <v>4.7</v>
      </c>
      <c r="E8">
        <f t="shared" si="0"/>
        <v>-59.22</v>
      </c>
    </row>
    <row r="9" spans="1:5" x14ac:dyDescent="0.25">
      <c r="A9">
        <v>40</v>
      </c>
      <c r="B9">
        <v>2.5</v>
      </c>
      <c r="C9">
        <f>4.28/2</f>
        <v>2.14</v>
      </c>
      <c r="D9">
        <v>4.8</v>
      </c>
      <c r="E9">
        <f t="shared" si="0"/>
        <v>-69.12</v>
      </c>
    </row>
    <row r="10" spans="1:5" x14ac:dyDescent="0.25">
      <c r="A10">
        <v>43</v>
      </c>
      <c r="B10">
        <v>2.5</v>
      </c>
      <c r="C10">
        <f>4.08/2</f>
        <v>2.04</v>
      </c>
      <c r="D10">
        <v>4.8</v>
      </c>
      <c r="E10">
        <f t="shared" si="0"/>
        <v>-74.304000000000002</v>
      </c>
    </row>
    <row r="11" spans="1:5" x14ac:dyDescent="0.25">
      <c r="A11">
        <v>46</v>
      </c>
      <c r="B11">
        <v>2.5</v>
      </c>
      <c r="C11">
        <f>3.94/2</f>
        <v>1.97</v>
      </c>
      <c r="D11">
        <v>4.8</v>
      </c>
      <c r="E11">
        <f t="shared" si="0"/>
        <v>-79.488</v>
      </c>
    </row>
    <row r="12" spans="1:5" x14ac:dyDescent="0.25">
      <c r="A12">
        <v>50</v>
      </c>
      <c r="B12">
        <v>2.5</v>
      </c>
      <c r="C12">
        <f>3.62/2</f>
        <v>1.81</v>
      </c>
      <c r="D12">
        <v>4.8</v>
      </c>
      <c r="E12">
        <f t="shared" si="0"/>
        <v>-86.4</v>
      </c>
    </row>
    <row r="13" spans="1:5" x14ac:dyDescent="0.25">
      <c r="A13">
        <v>53</v>
      </c>
      <c r="B13">
        <v>2.5</v>
      </c>
      <c r="C13">
        <f>3.44/2</f>
        <v>1.72</v>
      </c>
      <c r="D13">
        <v>5</v>
      </c>
      <c r="E13">
        <f t="shared" si="0"/>
        <v>-95.4</v>
      </c>
    </row>
    <row r="14" spans="1:5" x14ac:dyDescent="0.25">
      <c r="A14">
        <v>56</v>
      </c>
      <c r="B14">
        <v>2.5</v>
      </c>
      <c r="C14">
        <f>3.22/2</f>
        <v>1.61</v>
      </c>
      <c r="D14">
        <v>5</v>
      </c>
      <c r="E14">
        <f t="shared" si="0"/>
        <v>-100.8</v>
      </c>
    </row>
    <row r="15" spans="1:5" x14ac:dyDescent="0.25">
      <c r="A15">
        <v>60</v>
      </c>
      <c r="B15">
        <v>2.5</v>
      </c>
      <c r="C15">
        <f>2.96/2</f>
        <v>1.48</v>
      </c>
      <c r="D15">
        <v>5</v>
      </c>
      <c r="E15">
        <f t="shared" si="0"/>
        <v>-108</v>
      </c>
    </row>
    <row r="16" spans="1:5" x14ac:dyDescent="0.25">
      <c r="A16">
        <v>70</v>
      </c>
      <c r="B16">
        <v>2.5</v>
      </c>
      <c r="C16">
        <f>2.36/2</f>
        <v>1.18</v>
      </c>
      <c r="D16">
        <v>4.4000000000000004</v>
      </c>
      <c r="E16">
        <f t="shared" si="0"/>
        <v>-110.88000000000002</v>
      </c>
    </row>
    <row r="17" spans="1:5" x14ac:dyDescent="0.25">
      <c r="A17">
        <v>80</v>
      </c>
      <c r="B17">
        <v>2.5</v>
      </c>
      <c r="C17">
        <f>1.92/2</f>
        <v>0.96</v>
      </c>
      <c r="D17">
        <v>4.4000000000000004</v>
      </c>
      <c r="E17">
        <f t="shared" si="0"/>
        <v>-126.72000000000001</v>
      </c>
    </row>
    <row r="18" spans="1:5" x14ac:dyDescent="0.25">
      <c r="A18">
        <v>90</v>
      </c>
      <c r="B18">
        <v>2.5</v>
      </c>
      <c r="C18">
        <f>1.54/2</f>
        <v>0.77</v>
      </c>
      <c r="D18">
        <v>4.05</v>
      </c>
      <c r="E18">
        <f t="shared" si="0"/>
        <v>-131.22</v>
      </c>
    </row>
    <row r="19" spans="1:5" x14ac:dyDescent="0.25">
      <c r="A19">
        <v>100</v>
      </c>
      <c r="B19">
        <v>2.5</v>
      </c>
      <c r="C19">
        <f>1.28/2</f>
        <v>0.64</v>
      </c>
      <c r="D19">
        <v>3.75</v>
      </c>
      <c r="E19">
        <f t="shared" si="0"/>
        <v>-135</v>
      </c>
    </row>
    <row r="20" spans="1:5" x14ac:dyDescent="0.25">
      <c r="A20">
        <v>110</v>
      </c>
      <c r="B20">
        <v>2.5</v>
      </c>
      <c r="C20">
        <f>1.1/2</f>
        <v>0.55000000000000004</v>
      </c>
      <c r="D20">
        <v>3.58</v>
      </c>
      <c r="E20">
        <f t="shared" si="0"/>
        <v>-141.768</v>
      </c>
    </row>
    <row r="21" spans="1:5" x14ac:dyDescent="0.25">
      <c r="A21">
        <v>120</v>
      </c>
      <c r="B21">
        <v>2.5</v>
      </c>
      <c r="C21">
        <f>(920*10^-3)/2</f>
        <v>0.46</v>
      </c>
      <c r="D21">
        <v>3.63</v>
      </c>
      <c r="E21">
        <f t="shared" si="0"/>
        <v>-156.816</v>
      </c>
    </row>
    <row r="22" spans="1:5" x14ac:dyDescent="0.25">
      <c r="A22">
        <v>150</v>
      </c>
      <c r="B22">
        <v>2.5</v>
      </c>
      <c r="C22">
        <f>(580*10^-3)/2</f>
        <v>0.28999999999999998</v>
      </c>
      <c r="D22">
        <v>2.8</v>
      </c>
      <c r="E22">
        <f t="shared" si="0"/>
        <v>-151.20000000000002</v>
      </c>
    </row>
    <row r="23" spans="1:5" x14ac:dyDescent="0.25">
      <c r="A23">
        <v>500</v>
      </c>
      <c r="B23">
        <v>2.5</v>
      </c>
      <c r="C23">
        <f>(55*10^-3)/2</f>
        <v>2.75E-2</v>
      </c>
      <c r="D23">
        <v>0</v>
      </c>
      <c r="E23">
        <v>-180</v>
      </c>
    </row>
    <row r="26" spans="1:5" x14ac:dyDescent="0.25">
      <c r="A26" s="6" t="s">
        <v>37</v>
      </c>
      <c r="B26" s="6" t="s">
        <v>39</v>
      </c>
      <c r="C26" t="s">
        <v>51</v>
      </c>
    </row>
    <row r="27" spans="1:5" x14ac:dyDescent="0.25">
      <c r="A27">
        <v>10</v>
      </c>
      <c r="B27">
        <v>2.5</v>
      </c>
      <c r="C27">
        <f>20*LOG10(B27)</f>
        <v>7.9588001734407516</v>
      </c>
    </row>
    <row r="28" spans="1:5" x14ac:dyDescent="0.25">
      <c r="A28">
        <v>20</v>
      </c>
      <c r="B28">
        <f>4.94/2</f>
        <v>2.4700000000000002</v>
      </c>
      <c r="C28">
        <f t="shared" ref="C28:C44" si="1">20*LOG10(B28)</f>
        <v>7.8539390651933152</v>
      </c>
    </row>
    <row r="29" spans="1:5" x14ac:dyDescent="0.25">
      <c r="A29">
        <v>30</v>
      </c>
      <c r="B29">
        <f>4.72/2</f>
        <v>2.36</v>
      </c>
      <c r="C29">
        <f t="shared" si="1"/>
        <v>7.4582400594021312</v>
      </c>
    </row>
    <row r="30" spans="1:5" x14ac:dyDescent="0.25">
      <c r="A30">
        <v>35</v>
      </c>
      <c r="B30">
        <f>4.54/2</f>
        <v>2.27</v>
      </c>
      <c r="C30">
        <f t="shared" si="1"/>
        <v>7.1205171438624548</v>
      </c>
    </row>
    <row r="31" spans="1:5" x14ac:dyDescent="0.25">
      <c r="A31">
        <v>40</v>
      </c>
      <c r="B31">
        <f>4.28/2</f>
        <v>2.14</v>
      </c>
      <c r="C31">
        <f t="shared" si="1"/>
        <v>6.6082754669838177</v>
      </c>
    </row>
    <row r="32" spans="1:5" x14ac:dyDescent="0.25">
      <c r="A32">
        <v>43</v>
      </c>
      <c r="B32">
        <f>4.08/2</f>
        <v>2.04</v>
      </c>
      <c r="C32">
        <f t="shared" si="1"/>
        <v>6.1926033485179754</v>
      </c>
    </row>
    <row r="33" spans="1:3" x14ac:dyDescent="0.25">
      <c r="A33">
        <v>46</v>
      </c>
      <c r="B33">
        <f>3.94/2</f>
        <v>1.97</v>
      </c>
      <c r="C33">
        <f t="shared" si="1"/>
        <v>5.8893245232318581</v>
      </c>
    </row>
    <row r="34" spans="1:3" x14ac:dyDescent="0.25">
      <c r="A34">
        <v>50</v>
      </c>
      <c r="B34">
        <f>3.62/2</f>
        <v>1.81</v>
      </c>
      <c r="C34">
        <f t="shared" si="1"/>
        <v>5.1535714973836901</v>
      </c>
    </row>
    <row r="35" spans="1:3" x14ac:dyDescent="0.25">
      <c r="A35">
        <v>53</v>
      </c>
      <c r="B35">
        <f>3.44/2</f>
        <v>1.72</v>
      </c>
      <c r="C35">
        <f t="shared" si="1"/>
        <v>4.7105689381509777</v>
      </c>
    </row>
    <row r="36" spans="1:3" x14ac:dyDescent="0.25">
      <c r="A36">
        <v>56</v>
      </c>
      <c r="B36">
        <f>3.22/2</f>
        <v>1.61</v>
      </c>
      <c r="C36">
        <f t="shared" si="1"/>
        <v>4.1365175206369944</v>
      </c>
    </row>
    <row r="37" spans="1:3" x14ac:dyDescent="0.25">
      <c r="A37">
        <v>60</v>
      </c>
      <c r="B37">
        <f>2.96/2</f>
        <v>1.48</v>
      </c>
      <c r="C37">
        <f t="shared" si="1"/>
        <v>3.4052343078991476</v>
      </c>
    </row>
    <row r="38" spans="1:3" x14ac:dyDescent="0.25">
      <c r="A38">
        <v>70</v>
      </c>
      <c r="B38">
        <f>2.36/2</f>
        <v>1.18</v>
      </c>
      <c r="C38">
        <f t="shared" si="1"/>
        <v>1.4376401461225072</v>
      </c>
    </row>
    <row r="39" spans="1:3" x14ac:dyDescent="0.25">
      <c r="A39">
        <v>80</v>
      </c>
      <c r="B39">
        <f>1.92/2</f>
        <v>0.96</v>
      </c>
      <c r="C39">
        <f t="shared" si="1"/>
        <v>-0.35457533920863205</v>
      </c>
    </row>
    <row r="40" spans="1:3" x14ac:dyDescent="0.25">
      <c r="A40">
        <v>90</v>
      </c>
      <c r="B40">
        <f>1.54/2</f>
        <v>0.77</v>
      </c>
      <c r="C40">
        <f t="shared" si="1"/>
        <v>-2.2701854965503623</v>
      </c>
    </row>
    <row r="41" spans="1:3" x14ac:dyDescent="0.25">
      <c r="A41">
        <v>100</v>
      </c>
      <c r="B41">
        <f>1.28/2</f>
        <v>0.64</v>
      </c>
      <c r="C41">
        <f t="shared" si="1"/>
        <v>-3.8764005203222562</v>
      </c>
    </row>
    <row r="42" spans="1:3" x14ac:dyDescent="0.25">
      <c r="A42">
        <v>110</v>
      </c>
      <c r="B42">
        <f>1.1/2</f>
        <v>0.55000000000000004</v>
      </c>
      <c r="C42">
        <f t="shared" si="1"/>
        <v>-5.1927462101151223</v>
      </c>
    </row>
    <row r="43" spans="1:3" x14ac:dyDescent="0.25">
      <c r="A43">
        <v>120</v>
      </c>
      <c r="B43">
        <f>(920*10^-3)/2</f>
        <v>0.46</v>
      </c>
      <c r="C43">
        <f t="shared" si="1"/>
        <v>-6.7448433663685181</v>
      </c>
    </row>
    <row r="44" spans="1:3" x14ac:dyDescent="0.25">
      <c r="A44">
        <v>150</v>
      </c>
      <c r="B44">
        <f>(580*10^-3)/2</f>
        <v>0.28999999999999998</v>
      </c>
      <c r="C44">
        <f t="shared" si="1"/>
        <v>-10.752040042020878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B10" workbookViewId="0">
      <selection activeCell="B11" sqref="B11"/>
    </sheetView>
  </sheetViews>
  <sheetFormatPr defaultRowHeight="15" x14ac:dyDescent="0.25"/>
  <cols>
    <col min="1" max="1" width="14" customWidth="1"/>
    <col min="2" max="2" width="20.28515625" customWidth="1"/>
    <col min="3" max="3" width="16.42578125" customWidth="1"/>
    <col min="4" max="4" width="15.28515625" customWidth="1"/>
    <col min="5" max="5" width="13.7109375" customWidth="1"/>
    <col min="6" max="6" width="13.28515625" customWidth="1"/>
    <col min="7" max="7" width="6.85546875" customWidth="1"/>
    <col min="8" max="8" width="18.5703125" customWidth="1"/>
    <col min="10" max="10" width="10.7109375" customWidth="1"/>
    <col min="11" max="11" width="27.28515625" customWidth="1"/>
    <col min="12" max="12" width="19.140625" customWidth="1"/>
  </cols>
  <sheetData>
    <row r="1" spans="1:12" x14ac:dyDescent="0.25">
      <c r="A1" t="s">
        <v>47</v>
      </c>
      <c r="B1" t="s">
        <v>48</v>
      </c>
      <c r="D1" t="s">
        <v>49</v>
      </c>
      <c r="E1" t="s">
        <v>50</v>
      </c>
      <c r="F1" t="s">
        <v>0</v>
      </c>
      <c r="H1" t="s">
        <v>58</v>
      </c>
      <c r="I1" t="s">
        <v>57</v>
      </c>
      <c r="J1" t="s">
        <v>54</v>
      </c>
      <c r="K1" t="s">
        <v>55</v>
      </c>
      <c r="L1" t="s">
        <v>56</v>
      </c>
    </row>
    <row r="2" spans="1:12" x14ac:dyDescent="0.25">
      <c r="A2">
        <v>100</v>
      </c>
      <c r="B2">
        <v>1360</v>
      </c>
      <c r="D2">
        <f>2.1*10^-3</f>
        <v>2.1000000000000003E-3</v>
      </c>
      <c r="E2">
        <f>945*10^-3</f>
        <v>0.94500000000000006</v>
      </c>
      <c r="F2">
        <f t="shared" ref="F2" si="0">E2/D2</f>
        <v>449.99999999999994</v>
      </c>
      <c r="H2">
        <f xml:space="preserve"> PI()*(I2/2)^2</f>
        <v>1.0207034531513238E-2</v>
      </c>
      <c r="I2">
        <v>0.114</v>
      </c>
      <c r="J2">
        <v>0.09</v>
      </c>
      <c r="K2">
        <v>9970</v>
      </c>
      <c r="L2">
        <v>9.82</v>
      </c>
    </row>
    <row r="3" spans="1:12" x14ac:dyDescent="0.25">
      <c r="A3">
        <v>50</v>
      </c>
      <c r="B3">
        <v>680</v>
      </c>
      <c r="D3">
        <v>-8.0000000000000002E-3</v>
      </c>
      <c r="E3">
        <f>-261*10^-3</f>
        <v>-0.26100000000000001</v>
      </c>
      <c r="F3">
        <f>E3/D3</f>
        <v>32.625</v>
      </c>
      <c r="H3">
        <f xml:space="preserve"> PI()*(I2/2)^2</f>
        <v>1.0207034531513238E-2</v>
      </c>
      <c r="I3">
        <v>0.114</v>
      </c>
      <c r="J3">
        <v>0.11</v>
      </c>
      <c r="K3">
        <v>9970</v>
      </c>
      <c r="L3">
        <v>9.82</v>
      </c>
    </row>
    <row r="4" spans="1:12" x14ac:dyDescent="0.25">
      <c r="A4">
        <v>10</v>
      </c>
      <c r="B4">
        <v>136</v>
      </c>
      <c r="D4">
        <f>-1.8*10^-3</f>
        <v>-1.8000000000000002E-3</v>
      </c>
      <c r="E4">
        <f>-24.2*10^-3</f>
        <v>-2.4199999999999999E-2</v>
      </c>
      <c r="F4">
        <f>E4/D4</f>
        <v>13.444444444444443</v>
      </c>
      <c r="H4">
        <f t="shared" ref="H4" si="1" xml:space="preserve"> PI()*(I3/2)^2</f>
        <v>1.0207034531513238E-2</v>
      </c>
      <c r="I4">
        <v>0.114</v>
      </c>
      <c r="K4">
        <v>9970</v>
      </c>
      <c r="L4">
        <v>9.82</v>
      </c>
    </row>
    <row r="12" spans="1:12" x14ac:dyDescent="0.25">
      <c r="H12" t="s">
        <v>59</v>
      </c>
      <c r="I12" t="s">
        <v>47</v>
      </c>
      <c r="J12" t="s">
        <v>60</v>
      </c>
      <c r="K12" t="s">
        <v>61</v>
      </c>
      <c r="L12" t="s">
        <v>62</v>
      </c>
    </row>
    <row r="13" spans="1:12" x14ac:dyDescent="0.25">
      <c r="G13">
        <v>0.09</v>
      </c>
      <c r="H13">
        <f>(K2*H2*J2*L2)/H2</f>
        <v>8811.4860000000008</v>
      </c>
      <c r="I13">
        <v>66.09</v>
      </c>
      <c r="J13">
        <v>0.2</v>
      </c>
      <c r="K13">
        <v>57.6</v>
      </c>
      <c r="L13">
        <v>56</v>
      </c>
    </row>
    <row r="14" spans="1:12" x14ac:dyDescent="0.25">
      <c r="B14" t="s">
        <v>65</v>
      </c>
      <c r="C14" t="s">
        <v>63</v>
      </c>
      <c r="D14" t="s">
        <v>64</v>
      </c>
      <c r="H14">
        <f>(K2*H2*J2*L2)/H2</f>
        <v>8811.4860000000008</v>
      </c>
      <c r="I14">
        <v>66.09</v>
      </c>
      <c r="J14">
        <v>0.21</v>
      </c>
      <c r="K14">
        <v>57.4</v>
      </c>
    </row>
    <row r="15" spans="1:12" x14ac:dyDescent="0.25">
      <c r="B15" t="s">
        <v>66</v>
      </c>
      <c r="C15">
        <v>0.04</v>
      </c>
      <c r="D15">
        <v>-8.48</v>
      </c>
      <c r="H15">
        <f>(K2*H2*J2*L2)/H2</f>
        <v>8811.4860000000008</v>
      </c>
      <c r="I15">
        <v>66.09</v>
      </c>
      <c r="J15">
        <v>0.2</v>
      </c>
      <c r="K15">
        <v>57.5</v>
      </c>
    </row>
    <row r="16" spans="1:12" x14ac:dyDescent="0.25">
      <c r="B16" t="s">
        <v>67</v>
      </c>
    </row>
    <row r="17" spans="7:11" x14ac:dyDescent="0.25">
      <c r="G17">
        <v>0.11</v>
      </c>
      <c r="H17">
        <f>(K2*H2*J3*L2)/H2</f>
        <v>10769.594000000001</v>
      </c>
      <c r="I17">
        <v>80.78</v>
      </c>
      <c r="K17">
        <v>70</v>
      </c>
    </row>
    <row r="18" spans="7:11" x14ac:dyDescent="0.25">
      <c r="H18">
        <f>(K2*H2*J3*L2)/H2</f>
        <v>10769.594000000001</v>
      </c>
      <c r="I18">
        <v>80.78</v>
      </c>
      <c r="K18">
        <v>53.5</v>
      </c>
    </row>
    <row r="19" spans="7:11" x14ac:dyDescent="0.25">
      <c r="H19">
        <f>(K2*H2*J3*L2)/H2</f>
        <v>10769.594000000001</v>
      </c>
      <c r="I19">
        <v>80.78</v>
      </c>
      <c r="K19">
        <v>53.3</v>
      </c>
    </row>
    <row r="21" spans="7:11" x14ac:dyDescent="0.25">
      <c r="G21">
        <v>5.8999999999999997E-2</v>
      </c>
      <c r="H21">
        <f>(K2*H2*G21*L2)/H2</f>
        <v>5776.4186</v>
      </c>
      <c r="I21">
        <v>43.33</v>
      </c>
      <c r="K21">
        <v>20</v>
      </c>
    </row>
    <row r="23" spans="7:11" x14ac:dyDescent="0.25">
      <c r="G23">
        <v>7.3499999999999996E-2</v>
      </c>
      <c r="H23">
        <f>(K2*H2*G23*L2)/H2</f>
        <v>7196.0469000000003</v>
      </c>
      <c r="I23">
        <v>53.97</v>
      </c>
      <c r="K23">
        <v>31</v>
      </c>
    </row>
    <row r="25" spans="7:11" x14ac:dyDescent="0.25">
      <c r="G25">
        <v>0.11650000000000001</v>
      </c>
      <c r="H25">
        <f>(K2*H2*G25*L2)/H2</f>
        <v>11405.9791</v>
      </c>
      <c r="I25">
        <v>85.55</v>
      </c>
      <c r="K25">
        <v>64</v>
      </c>
    </row>
    <row r="27" spans="7:11" x14ac:dyDescent="0.25">
      <c r="G27">
        <v>0.14299999999999999</v>
      </c>
      <c r="H27">
        <f>(K2*H2*G27*L2)/H2</f>
        <v>14000.4722</v>
      </c>
      <c r="I27">
        <v>105.01</v>
      </c>
      <c r="K27">
        <v>83</v>
      </c>
    </row>
    <row r="29" spans="7:11" x14ac:dyDescent="0.25">
      <c r="G29">
        <v>0.155</v>
      </c>
      <c r="H29">
        <f>(K2*H2*G29*L2)/H2</f>
        <v>15175.337000000001</v>
      </c>
      <c r="I29">
        <v>113.82</v>
      </c>
      <c r="K29">
        <v>92.5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opLeftCell="A20" workbookViewId="0">
      <selection activeCell="K31" sqref="K31"/>
    </sheetView>
  </sheetViews>
  <sheetFormatPr defaultRowHeight="15" x14ac:dyDescent="0.25"/>
  <cols>
    <col min="2" max="2" width="18.42578125" customWidth="1"/>
    <col min="3" max="3" width="18.28515625" customWidth="1"/>
    <col min="4" max="4" width="18" customWidth="1"/>
    <col min="5" max="5" width="21" customWidth="1"/>
    <col min="6" max="6" width="16.5703125" customWidth="1"/>
    <col min="7" max="7" width="21.42578125" customWidth="1"/>
    <col min="8" max="8" width="18" customWidth="1"/>
  </cols>
  <sheetData>
    <row r="1" spans="2:8" x14ac:dyDescent="0.25">
      <c r="B1" s="6" t="s">
        <v>41</v>
      </c>
    </row>
    <row r="3" spans="2:8" x14ac:dyDescent="0.25">
      <c r="B3" s="6" t="s">
        <v>52</v>
      </c>
      <c r="C3" s="6" t="s">
        <v>42</v>
      </c>
      <c r="D3" s="6" t="s">
        <v>39</v>
      </c>
      <c r="E3" s="6" t="s">
        <v>43</v>
      </c>
      <c r="F3" s="6" t="s">
        <v>45</v>
      </c>
      <c r="G3" s="6" t="s">
        <v>44</v>
      </c>
      <c r="H3" s="6" t="s">
        <v>40</v>
      </c>
    </row>
    <row r="4" spans="2:8" x14ac:dyDescent="0.25">
      <c r="B4" s="7">
        <v>1</v>
      </c>
      <c r="C4" s="7">
        <v>6.0000000000000001E-3</v>
      </c>
      <c r="D4" s="7">
        <f>(4.74/2)</f>
        <v>2.37</v>
      </c>
      <c r="E4" s="7">
        <f>20*LOG(D4)</f>
        <v>7.4949669202020779</v>
      </c>
      <c r="F4" s="7"/>
      <c r="G4" s="7">
        <v>0</v>
      </c>
      <c r="H4" s="7"/>
    </row>
    <row r="5" spans="2:8" x14ac:dyDescent="0.25">
      <c r="B5">
        <v>1</v>
      </c>
      <c r="C5">
        <v>7.0000000000000001E-3</v>
      </c>
      <c r="D5">
        <f>(5.55/2)</f>
        <v>2.7749999999999999</v>
      </c>
      <c r="E5" s="8">
        <f t="shared" ref="E5:E11" si="0">20*LOG(D5)</f>
        <v>8.8652597491738998</v>
      </c>
      <c r="G5">
        <v>0</v>
      </c>
    </row>
    <row r="6" spans="2:8" x14ac:dyDescent="0.25">
      <c r="B6" s="7">
        <v>10</v>
      </c>
      <c r="C6" s="7">
        <v>6.0000000000000001E-3</v>
      </c>
      <c r="D6" s="7">
        <f>(4.75/2)</f>
        <v>2.375</v>
      </c>
      <c r="E6" s="7">
        <f t="shared" si="0"/>
        <v>7.5132722792177074</v>
      </c>
      <c r="F6" s="7"/>
      <c r="G6" s="7">
        <v>4</v>
      </c>
      <c r="H6" s="7"/>
    </row>
    <row r="7" spans="2:8" x14ac:dyDescent="0.25">
      <c r="B7">
        <v>10</v>
      </c>
      <c r="C7">
        <v>7.0000000000000001E-3</v>
      </c>
      <c r="D7">
        <f>(5.55/2)</f>
        <v>2.7749999999999999</v>
      </c>
      <c r="E7" s="8">
        <f t="shared" si="0"/>
        <v>8.8652597491738998</v>
      </c>
      <c r="G7">
        <v>4</v>
      </c>
    </row>
    <row r="8" spans="2:8" x14ac:dyDescent="0.25">
      <c r="B8" s="7">
        <v>20</v>
      </c>
      <c r="C8" s="7">
        <v>6.0000000000000001E-3</v>
      </c>
      <c r="D8" s="7">
        <f>(4.75/2)</f>
        <v>2.375</v>
      </c>
      <c r="E8" s="7">
        <f t="shared" si="0"/>
        <v>7.5132722792177074</v>
      </c>
      <c r="F8" s="7"/>
      <c r="G8" s="7">
        <v>5</v>
      </c>
      <c r="H8" s="7"/>
    </row>
    <row r="9" spans="2:8" x14ac:dyDescent="0.25">
      <c r="B9">
        <v>20</v>
      </c>
      <c r="C9">
        <v>7.0000000000000001E-3</v>
      </c>
      <c r="D9">
        <f>(5.4/2)</f>
        <v>2.7</v>
      </c>
      <c r="E9" s="8">
        <f t="shared" si="0"/>
        <v>8.6272752831797472</v>
      </c>
      <c r="G9">
        <v>5</v>
      </c>
    </row>
    <row r="10" spans="2:8" x14ac:dyDescent="0.25">
      <c r="B10" s="7">
        <v>25</v>
      </c>
      <c r="C10" s="7">
        <v>6.0000000000000001E-3</v>
      </c>
      <c r="D10" s="7">
        <f>4.6/2</f>
        <v>2.2999999999999998</v>
      </c>
      <c r="E10" s="7">
        <f t="shared" si="0"/>
        <v>7.2345567203518568</v>
      </c>
      <c r="F10" s="7"/>
      <c r="G10" s="7">
        <v>4.5999999999999996</v>
      </c>
      <c r="H10" s="7"/>
    </row>
    <row r="11" spans="2:8" x14ac:dyDescent="0.25">
      <c r="B11">
        <v>25</v>
      </c>
      <c r="C11">
        <v>7.0000000000000001E-3</v>
      </c>
      <c r="D11">
        <f>5.4/2</f>
        <v>2.7</v>
      </c>
      <c r="E11" s="8">
        <f t="shared" si="0"/>
        <v>8.6272752831797472</v>
      </c>
      <c r="G11">
        <v>4.5999999999999996</v>
      </c>
    </row>
    <row r="12" spans="2:8" x14ac:dyDescent="0.25">
      <c r="B12" s="7">
        <v>35</v>
      </c>
      <c r="C12" s="7">
        <v>6.0000000000000001E-3</v>
      </c>
      <c r="D12" s="7">
        <v>2.16</v>
      </c>
      <c r="E12" s="7">
        <f>20*LOG10(D12)</f>
        <v>6.689075023018618</v>
      </c>
      <c r="F12" s="7">
        <f>D12/C12</f>
        <v>360</v>
      </c>
      <c r="G12" s="7">
        <v>4.8</v>
      </c>
      <c r="H12" s="7">
        <f>-360*B12*G12*10^-3</f>
        <v>-60.480000000000004</v>
      </c>
    </row>
    <row r="13" spans="2:8" x14ac:dyDescent="0.25">
      <c r="B13">
        <v>35</v>
      </c>
      <c r="C13">
        <v>7.0000000000000001E-3</v>
      </c>
      <c r="D13">
        <v>2.6</v>
      </c>
      <c r="E13">
        <f t="shared" ref="E13:E33" si="1">20*LOG10(D13)</f>
        <v>8.2994669594163604</v>
      </c>
      <c r="F13">
        <f t="shared" ref="F13:F23" si="2">D13/C13</f>
        <v>371.42857142857144</v>
      </c>
      <c r="G13">
        <v>4.8</v>
      </c>
      <c r="H13" s="8">
        <f t="shared" ref="H13:H33" si="3">-360*B13*G13*10^-3</f>
        <v>-60.480000000000004</v>
      </c>
    </row>
    <row r="14" spans="2:8" x14ac:dyDescent="0.25">
      <c r="B14" s="7">
        <v>40</v>
      </c>
      <c r="C14" s="7">
        <v>6.0000000000000001E-3</v>
      </c>
      <c r="D14" s="7">
        <v>2.0299999999999998</v>
      </c>
      <c r="E14" s="7">
        <f t="shared" si="1"/>
        <v>6.1499207582642583</v>
      </c>
      <c r="F14" s="7">
        <f t="shared" si="2"/>
        <v>338.33333333333331</v>
      </c>
      <c r="G14" s="7">
        <v>4.5</v>
      </c>
      <c r="H14" s="7">
        <f t="shared" si="3"/>
        <v>-64.8</v>
      </c>
    </row>
    <row r="15" spans="2:8" x14ac:dyDescent="0.25">
      <c r="B15">
        <v>40</v>
      </c>
      <c r="C15">
        <v>7.0000000000000001E-3</v>
      </c>
      <c r="D15">
        <v>2.37</v>
      </c>
      <c r="E15">
        <f t="shared" si="1"/>
        <v>7.4949669202020779</v>
      </c>
      <c r="F15">
        <f t="shared" si="2"/>
        <v>338.57142857142856</v>
      </c>
      <c r="G15">
        <v>4.5</v>
      </c>
      <c r="H15" s="8">
        <f t="shared" si="3"/>
        <v>-64.8</v>
      </c>
    </row>
    <row r="16" spans="2:8" x14ac:dyDescent="0.25">
      <c r="B16" s="7">
        <v>45</v>
      </c>
      <c r="C16" s="7">
        <v>6.0000000000000001E-3</v>
      </c>
      <c r="D16" s="7">
        <v>1.9</v>
      </c>
      <c r="E16" s="7">
        <f t="shared" si="1"/>
        <v>5.5750720190565781</v>
      </c>
      <c r="F16" s="7">
        <f t="shared" si="2"/>
        <v>316.66666666666663</v>
      </c>
      <c r="G16" s="7">
        <v>4.7</v>
      </c>
      <c r="H16" s="7">
        <f t="shared" si="3"/>
        <v>-76.14</v>
      </c>
    </row>
    <row r="17" spans="2:8" x14ac:dyDescent="0.25">
      <c r="B17">
        <v>45</v>
      </c>
      <c r="C17">
        <v>7.0000000000000001E-3</v>
      </c>
      <c r="D17">
        <v>2.21</v>
      </c>
      <c r="E17">
        <f t="shared" si="1"/>
        <v>6.8878454737022139</v>
      </c>
      <c r="F17">
        <f t="shared" si="2"/>
        <v>315.71428571428572</v>
      </c>
      <c r="G17">
        <v>4.7</v>
      </c>
      <c r="H17" s="8">
        <f t="shared" si="3"/>
        <v>-76.14</v>
      </c>
    </row>
    <row r="18" spans="2:8" x14ac:dyDescent="0.25">
      <c r="B18" s="7">
        <v>50</v>
      </c>
      <c r="C18" s="7">
        <v>6.0000000000000001E-3</v>
      </c>
      <c r="D18" s="7">
        <v>1.73</v>
      </c>
      <c r="E18" s="7">
        <f t="shared" si="1"/>
        <v>4.7609220625759079</v>
      </c>
      <c r="F18" s="7">
        <f t="shared" si="2"/>
        <v>288.33333333333331</v>
      </c>
      <c r="G18" s="7">
        <v>4.4000000000000004</v>
      </c>
      <c r="H18" s="7">
        <f t="shared" si="3"/>
        <v>-79.2</v>
      </c>
    </row>
    <row r="19" spans="2:8" x14ac:dyDescent="0.25">
      <c r="B19">
        <v>50</v>
      </c>
      <c r="C19">
        <v>7.0000000000000001E-3</v>
      </c>
      <c r="D19">
        <v>2.02</v>
      </c>
      <c r="E19">
        <f t="shared" si="1"/>
        <v>6.107027388932476</v>
      </c>
      <c r="F19">
        <f t="shared" si="2"/>
        <v>288.57142857142856</v>
      </c>
      <c r="G19">
        <v>4.4000000000000004</v>
      </c>
      <c r="H19" s="8">
        <f t="shared" si="3"/>
        <v>-79.2</v>
      </c>
    </row>
    <row r="20" spans="2:8" x14ac:dyDescent="0.25">
      <c r="B20" s="7">
        <v>55</v>
      </c>
      <c r="C20" s="7">
        <v>6.0000000000000001E-3</v>
      </c>
      <c r="D20" s="7">
        <v>1.55</v>
      </c>
      <c r="E20" s="7">
        <f t="shared" si="1"/>
        <v>3.8066339634058299</v>
      </c>
      <c r="F20" s="7">
        <f t="shared" si="2"/>
        <v>258.33333333333331</v>
      </c>
      <c r="G20" s="7">
        <v>4.7</v>
      </c>
      <c r="H20" s="7">
        <f t="shared" si="3"/>
        <v>-93.06</v>
      </c>
    </row>
    <row r="21" spans="2:8" x14ac:dyDescent="0.25">
      <c r="B21">
        <v>55</v>
      </c>
      <c r="C21">
        <v>7.0000000000000001E-3</v>
      </c>
      <c r="D21">
        <v>1.82</v>
      </c>
      <c r="E21">
        <f t="shared" si="1"/>
        <v>5.2014277597014953</v>
      </c>
      <c r="F21">
        <f t="shared" si="2"/>
        <v>260</v>
      </c>
      <c r="G21">
        <v>4.7</v>
      </c>
      <c r="H21" s="8">
        <f t="shared" si="3"/>
        <v>-93.06</v>
      </c>
    </row>
    <row r="22" spans="2:8" x14ac:dyDescent="0.25">
      <c r="B22" s="7">
        <v>60</v>
      </c>
      <c r="C22" s="7">
        <v>6.0000000000000001E-3</v>
      </c>
      <c r="D22" s="7">
        <v>1.41</v>
      </c>
      <c r="E22" s="7">
        <f t="shared" si="1"/>
        <v>2.9843822531075976</v>
      </c>
      <c r="F22" s="7">
        <f t="shared" si="2"/>
        <v>234.99999999999997</v>
      </c>
      <c r="G22" s="7">
        <v>4.4000000000000004</v>
      </c>
      <c r="H22" s="7">
        <f t="shared" si="3"/>
        <v>-95.04000000000002</v>
      </c>
    </row>
    <row r="23" spans="2:8" x14ac:dyDescent="0.25">
      <c r="B23">
        <v>60</v>
      </c>
      <c r="C23">
        <v>7.0000000000000001E-3</v>
      </c>
      <c r="D23">
        <v>1.64</v>
      </c>
      <c r="E23">
        <f t="shared" si="1"/>
        <v>4.2968769609539574</v>
      </c>
      <c r="F23">
        <f t="shared" si="2"/>
        <v>234.28571428571428</v>
      </c>
      <c r="G23">
        <v>4.4000000000000004</v>
      </c>
      <c r="H23" s="8">
        <f t="shared" si="3"/>
        <v>-95.04000000000002</v>
      </c>
    </row>
    <row r="24" spans="2:8" x14ac:dyDescent="0.25">
      <c r="B24" s="7">
        <v>70</v>
      </c>
      <c r="C24" s="7">
        <v>6.0000000000000001E-3</v>
      </c>
      <c r="D24" s="7">
        <f>2.25/2</f>
        <v>1.125</v>
      </c>
      <c r="E24" s="7">
        <f t="shared" si="1"/>
        <v>1.0230504489476258</v>
      </c>
      <c r="F24" s="7"/>
      <c r="G24" s="7">
        <v>4.5</v>
      </c>
      <c r="H24" s="7">
        <f t="shared" si="3"/>
        <v>-113.4</v>
      </c>
    </row>
    <row r="25" spans="2:8" x14ac:dyDescent="0.25">
      <c r="B25">
        <v>70</v>
      </c>
      <c r="C25">
        <v>7.0000000000000001E-3</v>
      </c>
      <c r="D25">
        <f>2.6/2</f>
        <v>1.3</v>
      </c>
      <c r="E25">
        <f t="shared" si="1"/>
        <v>2.2788670461367357</v>
      </c>
      <c r="G25">
        <v>4.5</v>
      </c>
      <c r="H25" s="8">
        <f t="shared" si="3"/>
        <v>-113.4</v>
      </c>
    </row>
    <row r="26" spans="2:8" x14ac:dyDescent="0.25">
      <c r="B26" s="9">
        <v>90</v>
      </c>
      <c r="C26" s="9">
        <v>6.0000000000000001E-3</v>
      </c>
      <c r="D26" s="9">
        <f>1.45/2</f>
        <v>0.72499999999999998</v>
      </c>
      <c r="E26" s="7">
        <f t="shared" si="1"/>
        <v>-2.7932398685801263</v>
      </c>
      <c r="F26" s="9"/>
      <c r="G26" s="9">
        <v>4.1500000000000004</v>
      </c>
      <c r="H26" s="9">
        <f t="shared" si="3"/>
        <v>-134.46</v>
      </c>
    </row>
    <row r="27" spans="2:8" x14ac:dyDescent="0.25">
      <c r="B27">
        <v>90</v>
      </c>
      <c r="C27">
        <v>7.0000000000000001E-3</v>
      </c>
      <c r="D27">
        <f>1.7/2</f>
        <v>0.85</v>
      </c>
      <c r="E27">
        <f t="shared" si="1"/>
        <v>-1.4116214857141456</v>
      </c>
      <c r="G27">
        <v>4.1500000000000004</v>
      </c>
      <c r="H27" s="8">
        <f t="shared" si="3"/>
        <v>-134.46</v>
      </c>
    </row>
    <row r="28" spans="2:8" x14ac:dyDescent="0.25">
      <c r="B28" s="7">
        <v>100</v>
      </c>
      <c r="C28" s="7">
        <v>6.0000000000000001E-3</v>
      </c>
      <c r="D28" s="7">
        <f>1.25/2</f>
        <v>0.625</v>
      </c>
      <c r="E28" s="7">
        <f t="shared" si="1"/>
        <v>-4.0823996531184958</v>
      </c>
      <c r="F28" s="7"/>
      <c r="G28" s="7">
        <v>3.8</v>
      </c>
      <c r="H28" s="7">
        <f t="shared" si="3"/>
        <v>-136.80000000000001</v>
      </c>
    </row>
    <row r="29" spans="2:8" x14ac:dyDescent="0.25">
      <c r="B29">
        <v>100</v>
      </c>
      <c r="C29">
        <v>7.0000000000000001E-3</v>
      </c>
      <c r="D29">
        <f>1.4/2</f>
        <v>0.7</v>
      </c>
      <c r="E29">
        <f t="shared" si="1"/>
        <v>-3.0980391997148637</v>
      </c>
      <c r="G29">
        <v>3.8</v>
      </c>
      <c r="H29" s="8">
        <f t="shared" si="3"/>
        <v>-136.80000000000001</v>
      </c>
    </row>
    <row r="30" spans="2:8" x14ac:dyDescent="0.25">
      <c r="B30" s="7">
        <v>200</v>
      </c>
      <c r="C30" s="7">
        <v>6.0000000000000001E-3</v>
      </c>
      <c r="D30" s="7">
        <f>(3.25/2)*10^-3</f>
        <v>1.6250000000000001E-3</v>
      </c>
      <c r="E30" s="7">
        <f t="shared" si="1"/>
        <v>-55.782932693702136</v>
      </c>
      <c r="F30" s="7"/>
      <c r="G30" s="7">
        <v>2.1800000000000002</v>
      </c>
      <c r="H30" s="7">
        <f t="shared" si="3"/>
        <v>-156.96</v>
      </c>
    </row>
    <row r="31" spans="2:8" x14ac:dyDescent="0.25">
      <c r="B31">
        <v>200</v>
      </c>
      <c r="C31">
        <v>7.0000000000000001E-3</v>
      </c>
      <c r="D31">
        <f>(3.65/2)*10^-3</f>
        <v>1.825E-3</v>
      </c>
      <c r="E31">
        <f t="shared" si="1"/>
        <v>-54.774742624150136</v>
      </c>
      <c r="G31">
        <v>2.1800000000000002</v>
      </c>
      <c r="H31" s="8">
        <f t="shared" si="3"/>
        <v>-156.96</v>
      </c>
    </row>
    <row r="32" spans="2:8" x14ac:dyDescent="0.25">
      <c r="B32" s="7">
        <v>500</v>
      </c>
      <c r="C32" s="7">
        <v>6.0000000000000001E-3</v>
      </c>
      <c r="D32" s="7">
        <f>(50/2)*10^-3</f>
        <v>2.5000000000000001E-2</v>
      </c>
      <c r="E32" s="7">
        <f t="shared" si="1"/>
        <v>-32.041199826559243</v>
      </c>
      <c r="F32" s="7"/>
      <c r="G32" s="7">
        <v>1.01</v>
      </c>
      <c r="H32" s="7">
        <f t="shared" si="3"/>
        <v>-181.8</v>
      </c>
    </row>
    <row r="33" spans="2:8" x14ac:dyDescent="0.25">
      <c r="B33">
        <v>500</v>
      </c>
      <c r="C33">
        <v>7.0000000000000001E-3</v>
      </c>
      <c r="D33">
        <f>(60/2)*10^-3</f>
        <v>0.03</v>
      </c>
      <c r="E33">
        <f t="shared" si="1"/>
        <v>-30.457574905606752</v>
      </c>
      <c r="G33">
        <v>1.01</v>
      </c>
      <c r="H33" s="8">
        <f t="shared" si="3"/>
        <v>-181.8</v>
      </c>
    </row>
    <row r="34" spans="2:8" x14ac:dyDescent="0.25">
      <c r="B34" s="7">
        <v>1000</v>
      </c>
      <c r="C34" s="7">
        <v>6.0000000000000001E-3</v>
      </c>
      <c r="D34" s="7">
        <f>(20/2)*10^-3</f>
        <v>0.01</v>
      </c>
      <c r="E34" s="7">
        <f>20*LOG10(D34)</f>
        <v>-40</v>
      </c>
      <c r="F34" s="7"/>
      <c r="G34" s="7">
        <v>0</v>
      </c>
      <c r="H34" s="7">
        <f>-180</f>
        <v>-180</v>
      </c>
    </row>
    <row r="35" spans="2:8" x14ac:dyDescent="0.25">
      <c r="B35">
        <v>1000</v>
      </c>
      <c r="C35">
        <v>7.0000000000000001E-3</v>
      </c>
      <c r="D35">
        <f>(28/2)*10^-3</f>
        <v>1.4E-2</v>
      </c>
      <c r="E35">
        <f>20*LOG10(D35)</f>
        <v>-37.077439286435244</v>
      </c>
      <c r="G35">
        <v>0</v>
      </c>
      <c r="H35">
        <v>-180</v>
      </c>
    </row>
    <row r="36" spans="2:8" x14ac:dyDescent="0.25">
      <c r="B36" s="6"/>
      <c r="C36" s="6"/>
      <c r="D36" s="6"/>
      <c r="E36" s="6"/>
      <c r="F36" s="6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A4" sqref="A4:C5"/>
    </sheetView>
  </sheetViews>
  <sheetFormatPr defaultRowHeight="15" x14ac:dyDescent="0.25"/>
  <cols>
    <col min="1" max="1" width="14" customWidth="1"/>
    <col min="2" max="2" width="14.140625" customWidth="1"/>
    <col min="3" max="3" width="16.85546875" customWidth="1"/>
    <col min="4" max="4" width="13.140625" customWidth="1"/>
    <col min="5" max="5" width="28" customWidth="1"/>
    <col min="6" max="6" width="26.28515625" customWidth="1"/>
    <col min="7" max="7" width="15" customWidth="1"/>
  </cols>
  <sheetData>
    <row r="2" spans="1:7" ht="18.75" x14ac:dyDescent="0.3">
      <c r="A2" s="5" t="s">
        <v>34</v>
      </c>
    </row>
    <row r="3" spans="1:7" x14ac:dyDescent="0.25">
      <c r="A3" t="s">
        <v>1</v>
      </c>
      <c r="B3" t="s">
        <v>3</v>
      </c>
      <c r="C3" t="s">
        <v>4</v>
      </c>
      <c r="D3" t="s">
        <v>2</v>
      </c>
      <c r="E3" t="s">
        <v>0</v>
      </c>
    </row>
    <row r="5" spans="1:7" x14ac:dyDescent="0.25">
      <c r="F5" t="s">
        <v>53</v>
      </c>
      <c r="G5" t="s">
        <v>0</v>
      </c>
    </row>
    <row r="6" spans="1:7" x14ac:dyDescent="0.25">
      <c r="A6">
        <v>3</v>
      </c>
      <c r="B6">
        <f>3*10^-3</f>
        <v>3.0000000000000001E-3</v>
      </c>
      <c r="C6">
        <f>1.25*10^-3</f>
        <v>1.25E-3</v>
      </c>
      <c r="D6">
        <f>980*10^-3</f>
        <v>0.98</v>
      </c>
      <c r="E6">
        <f>D6/C6</f>
        <v>784</v>
      </c>
      <c r="F6">
        <f>C6+0.0012</f>
        <v>2.4499999999999999E-3</v>
      </c>
      <c r="G6">
        <f>D6/F6</f>
        <v>400</v>
      </c>
    </row>
    <row r="7" spans="1:7" x14ac:dyDescent="0.25">
      <c r="A7">
        <v>4</v>
      </c>
      <c r="B7">
        <f>4*10^-3</f>
        <v>4.0000000000000001E-3</v>
      </c>
      <c r="C7">
        <f>1.95*10^-3</f>
        <v>1.9499999999999999E-3</v>
      </c>
      <c r="D7">
        <v>1.3</v>
      </c>
      <c r="E7">
        <f t="shared" ref="E7:E13" si="0">D7/C7</f>
        <v>666.66666666666674</v>
      </c>
      <c r="F7">
        <f t="shared" ref="F7:F13" si="1">C7+0.0012</f>
        <v>3.15E-3</v>
      </c>
      <c r="G7">
        <f t="shared" ref="G7:G13" si="2">D7/F7</f>
        <v>412.69841269841271</v>
      </c>
    </row>
    <row r="8" spans="1:7" x14ac:dyDescent="0.25">
      <c r="A8">
        <v>5</v>
      </c>
      <c r="B8">
        <f>5*10^-3</f>
        <v>5.0000000000000001E-3</v>
      </c>
      <c r="C8">
        <f>3.25*10^-3</f>
        <v>3.2500000000000003E-3</v>
      </c>
      <c r="D8">
        <v>1.88</v>
      </c>
      <c r="E8">
        <f t="shared" si="0"/>
        <v>578.46153846153834</v>
      </c>
      <c r="F8">
        <f t="shared" si="1"/>
        <v>4.45E-3</v>
      </c>
      <c r="G8">
        <f t="shared" si="2"/>
        <v>422.47191011235952</v>
      </c>
    </row>
    <row r="9" spans="1:7" x14ac:dyDescent="0.25">
      <c r="A9">
        <v>6</v>
      </c>
      <c r="B9">
        <f>6*10^-3</f>
        <v>6.0000000000000001E-3</v>
      </c>
      <c r="C9">
        <f>3.95*10^-3</f>
        <v>3.9500000000000004E-3</v>
      </c>
      <c r="D9">
        <v>2.14</v>
      </c>
      <c r="E9">
        <f t="shared" si="0"/>
        <v>541.77215189873414</v>
      </c>
      <c r="F9">
        <f t="shared" si="1"/>
        <v>5.1500000000000001E-3</v>
      </c>
      <c r="G9">
        <f t="shared" si="2"/>
        <v>415.53398058252429</v>
      </c>
    </row>
    <row r="10" spans="1:7" x14ac:dyDescent="0.25">
      <c r="A10">
        <v>7</v>
      </c>
      <c r="B10">
        <v>7.0000000000000001E-3</v>
      </c>
      <c r="C10">
        <f>5.55*10^-3</f>
        <v>5.5500000000000002E-3</v>
      </c>
      <c r="D10">
        <v>2.66</v>
      </c>
      <c r="E10">
        <f t="shared" si="0"/>
        <v>479.27927927927931</v>
      </c>
      <c r="F10">
        <f t="shared" si="1"/>
        <v>6.7499999999999999E-3</v>
      </c>
      <c r="G10">
        <f t="shared" si="2"/>
        <v>394.07407407407408</v>
      </c>
    </row>
    <row r="11" spans="1:7" x14ac:dyDescent="0.25">
      <c r="A11">
        <v>8</v>
      </c>
      <c r="B11">
        <v>8.0000000000000002E-3</v>
      </c>
      <c r="C11">
        <f>6.2*10^-3</f>
        <v>6.2000000000000006E-3</v>
      </c>
      <c r="D11">
        <v>2.94</v>
      </c>
      <c r="E11">
        <f t="shared" si="0"/>
        <v>474.19354838709671</v>
      </c>
      <c r="F11">
        <f t="shared" si="1"/>
        <v>7.4000000000000003E-3</v>
      </c>
      <c r="G11">
        <f t="shared" si="2"/>
        <v>397.29729729729729</v>
      </c>
    </row>
    <row r="12" spans="1:7" x14ac:dyDescent="0.25">
      <c r="A12">
        <v>9</v>
      </c>
      <c r="B12">
        <v>8.9999999999999993E-3</v>
      </c>
      <c r="C12">
        <f>7.6*10^-3</f>
        <v>7.6E-3</v>
      </c>
      <c r="D12">
        <v>3.46</v>
      </c>
      <c r="E12">
        <f t="shared" si="0"/>
        <v>455.26315789473682</v>
      </c>
      <c r="F12">
        <f t="shared" si="1"/>
        <v>8.8000000000000005E-3</v>
      </c>
      <c r="G12">
        <f t="shared" si="2"/>
        <v>393.18181818181813</v>
      </c>
    </row>
    <row r="13" spans="1:7" x14ac:dyDescent="0.25">
      <c r="A13">
        <v>10</v>
      </c>
      <c r="B13">
        <v>0.01</v>
      </c>
      <c r="C13">
        <f>8.25*10^-3</f>
        <v>8.2500000000000004E-3</v>
      </c>
      <c r="D13">
        <v>3.76</v>
      </c>
      <c r="E13">
        <f t="shared" si="0"/>
        <v>455.75757575757569</v>
      </c>
      <c r="F13">
        <f t="shared" si="1"/>
        <v>9.4500000000000001E-3</v>
      </c>
      <c r="G13">
        <f t="shared" si="2"/>
        <v>397.88359788359787</v>
      </c>
    </row>
    <row r="17" spans="1:7" ht="18.75" x14ac:dyDescent="0.3">
      <c r="A17" s="5" t="s">
        <v>33</v>
      </c>
      <c r="B17" t="s">
        <v>35</v>
      </c>
    </row>
    <row r="19" spans="1:7" x14ac:dyDescent="0.25">
      <c r="A19" t="s">
        <v>1</v>
      </c>
      <c r="B19" t="s">
        <v>3</v>
      </c>
      <c r="C19" t="s">
        <v>4</v>
      </c>
      <c r="D19" t="s">
        <v>2</v>
      </c>
      <c r="E19" t="s">
        <v>0</v>
      </c>
    </row>
    <row r="20" spans="1:7" x14ac:dyDescent="0.25">
      <c r="A20">
        <v>1</v>
      </c>
      <c r="B20">
        <f>1*10^-3</f>
        <v>1E-3</v>
      </c>
      <c r="C20">
        <f>(2.2*10^-3)/2</f>
        <v>1.1000000000000001E-3</v>
      </c>
      <c r="D20">
        <f>(770*10^-3)/2</f>
        <v>0.38500000000000001</v>
      </c>
      <c r="E20">
        <f>D20/C20</f>
        <v>350</v>
      </c>
      <c r="F20">
        <f>C20-0.1375*10^-3</f>
        <v>9.6250000000000003E-4</v>
      </c>
      <c r="G20">
        <f>D20/F20</f>
        <v>400</v>
      </c>
    </row>
    <row r="21" spans="1:7" x14ac:dyDescent="0.25">
      <c r="A21">
        <v>2</v>
      </c>
      <c r="B21">
        <f>2*10^-3</f>
        <v>2E-3</v>
      </c>
      <c r="C21">
        <f>(4*10^-3)/2</f>
        <v>2E-3</v>
      </c>
      <c r="D21">
        <f>1.54/2</f>
        <v>0.77</v>
      </c>
      <c r="E21">
        <f t="shared" ref="E21:E26" si="3">D21/C21</f>
        <v>385</v>
      </c>
      <c r="F21">
        <f t="shared" ref="F21:F29" si="4">C21-0.1375*10^-3</f>
        <v>1.8625E-3</v>
      </c>
      <c r="G21">
        <f t="shared" ref="G21:G29" si="5">D21/F21</f>
        <v>413.42281879194633</v>
      </c>
    </row>
    <row r="22" spans="1:7" x14ac:dyDescent="0.25">
      <c r="A22">
        <v>3</v>
      </c>
      <c r="B22">
        <f>3*10^-3</f>
        <v>3.0000000000000001E-3</v>
      </c>
      <c r="C22">
        <f>(6.1*10^-3)/2</f>
        <v>3.0499999999999998E-3</v>
      </c>
      <c r="D22">
        <f>2.32/2</f>
        <v>1.1599999999999999</v>
      </c>
      <c r="E22">
        <f t="shared" si="3"/>
        <v>380.32786885245901</v>
      </c>
      <c r="F22">
        <f t="shared" si="4"/>
        <v>2.9124999999999997E-3</v>
      </c>
      <c r="G22">
        <f t="shared" si="5"/>
        <v>398.28326180257511</v>
      </c>
    </row>
    <row r="23" spans="1:7" x14ac:dyDescent="0.25">
      <c r="A23">
        <v>4</v>
      </c>
      <c r="B23">
        <f>4*10^-3</f>
        <v>4.0000000000000001E-3</v>
      </c>
      <c r="C23">
        <f>(7.85*10^-3)/2</f>
        <v>3.9249999999999997E-3</v>
      </c>
      <c r="D23">
        <f>3.09/2</f>
        <v>1.5449999999999999</v>
      </c>
      <c r="E23">
        <f t="shared" si="3"/>
        <v>393.63057324840764</v>
      </c>
      <c r="F23">
        <f t="shared" si="4"/>
        <v>3.7874999999999996E-3</v>
      </c>
      <c r="G23">
        <f t="shared" si="5"/>
        <v>407.92079207920796</v>
      </c>
    </row>
    <row r="24" spans="1:7" x14ac:dyDescent="0.25">
      <c r="A24">
        <v>5</v>
      </c>
      <c r="B24">
        <f>5*10^-3</f>
        <v>5.0000000000000001E-3</v>
      </c>
      <c r="C24">
        <f>(10.2*10^-3)/2</f>
        <v>5.0999999999999995E-3</v>
      </c>
      <c r="D24">
        <f>3.97/2</f>
        <v>1.9850000000000001</v>
      </c>
      <c r="E24">
        <f t="shared" si="3"/>
        <v>389.21568627450984</v>
      </c>
      <c r="F24">
        <f t="shared" si="4"/>
        <v>4.9624999999999999E-3</v>
      </c>
      <c r="G24">
        <f t="shared" si="5"/>
        <v>400</v>
      </c>
    </row>
    <row r="25" spans="1:7" x14ac:dyDescent="0.25">
      <c r="A25">
        <v>6</v>
      </c>
      <c r="B25">
        <f>6*10^-3</f>
        <v>6.0000000000000001E-3</v>
      </c>
      <c r="C25">
        <f>(12.2*10^-3)/2</f>
        <v>6.0999999999999995E-3</v>
      </c>
      <c r="D25">
        <f>4.74/2</f>
        <v>2.37</v>
      </c>
      <c r="E25">
        <f t="shared" si="3"/>
        <v>388.52459016393448</v>
      </c>
      <c r="F25">
        <f t="shared" si="4"/>
        <v>5.9624999999999999E-3</v>
      </c>
      <c r="G25">
        <f t="shared" si="5"/>
        <v>397.48427672955978</v>
      </c>
    </row>
    <row r="26" spans="1:7" x14ac:dyDescent="0.25">
      <c r="A26">
        <v>7</v>
      </c>
      <c r="B26">
        <v>7.0000000000000001E-3</v>
      </c>
      <c r="C26">
        <f>(13.8*10^-3)/2</f>
        <v>6.9000000000000008E-3</v>
      </c>
      <c r="D26">
        <f>5.58/2</f>
        <v>2.79</v>
      </c>
      <c r="E26">
        <f t="shared" si="3"/>
        <v>404.3478260869565</v>
      </c>
      <c r="F26">
        <f t="shared" si="4"/>
        <v>6.7625000000000011E-3</v>
      </c>
      <c r="G26">
        <f t="shared" si="5"/>
        <v>412.56931608133078</v>
      </c>
    </row>
    <row r="27" spans="1:7" x14ac:dyDescent="0.25">
      <c r="A27">
        <v>8</v>
      </c>
      <c r="B27">
        <v>8.0000000000000002E-3</v>
      </c>
      <c r="C27">
        <f>(15.9*10^-3)/2</f>
        <v>7.9500000000000005E-3</v>
      </c>
      <c r="D27">
        <f>6.44/2</f>
        <v>3.22</v>
      </c>
      <c r="E27">
        <f>D27/C27</f>
        <v>405.03144654088049</v>
      </c>
      <c r="F27">
        <f t="shared" si="4"/>
        <v>7.8125E-3</v>
      </c>
      <c r="G27">
        <f t="shared" si="5"/>
        <v>412.16</v>
      </c>
    </row>
    <row r="28" spans="1:7" x14ac:dyDescent="0.25">
      <c r="A28">
        <v>9</v>
      </c>
      <c r="B28">
        <v>8.9999999999999993E-3</v>
      </c>
      <c r="C28">
        <f>(17.6*10^-3)/2</f>
        <v>8.8000000000000005E-3</v>
      </c>
      <c r="D28">
        <f>7.18/2</f>
        <v>3.59</v>
      </c>
      <c r="E28">
        <f t="shared" ref="E28:E29" si="6">D28/C28</f>
        <v>407.95454545454544</v>
      </c>
      <c r="F28">
        <f t="shared" si="4"/>
        <v>8.6625000000000001E-3</v>
      </c>
      <c r="G28">
        <f t="shared" si="5"/>
        <v>414.43001443001441</v>
      </c>
    </row>
    <row r="29" spans="1:7" x14ac:dyDescent="0.25">
      <c r="A29">
        <v>10</v>
      </c>
      <c r="B29">
        <v>0.01</v>
      </c>
      <c r="C29">
        <f>(19.5*10^-3)/2</f>
        <v>9.75E-3</v>
      </c>
      <c r="D29">
        <f>7.96/2</f>
        <v>3.98</v>
      </c>
      <c r="E29">
        <f t="shared" si="6"/>
        <v>408.20512820512818</v>
      </c>
      <c r="F29">
        <f t="shared" si="4"/>
        <v>9.6124999999999995E-3</v>
      </c>
      <c r="G29">
        <f t="shared" si="5"/>
        <v>414.0442132639792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Ark3</vt:lpstr>
      <vt:lpstr>Filter</vt:lpstr>
      <vt:lpstr>Vandsøjle</vt:lpstr>
      <vt:lpstr>Filter og forstærker sammen</vt:lpstr>
      <vt:lpstr>Forstærker</vt:lpstr>
    </vt:vector>
  </TitlesOfParts>
  <Company>%UD_COMPANY%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%UD_COMPANY%</dc:creator>
  <cp:lastModifiedBy>%UD_COMPANY%</cp:lastModifiedBy>
  <dcterms:created xsi:type="dcterms:W3CDTF">2015-11-16T13:27:55Z</dcterms:created>
  <dcterms:modified xsi:type="dcterms:W3CDTF">2015-12-09T16:44:08Z</dcterms:modified>
</cp:coreProperties>
</file>