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1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E19" i="6"/>
  <c r="E20" i="6" s="1"/>
  <c r="F19" i="6"/>
  <c r="F20" i="6" s="1"/>
  <c r="G19" i="6"/>
  <c r="G20" i="6" s="1"/>
  <c r="H19" i="6"/>
  <c r="D19" i="6"/>
  <c r="D20" i="6" s="1"/>
  <c r="J38" i="5" l="1"/>
  <c r="J39" i="5"/>
  <c r="K36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H22" i="6" l="1"/>
  <c r="G22" i="6"/>
  <c r="F22" i="6"/>
  <c r="E22" i="6"/>
  <c r="D22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C24" i="4" l="1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F5" i="4"/>
  <c r="F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<sst xmlns="http://schemas.openxmlformats.org/spreadsheetml/2006/main" count="52" uniqueCount="41">
  <si>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</si>
  <si>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</si>
  <si>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</si>
  <si>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</si>
  <si>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</si>
  <si>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</si>
  <si>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</si>
  <si>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</si>
  <si>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</si>
  <si>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</si>
  <si>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</si>
  <si>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</si>
  <si>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</si>
  <si>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</si>
  <si>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</si>
  <si>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</si>
  <si>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</si>
  <si>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</si>
  <si>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</si>
  <si>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</si>
  <si>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</si>
  <si>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</si>
  <si>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</si>
  <si>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</si>
  <si>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</si>
  <si>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</si>
  <si>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</si>
  <si>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</si>
  <si>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</si>
  <si>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</si>
  <si>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</si>
  <si>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</si>
  <si>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 xml:space="preserve"> </t>
  </si>
  <si>
    <t>Amplitude ud i dB</t>
  </si>
  <si>
    <t>3dB frekvens ved 7mV amplitude</t>
  </si>
  <si>
    <t>Teoretisk spændings output</t>
  </si>
  <si>
    <t>Indgangssignal, teori [V]</t>
  </si>
  <si>
    <r>
      <t>5µV</t>
    </r>
    <r>
      <rPr>
        <sz val="11"/>
        <color theme="1"/>
        <rFont val="Calibri"/>
        <family val="2"/>
      </rPr>
      <t>·5V·</t>
    </r>
    <r>
      <rPr>
        <sz val="11"/>
        <color theme="1"/>
        <rFont val="Calibri"/>
        <family val="2"/>
        <scheme val="minor"/>
      </rPr>
      <t>p[mmHg]</t>
    </r>
  </si>
  <si>
    <t>Vandsøjlenstryk i mmHg</t>
  </si>
  <si>
    <t>Gain = 400</t>
  </si>
  <si>
    <t>Spænding udgang af filter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</si>
</sst>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76824"/>
        <c:axId val="3833717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3376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1728"/>
        <c:crosses val="autoZero"/>
        <c:crossBetween val="midCat"/>
      </c:valAx>
      <c:valAx>
        <c:axId val="3833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844444913565847"/>
          <c:y val="0.17171296296296298"/>
          <c:w val="0.8356667306263436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72512"/>
        <c:axId val="383372904"/>
      </c:scatterChart>
      <c:valAx>
        <c:axId val="383372512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Frekvens,</a:t>
                </a:r>
                <a:r>
                  <a:rPr lang="da-DK" baseline="0"/>
                  <a:t> logaritmiskskala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2904"/>
        <c:crossesAt val="-200"/>
        <c:crossBetween val="midCat"/>
      </c:valAx>
      <c:valAx>
        <c:axId val="3833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Faseforskydning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4.3410274688592395E-3"/>
              <c:y val="0.27907316576861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Amplitude i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Filter!$A$4:$A$24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Filter!$D$4:$D$24</c:f>
              <c:numCache>
                <c:formatCode>General</c:formatCode>
                <c:ptCount val="21"/>
                <c:pt idx="0">
                  <c:v>7.9588001734407516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7.8539390651933152</c:v>
                </c:pt>
                <c:pt idx="4">
                  <c:v>7.4582400594021312</c:v>
                </c:pt>
                <c:pt idx="5">
                  <c:v>7.1205171438624548</c:v>
                </c:pt>
                <c:pt idx="6">
                  <c:v>6.6082754669838177</c:v>
                </c:pt>
                <c:pt idx="7">
                  <c:v>6.1926033485179754</c:v>
                </c:pt>
                <c:pt idx="8">
                  <c:v>5.8893245232318581</c:v>
                </c:pt>
                <c:pt idx="9">
                  <c:v>5.1535714973836901</c:v>
                </c:pt>
                <c:pt idx="10">
                  <c:v>4.7105689381509777</c:v>
                </c:pt>
                <c:pt idx="11">
                  <c:v>4.1365175206369944</c:v>
                </c:pt>
                <c:pt idx="12">
                  <c:v>3.4052343078991476</c:v>
                </c:pt>
                <c:pt idx="13">
                  <c:v>1.4376401461225072</c:v>
                </c:pt>
                <c:pt idx="14">
                  <c:v>-0.35457533920863205</c:v>
                </c:pt>
                <c:pt idx="15">
                  <c:v>-2.2701854965503623</c:v>
                </c:pt>
                <c:pt idx="16">
                  <c:v>-3.8764005203222562</c:v>
                </c:pt>
                <c:pt idx="17">
                  <c:v>-5.1927462101151223</c:v>
                </c:pt>
                <c:pt idx="18">
                  <c:v>-6.7448433663685181</c:v>
                </c:pt>
                <c:pt idx="19">
                  <c:v>-10.752040042020878</c:v>
                </c:pt>
                <c:pt idx="20">
                  <c:v>-31.213346123394746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76432"/>
        <c:axId val="383373688"/>
      </c:scatterChart>
      <c:valAx>
        <c:axId val="38337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3688"/>
        <c:crosses val="autoZero"/>
        <c:crossBetween val="midCat"/>
      </c:valAx>
      <c:valAx>
        <c:axId val="3833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40070842850461"/>
                  <c:y val="1.17236954202616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1"/>
                        </a:solidFill>
                      </a:rPr>
                      <a:t>y = 1,0261x - 24,331</a:t>
                    </a:r>
                    <a:br>
                      <a:rPr lang="en-US" sz="11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100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 sz="11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Vandsøjle!$D$22:$H$22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yVal>
          <c:smooth val="0"/>
        </c:ser>
        <c:ser>
          <c:idx val="1"/>
          <c:order val="1"/>
          <c:tx>
            <c:v>Teori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8490987725447"/>
                  <c:y val="-2.93126567274765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2"/>
                        </a:solidFill>
                      </a:rPr>
                      <a:t>y = 0,01x</a:t>
                    </a:r>
                    <a:br>
                      <a:rPr lang="en-US" sz="11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100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 sz="11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Vandsøjle!$D$20:$H$20</c:f>
              <c:numCache>
                <c:formatCode>General</c:formatCode>
                <c:ptCount val="5"/>
                <c:pt idx="0">
                  <c:v>4.3299999999999998E-2</c:v>
                </c:pt>
                <c:pt idx="1">
                  <c:v>5.3999999999999999E-2</c:v>
                </c:pt>
                <c:pt idx="2">
                  <c:v>8.5599999999999996E-2</c:v>
                </c:pt>
                <c:pt idx="3">
                  <c:v>0.105</c:v>
                </c:pt>
                <c:pt idx="4">
                  <c:v>0.11379999999999998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74080"/>
        <c:axId val="383375256"/>
      </c:scatterChart>
      <c:valAx>
        <c:axId val="3833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Tryk</a:t>
                </a:r>
                <a:r>
                  <a:rPr lang="da-DK" baseline="0"/>
                  <a:t> i mmHg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5256"/>
        <c:crosses val="autoZero"/>
        <c:crossBetween val="midCat"/>
      </c:valAx>
      <c:valAx>
        <c:axId val="3833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i V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filter sammen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77608"/>
        <c:axId val="383378000"/>
      </c:scatterChart>
      <c:valAx>
        <c:axId val="38337760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8000"/>
        <c:crosses val="autoZero"/>
        <c:crossBetween val="midCat"/>
      </c:valAx>
      <c:valAx>
        <c:axId val="383378000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337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8558166610496652E-2"/>
          <c:y val="0.16391524333469781"/>
          <c:w val="0.86665584117160455"/>
          <c:h val="0.81494952298394174"/>
        </c:manualLayout>
      </c:layout>
      <c:scatterChart>
        <c:scatterStyle val="lineMarker"/>
        <c:varyColors val="0"/>
        <c:ser>
          <c:idx val="0"/>
          <c:order val="0"/>
          <c:tx>
            <c:v>Fasedrej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sammen'!$B$32:$B$34)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500</c:v>
                </c:pt>
                <c:pt idx="16">
                  <c:v>1000</c:v>
                </c:pt>
              </c:numCache>
            </c:numRef>
          </c:xVal>
          <c:yVal>
            <c:numRef>
              <c:f>('Filter og forstærker sammen'!$H$4,'Filter og forstærker sammen'!$H$7,'Filter og forstærker sammen'!$H$9,'Filter og forstærker sammen'!$H$11,'Filter og forstærker sammen'!$H$13,'Filter og forstærker sammen'!$H$15,'Filter og forstærker sammen'!$H$17,'Filter og forstærker sammen'!$H$19,'Filter og forstærker sammen'!$H$21,'Filter og forstærker sammen'!$H$23,'Filter og forstærker sammen'!$H$25,'Filter og forstærker sammen'!$H$27,'Filter og forstærker sammen'!$H$29,'Filter og forstærker sammen'!$H$31,'Filter og forstærker sammen'!$H$33,'Filter og forstærker sammen'!$H$35)</c:f>
              <c:numCache>
                <c:formatCode>General</c:formatCode>
                <c:ptCount val="16"/>
                <c:pt idx="0">
                  <c:v>0</c:v>
                </c:pt>
                <c:pt idx="1">
                  <c:v>-14.4</c:v>
                </c:pt>
                <c:pt idx="2">
                  <c:v>-36</c:v>
                </c:pt>
                <c:pt idx="3">
                  <c:v>-41.4</c:v>
                </c:pt>
                <c:pt idx="4">
                  <c:v>-60.480000000000004</c:v>
                </c:pt>
                <c:pt idx="5">
                  <c:v>-64.8</c:v>
                </c:pt>
                <c:pt idx="6">
                  <c:v>-76.14</c:v>
                </c:pt>
                <c:pt idx="7">
                  <c:v>-79.2</c:v>
                </c:pt>
                <c:pt idx="8">
                  <c:v>-93.06</c:v>
                </c:pt>
                <c:pt idx="9">
                  <c:v>-95.04000000000002</c:v>
                </c:pt>
                <c:pt idx="10">
                  <c:v>-113.4</c:v>
                </c:pt>
                <c:pt idx="11">
                  <c:v>-134.46</c:v>
                </c:pt>
                <c:pt idx="12">
                  <c:v>-136.80000000000001</c:v>
                </c:pt>
                <c:pt idx="13">
                  <c:v>-156.96</c:v>
                </c:pt>
                <c:pt idx="14">
                  <c:v>-181.8</c:v>
                </c:pt>
                <c:pt idx="15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5504"/>
        <c:axId val="385241976"/>
      </c:scatterChart>
      <c:valAx>
        <c:axId val="385245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241976"/>
        <c:crosses val="autoZero"/>
        <c:crossBetween val="midCat"/>
      </c:valAx>
      <c:valAx>
        <c:axId val="3852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2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9816"/>
        <c:axId val="385245896"/>
      </c:scatterChart>
      <c:valAx>
        <c:axId val="3852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245896"/>
        <c:crosses val="autoZero"/>
        <c:crossBetween val="midCat"/>
      </c:valAx>
      <c:valAx>
        <c:axId val="3852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2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38840"/>
        <c:axId val="385243936"/>
      </c:scatterChart>
      <c:valAx>
        <c:axId val="38523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243936"/>
        <c:crosses val="autoZero"/>
        <c:crossBetween val="midCat"/>
      </c:valAx>
      <c:valAx>
        <c:axId val="3852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23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16</xdr:row>
      <xdr:rowOff>61912</xdr:rowOff>
    </xdr:from>
    <xdr:to>
      <xdr:col>15</xdr:col>
      <xdr:colOff>466727</xdr:colOff>
      <xdr:row>31</xdr:row>
      <xdr:rowOff>133350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25</xdr:row>
      <xdr:rowOff>14287</xdr:rowOff>
    </xdr:from>
    <xdr:to>
      <xdr:col>6</xdr:col>
      <xdr:colOff>133350</xdr:colOff>
      <xdr:row>46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14287</xdr:rowOff>
    </xdr:from>
    <xdr:to>
      <xdr:col>14</xdr:col>
      <xdr:colOff>1276350</xdr:colOff>
      <xdr:row>20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209547</xdr:colOff>
      <xdr:row>36</xdr:row>
      <xdr:rowOff>0</xdr:rowOff>
    </xdr:from>
    <xdr:to>
      <xdr:col>7</xdr:col>
      <xdr:colOff>152400</xdr:colOff>
      <xdr:row>58</xdr:row>
      <xdr:rowOff>19050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36</xdr:row>
      <xdr:rowOff>4761</xdr:rowOff>
    </xdr:from>
    <xdr:to>
      <xdr:col>12</xdr:col>
      <xdr:colOff>428625</xdr:colOff>
      <xdr:row>57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B8" workbookViewId="0">
      <selection activeCell="H35" sqref="H35"/>
    </sheetView>
  </sheetViews>
  <sheetFormatPr defaultRowHeight="15" x14ac:dyDescent="0.25"/>
  <cols>
    <col min="2" max="2" width="16.140625" customWidth="1"/>
    <col min="3" max="3" width="17.140625" customWidth="1"/>
    <col min="4" max="4" width="18.85546875" customWidth="1"/>
    <col min="5" max="5" width="24" customWidth="1"/>
    <col min="6" max="6" width="18.28515625" customWidth="1"/>
  </cols>
  <sheetData>
    <row r="1" spans="1:6" ht="21" x14ac:dyDescent="0.35">
      <c r="A1" s="13" t="s">
        <v>31</v>
      </c>
    </row>
    <row r="3" spans="1:6" x14ac:dyDescent="0.25">
      <c r="A3" s="2" t="s">
        <v>7</v>
      </c>
      <c r="B3" s="2" t="s">
        <v>6</v>
      </c>
      <c r="C3" s="2" t="s">
        <v>9</v>
      </c>
      <c r="D3" s="2" t="s">
        <v>33</v>
      </c>
      <c r="E3" s="2" t="s">
        <v>8</v>
      </c>
      <c r="F3" s="2" t="s">
        <v>13</v>
      </c>
    </row>
    <row r="4" spans="1:6" x14ac:dyDescent="0.25">
      <c r="A4">
        <v>1</v>
      </c>
      <c r="B4">
        <v>2.5</v>
      </c>
      <c r="C4">
        <v>2.5</v>
      </c>
      <c r="D4">
        <f>20*LOG(C4)</f>
        <v>7.9588001734407516</v>
      </c>
      <c r="E4">
        <v>0</v>
      </c>
      <c r="F4">
        <f>360*A4*E4</f>
        <v>0</v>
      </c>
    </row>
    <row r="5" spans="1:6" x14ac:dyDescent="0.25">
      <c r="A5">
        <v>5</v>
      </c>
      <c r="B5">
        <v>2.5</v>
      </c>
      <c r="C5">
        <v>2.5</v>
      </c>
      <c r="D5">
        <f t="shared" ref="D5:D24" si="0">20*LOG(C5)</f>
        <v>7.9588001734407516</v>
      </c>
      <c r="E5">
        <v>3</v>
      </c>
      <c r="F5">
        <f t="shared" ref="F5:F23" si="1">-360*A5*E5*10^-3</f>
        <v>-5.4</v>
      </c>
    </row>
    <row r="6" spans="1:6" x14ac:dyDescent="0.25">
      <c r="A6">
        <v>10</v>
      </c>
      <c r="B6">
        <v>2.5</v>
      </c>
      <c r="C6">
        <v>2.5</v>
      </c>
      <c r="D6">
        <f t="shared" si="0"/>
        <v>7.9588001734407516</v>
      </c>
      <c r="E6">
        <v>4.5999999999999996</v>
      </c>
      <c r="F6">
        <f t="shared" si="1"/>
        <v>-16.559999999999999</v>
      </c>
    </row>
    <row r="7" spans="1:6" x14ac:dyDescent="0.25">
      <c r="A7">
        <v>20</v>
      </c>
      <c r="B7">
        <v>2.5</v>
      </c>
      <c r="C7">
        <f>4.94/2</f>
        <v>2.4700000000000002</v>
      </c>
      <c r="D7">
        <f t="shared" si="0"/>
        <v>7.8539390651933152</v>
      </c>
      <c r="E7">
        <v>4.4000000000000004</v>
      </c>
      <c r="F7">
        <f t="shared" si="1"/>
        <v>-31.680000000000003</v>
      </c>
    </row>
    <row r="8" spans="1:6" x14ac:dyDescent="0.25">
      <c r="A8">
        <v>30</v>
      </c>
      <c r="B8">
        <v>2.5</v>
      </c>
      <c r="C8">
        <f>4.72/2</f>
        <v>2.36</v>
      </c>
      <c r="D8">
        <f t="shared" si="0"/>
        <v>7.4582400594021312</v>
      </c>
      <c r="E8">
        <v>4.4000000000000004</v>
      </c>
      <c r="F8">
        <f t="shared" si="1"/>
        <v>-47.52000000000001</v>
      </c>
    </row>
    <row r="9" spans="1:6" x14ac:dyDescent="0.25">
      <c r="A9">
        <v>35</v>
      </c>
      <c r="B9">
        <v>2.5</v>
      </c>
      <c r="C9">
        <f>4.54/2</f>
        <v>2.27</v>
      </c>
      <c r="D9">
        <f t="shared" si="0"/>
        <v>7.1205171438624548</v>
      </c>
      <c r="E9">
        <v>4.7</v>
      </c>
      <c r="F9">
        <f t="shared" si="1"/>
        <v>-59.22</v>
      </c>
    </row>
    <row r="10" spans="1:6" x14ac:dyDescent="0.25">
      <c r="A10">
        <v>40</v>
      </c>
      <c r="B10">
        <v>2.5</v>
      </c>
      <c r="C10">
        <f>4.28/2</f>
        <v>2.14</v>
      </c>
      <c r="D10">
        <f t="shared" si="0"/>
        <v>6.6082754669838177</v>
      </c>
      <c r="E10">
        <v>4.8</v>
      </c>
      <c r="F10">
        <f t="shared" si="1"/>
        <v>-69.12</v>
      </c>
    </row>
    <row r="11" spans="1:6" x14ac:dyDescent="0.25">
      <c r="A11">
        <v>43</v>
      </c>
      <c r="B11">
        <v>2.5</v>
      </c>
      <c r="C11">
        <f>4.08/2</f>
        <v>2.04</v>
      </c>
      <c r="D11">
        <f t="shared" si="0"/>
        <v>6.1926033485179754</v>
      </c>
      <c r="E11">
        <v>4.8</v>
      </c>
      <c r="F11">
        <f t="shared" si="1"/>
        <v>-74.304000000000002</v>
      </c>
    </row>
    <row r="12" spans="1:6" x14ac:dyDescent="0.25">
      <c r="A12">
        <v>46</v>
      </c>
      <c r="B12">
        <v>2.5</v>
      </c>
      <c r="C12">
        <f>3.94/2</f>
        <v>1.97</v>
      </c>
      <c r="D12">
        <f t="shared" si="0"/>
        <v>5.8893245232318581</v>
      </c>
      <c r="E12">
        <v>4.8</v>
      </c>
      <c r="F12">
        <f t="shared" si="1"/>
        <v>-79.488</v>
      </c>
    </row>
    <row r="13" spans="1:6" x14ac:dyDescent="0.25">
      <c r="A13">
        <v>50</v>
      </c>
      <c r="B13">
        <v>2.5</v>
      </c>
      <c r="C13">
        <f>3.62/2</f>
        <v>1.81</v>
      </c>
      <c r="D13">
        <f t="shared" si="0"/>
        <v>5.1535714973836901</v>
      </c>
      <c r="E13">
        <v>4.8</v>
      </c>
      <c r="F13">
        <f t="shared" si="1"/>
        <v>-86.4</v>
      </c>
    </row>
    <row r="14" spans="1:6" x14ac:dyDescent="0.25">
      <c r="A14">
        <v>53</v>
      </c>
      <c r="B14">
        <v>2.5</v>
      </c>
      <c r="C14">
        <f>3.44/2</f>
        <v>1.72</v>
      </c>
      <c r="D14">
        <f t="shared" si="0"/>
        <v>4.7105689381509777</v>
      </c>
      <c r="E14">
        <v>5</v>
      </c>
      <c r="F14">
        <f t="shared" si="1"/>
        <v>-95.4</v>
      </c>
    </row>
    <row r="15" spans="1:6" x14ac:dyDescent="0.25">
      <c r="A15">
        <v>56</v>
      </c>
      <c r="B15">
        <v>2.5</v>
      </c>
      <c r="C15">
        <f>3.22/2</f>
        <v>1.61</v>
      </c>
      <c r="D15">
        <f t="shared" si="0"/>
        <v>4.1365175206369944</v>
      </c>
      <c r="E15">
        <v>5</v>
      </c>
      <c r="F15">
        <f t="shared" si="1"/>
        <v>-100.8</v>
      </c>
    </row>
    <row r="16" spans="1:6" x14ac:dyDescent="0.25">
      <c r="A16">
        <v>60</v>
      </c>
      <c r="B16">
        <v>2.5</v>
      </c>
      <c r="C16">
        <f>2.96/2</f>
        <v>1.48</v>
      </c>
      <c r="D16">
        <f t="shared" si="0"/>
        <v>3.4052343078991476</v>
      </c>
      <c r="E16">
        <v>5</v>
      </c>
      <c r="F16">
        <f t="shared" si="1"/>
        <v>-108</v>
      </c>
    </row>
    <row r="17" spans="1:6" x14ac:dyDescent="0.25">
      <c r="A17">
        <v>70</v>
      </c>
      <c r="B17">
        <v>2.5</v>
      </c>
      <c r="C17">
        <f>2.36/2</f>
        <v>1.18</v>
      </c>
      <c r="D17">
        <f t="shared" si="0"/>
        <v>1.4376401461225072</v>
      </c>
      <c r="E17">
        <v>4.4000000000000004</v>
      </c>
      <c r="F17">
        <f t="shared" si="1"/>
        <v>-110.88000000000002</v>
      </c>
    </row>
    <row r="18" spans="1:6" x14ac:dyDescent="0.25">
      <c r="A18">
        <v>80</v>
      </c>
      <c r="B18">
        <v>2.5</v>
      </c>
      <c r="C18">
        <f>1.92/2</f>
        <v>0.96</v>
      </c>
      <c r="D18">
        <f t="shared" si="0"/>
        <v>-0.35457533920863205</v>
      </c>
      <c r="E18">
        <v>4.4000000000000004</v>
      </c>
      <c r="F18">
        <f t="shared" si="1"/>
        <v>-126.72000000000001</v>
      </c>
    </row>
    <row r="19" spans="1:6" x14ac:dyDescent="0.25">
      <c r="A19">
        <v>90</v>
      </c>
      <c r="B19">
        <v>2.5</v>
      </c>
      <c r="C19">
        <f>1.54/2</f>
        <v>0.77</v>
      </c>
      <c r="D19">
        <f t="shared" si="0"/>
        <v>-2.2701854965503623</v>
      </c>
      <c r="E19">
        <v>4.05</v>
      </c>
      <c r="F19">
        <f t="shared" si="1"/>
        <v>-131.22</v>
      </c>
    </row>
    <row r="20" spans="1:6" x14ac:dyDescent="0.25">
      <c r="A20">
        <v>100</v>
      </c>
      <c r="B20">
        <v>2.5</v>
      </c>
      <c r="C20">
        <f>1.28/2</f>
        <v>0.64</v>
      </c>
      <c r="D20">
        <f t="shared" si="0"/>
        <v>-3.8764005203222562</v>
      </c>
      <c r="E20">
        <v>3.75</v>
      </c>
      <c r="F20">
        <f t="shared" si="1"/>
        <v>-135</v>
      </c>
    </row>
    <row r="21" spans="1:6" x14ac:dyDescent="0.25">
      <c r="A21">
        <v>110</v>
      </c>
      <c r="B21">
        <v>2.5</v>
      </c>
      <c r="C21">
        <f>1.1/2</f>
        <v>0.55000000000000004</v>
      </c>
      <c r="D21">
        <f t="shared" si="0"/>
        <v>-5.1927462101151223</v>
      </c>
      <c r="E21">
        <v>3.58</v>
      </c>
      <c r="F21">
        <f t="shared" si="1"/>
        <v>-141.768</v>
      </c>
    </row>
    <row r="22" spans="1:6" x14ac:dyDescent="0.25">
      <c r="A22">
        <v>120</v>
      </c>
      <c r="B22">
        <v>2.5</v>
      </c>
      <c r="C22">
        <f>(920*10^-3)/2</f>
        <v>0.46</v>
      </c>
      <c r="D22">
        <f t="shared" si="0"/>
        <v>-6.7448433663685181</v>
      </c>
      <c r="E22">
        <v>3.63</v>
      </c>
      <c r="F22">
        <f t="shared" si="1"/>
        <v>-156.816</v>
      </c>
    </row>
    <row r="23" spans="1:6" x14ac:dyDescent="0.25">
      <c r="A23">
        <v>150</v>
      </c>
      <c r="B23">
        <v>2.5</v>
      </c>
      <c r="C23">
        <f>(580*10^-3)/2</f>
        <v>0.28999999999999998</v>
      </c>
      <c r="D23">
        <f t="shared" si="0"/>
        <v>-10.752040042020878</v>
      </c>
      <c r="E23">
        <v>2.8</v>
      </c>
      <c r="F23">
        <f t="shared" si="1"/>
        <v>-151.20000000000002</v>
      </c>
    </row>
    <row r="24" spans="1:6" x14ac:dyDescent="0.25">
      <c r="A24">
        <v>500</v>
      </c>
      <c r="B24">
        <v>2.5</v>
      </c>
      <c r="C24">
        <f>(55*10^-3)/2</f>
        <v>2.75E-2</v>
      </c>
      <c r="D24">
        <f t="shared" si="0"/>
        <v>-31.213346123394746</v>
      </c>
      <c r="E24">
        <v>0</v>
      </c>
      <c r="F24">
        <v>-180</v>
      </c>
    </row>
    <row r="27" spans="1:6" x14ac:dyDescent="0.25">
      <c r="A27" s="2"/>
      <c r="B27" s="2"/>
      <c r="C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B1" workbookViewId="0">
      <selection activeCell="E15" sqref="E15"/>
    </sheetView>
  </sheetViews>
  <sheetFormatPr defaultRowHeight="15" x14ac:dyDescent="0.25"/>
  <cols>
    <col min="1" max="1" width="6.28515625" customWidth="1"/>
    <col min="2" max="2" width="30.85546875" customWidth="1"/>
    <col min="3" max="3" width="16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4" t="s">
        <v>30</v>
      </c>
    </row>
    <row r="5" spans="2:9" x14ac:dyDescent="0.25">
      <c r="B5" s="17" t="s">
        <v>18</v>
      </c>
      <c r="C5" s="12"/>
      <c r="D5" s="12"/>
      <c r="E5" s="12"/>
      <c r="F5" s="12"/>
      <c r="G5" s="12"/>
      <c r="H5" s="24"/>
    </row>
    <row r="6" spans="2:9" x14ac:dyDescent="0.25">
      <c r="B6" s="19" t="s">
        <v>22</v>
      </c>
      <c r="C6" s="8">
        <v>0.114</v>
      </c>
      <c r="D6" s="8"/>
      <c r="E6" s="8"/>
      <c r="F6" s="8"/>
      <c r="G6" s="8"/>
      <c r="H6" s="20"/>
    </row>
    <row r="7" spans="2:9" x14ac:dyDescent="0.25">
      <c r="B7" s="19" t="s">
        <v>19</v>
      </c>
      <c r="C7" s="9">
        <f>PI()*(C6/2)^2</f>
        <v>1.0207034531513238E-2</v>
      </c>
      <c r="D7" s="8"/>
      <c r="E7" s="8"/>
      <c r="F7" s="8"/>
      <c r="G7" s="8"/>
      <c r="H7" s="20"/>
    </row>
    <row r="8" spans="2:9" x14ac:dyDescent="0.25">
      <c r="B8" s="25" t="s">
        <v>20</v>
      </c>
      <c r="C8" s="8">
        <v>997</v>
      </c>
      <c r="D8" s="8"/>
      <c r="E8" s="8"/>
      <c r="F8" s="8"/>
      <c r="G8" s="8"/>
      <c r="H8" s="20"/>
    </row>
    <row r="9" spans="2:9" x14ac:dyDescent="0.25">
      <c r="B9" s="19" t="s">
        <v>21</v>
      </c>
      <c r="C9" s="8">
        <v>9.82</v>
      </c>
      <c r="D9" s="8"/>
      <c r="E9" s="8"/>
      <c r="F9" s="8"/>
      <c r="G9" s="8"/>
      <c r="H9" s="20"/>
    </row>
    <row r="10" spans="2:9" x14ac:dyDescent="0.25">
      <c r="B10" s="21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26">
        <v>0.155</v>
      </c>
      <c r="I10" s="16"/>
    </row>
    <row r="11" spans="2:9" x14ac:dyDescent="0.25">
      <c r="B11" s="19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20">
        <f>(C8*C7*H10*C9)/C7</f>
        <v>1517.5337</v>
      </c>
    </row>
    <row r="12" spans="2:9" x14ac:dyDescent="0.25">
      <c r="B12" s="22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23">
        <v>11.38</v>
      </c>
      <c r="I12" s="15"/>
    </row>
    <row r="17" spans="2:8" x14ac:dyDescent="0.25">
      <c r="B17" s="17" t="s">
        <v>38</v>
      </c>
      <c r="C17" s="11"/>
      <c r="D17" s="11">
        <v>4.33</v>
      </c>
      <c r="E17" s="11">
        <v>5.4</v>
      </c>
      <c r="F17" s="11">
        <v>8.56</v>
      </c>
      <c r="G17" s="11">
        <v>10.5</v>
      </c>
      <c r="H17" s="18">
        <v>11.38</v>
      </c>
    </row>
    <row r="18" spans="2:8" x14ac:dyDescent="0.25">
      <c r="B18" s="21" t="s">
        <v>35</v>
      </c>
      <c r="C18" s="8"/>
      <c r="D18" s="8"/>
      <c r="E18" s="8"/>
      <c r="F18" s="8"/>
      <c r="G18" s="8"/>
      <c r="H18" s="20"/>
    </row>
    <row r="19" spans="2:8" x14ac:dyDescent="0.25">
      <c r="B19" s="19" t="s">
        <v>36</v>
      </c>
      <c r="C19" s="8" t="s">
        <v>37</v>
      </c>
      <c r="D19" s="8">
        <f>5*10^-6*5*D17</f>
        <v>1.0824999999999999E-4</v>
      </c>
      <c r="E19" s="8">
        <f>5*10^-6*5*E17</f>
        <v>1.35E-4</v>
      </c>
      <c r="F19" s="8">
        <f>5*10^-6*5*F17</f>
        <v>2.14E-4</v>
      </c>
      <c r="G19" s="8">
        <f>5*10^-6*5*G17</f>
        <v>2.6249999999999998E-4</v>
      </c>
      <c r="H19" s="20">
        <f>5*10^-6*5*H17</f>
        <v>2.8449999999999998E-4</v>
      </c>
    </row>
    <row r="20" spans="2:8" x14ac:dyDescent="0.25">
      <c r="B20" s="19" t="s">
        <v>40</v>
      </c>
      <c r="C20" s="8" t="s">
        <v>39</v>
      </c>
      <c r="D20" s="8">
        <f>400*D19</f>
        <v>4.3299999999999998E-2</v>
      </c>
      <c r="E20" s="8">
        <f t="shared" ref="E20:H20" si="0">400*E19</f>
        <v>5.3999999999999999E-2</v>
      </c>
      <c r="F20" s="8">
        <f t="shared" si="0"/>
        <v>8.5599999999999996E-2</v>
      </c>
      <c r="G20" s="8">
        <f t="shared" si="0"/>
        <v>0.105</v>
      </c>
      <c r="H20" s="20">
        <f t="shared" si="0"/>
        <v>0.11379999999999998</v>
      </c>
    </row>
    <row r="21" spans="2:8" x14ac:dyDescent="0.25">
      <c r="B21" s="17" t="s">
        <v>27</v>
      </c>
      <c r="C21" s="12"/>
      <c r="D21" s="12"/>
      <c r="E21" s="12"/>
      <c r="F21" s="12"/>
      <c r="G21" s="12"/>
      <c r="H21" s="24"/>
    </row>
    <row r="22" spans="2:8" x14ac:dyDescent="0.25">
      <c r="B22" s="22" t="s">
        <v>40</v>
      </c>
      <c r="C22" s="10"/>
      <c r="D22" s="10">
        <f>20*10^-3</f>
        <v>0.02</v>
      </c>
      <c r="E22" s="10">
        <f>31*10^-3</f>
        <v>3.1E-2</v>
      </c>
      <c r="F22" s="10">
        <f>64*10^-3</f>
        <v>6.4000000000000001E-2</v>
      </c>
      <c r="G22" s="10">
        <f>83*10^-3</f>
        <v>8.3000000000000004E-2</v>
      </c>
      <c r="H22" s="23">
        <f>92.5*10^-3</f>
        <v>9.2499999999999999E-2</v>
      </c>
    </row>
    <row r="27" spans="2:8" x14ac:dyDescent="0.25">
      <c r="C27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workbookViewId="0">
      <selection activeCell="H60" sqref="H60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  <col min="9" max="9" width="9" customWidth="1"/>
    <col min="10" max="10" width="30.2851562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11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11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11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11" x14ac:dyDescent="0.25">
      <c r="B36" s="2"/>
      <c r="C36" s="2"/>
      <c r="D36" s="2"/>
      <c r="E36" s="2"/>
      <c r="F36" s="2"/>
      <c r="J36" t="s">
        <v>34</v>
      </c>
      <c r="K36">
        <f>7/SQRT(2)</f>
        <v>4.9497474683058327</v>
      </c>
    </row>
    <row r="38" spans="2:11" x14ac:dyDescent="0.25">
      <c r="J38">
        <f>40-J39</f>
        <v>3.4353977054607725</v>
      </c>
    </row>
    <row r="39" spans="2:11" x14ac:dyDescent="0.25">
      <c r="J39">
        <f>E19-E33</f>
        <v>36.564602294539228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8" workbookViewId="0">
      <selection activeCell="I54" sqref="I5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1" spans="1:7" ht="21" x14ac:dyDescent="0.35">
      <c r="A1" s="13" t="s">
        <v>28</v>
      </c>
    </row>
    <row r="4" spans="1:7" ht="18.75" x14ac:dyDescent="0.3">
      <c r="A4" s="1" t="s">
        <v>5</v>
      </c>
    </row>
    <row r="5" spans="1:7" x14ac:dyDescent="0.25">
      <c r="A5" s="12" t="s">
        <v>1</v>
      </c>
      <c r="B5" s="12" t="s">
        <v>3</v>
      </c>
      <c r="C5" s="12" t="s">
        <v>4</v>
      </c>
      <c r="D5" s="12" t="s">
        <v>2</v>
      </c>
      <c r="E5" s="12" t="s">
        <v>0</v>
      </c>
      <c r="F5" s="12" t="s">
        <v>15</v>
      </c>
      <c r="G5" s="12" t="s">
        <v>0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29</v>
      </c>
    </row>
    <row r="35" spans="1:7" x14ac:dyDescent="0.25">
      <c r="A35" s="12" t="s">
        <v>1</v>
      </c>
      <c r="B35" s="12" t="s">
        <v>3</v>
      </c>
      <c r="C35" s="12" t="s">
        <v>4</v>
      </c>
      <c r="D35" s="12" t="s">
        <v>2</v>
      </c>
      <c r="E35" s="12" t="s">
        <v>0</v>
      </c>
      <c r="F35" s="12" t="s">
        <v>15</v>
      </c>
      <c r="G35" s="12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2015-12-12T14:36:07Z</dcterms:modified>
</cp:coreProperties>
</file>