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ja\Desktop\Semester-Projekt-3\Hardware\"/>
    </mc:Choice>
  </mc:AlternateContent>
  <bookViews>
    <workbookView xWindow="0" yWindow="0" windowWidth="20490" windowHeight="7755" activeTab="2"/>
  </bookViews>
  <sheets>
    <sheet name="Filter" sheetId="4" r:id="rId1"/>
    <sheet name="Vandsøjle" sheetId="6" r:id="rId2"/>
    <sheet name="Hardware og software" sheetId="7" r:id="rId3"/>
    <sheet name="Filter og forstærker sammen" sheetId="5" r:id="rId4"/>
    <sheet name="Forstærker" sheetId="1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7" l="1"/>
  <c r="E19" i="7"/>
  <c r="E16" i="7"/>
  <c r="D19" i="7"/>
  <c r="C16" i="7"/>
  <c r="K18" i="7"/>
  <c r="C19" i="7"/>
  <c r="C7" i="7"/>
  <c r="B3" i="7"/>
  <c r="E7" i="7" s="1"/>
  <c r="D7" i="7" l="1"/>
  <c r="C26" i="6"/>
  <c r="H20" i="6"/>
  <c r="G20" i="6"/>
  <c r="F20" i="6"/>
  <c r="E20" i="6"/>
  <c r="D20" i="6"/>
  <c r="C20" i="6"/>
  <c r="I11" i="6"/>
  <c r="C7" i="6"/>
  <c r="E11" i="6" s="1"/>
  <c r="D11" i="6" l="1"/>
  <c r="F11" i="6"/>
  <c r="G11" i="6"/>
  <c r="H11" i="6"/>
  <c r="F24" i="5"/>
  <c r="F25" i="5"/>
  <c r="F26" i="5"/>
  <c r="F27" i="5"/>
  <c r="F28" i="5"/>
  <c r="F29" i="5"/>
  <c r="F30" i="5"/>
  <c r="F31" i="5"/>
  <c r="F32" i="5"/>
  <c r="F33" i="5"/>
  <c r="F34" i="5"/>
  <c r="F35" i="5"/>
  <c r="H5" i="5"/>
  <c r="H6" i="5"/>
  <c r="H7" i="5"/>
  <c r="H8" i="5"/>
  <c r="H9" i="5"/>
  <c r="H10" i="5"/>
  <c r="H11" i="5"/>
  <c r="H4" i="5"/>
  <c r="F5" i="5"/>
  <c r="F6" i="5"/>
  <c r="F7" i="5"/>
  <c r="F8" i="5"/>
  <c r="F9" i="5"/>
  <c r="F10" i="5"/>
  <c r="F11" i="5"/>
  <c r="F4" i="5"/>
  <c r="H32" i="5" l="1"/>
  <c r="H33" i="5"/>
  <c r="E30" i="5"/>
  <c r="E31" i="5"/>
  <c r="E32" i="5"/>
  <c r="E33" i="5"/>
  <c r="D32" i="5"/>
  <c r="D33" i="5"/>
  <c r="H31" i="5"/>
  <c r="D31" i="5"/>
  <c r="H30" i="5"/>
  <c r="D30" i="5"/>
  <c r="E24" i="5"/>
  <c r="E25" i="5"/>
  <c r="E26" i="5"/>
  <c r="E27" i="5"/>
  <c r="E28" i="5"/>
  <c r="E29" i="5"/>
  <c r="E34" i="5"/>
  <c r="E35" i="5"/>
  <c r="E5" i="5"/>
  <c r="E6" i="5"/>
  <c r="E7" i="5"/>
  <c r="E8" i="5"/>
  <c r="E9" i="5"/>
  <c r="E10" i="5"/>
  <c r="E11" i="5"/>
  <c r="E4" i="5"/>
  <c r="D34" i="5"/>
  <c r="D35" i="5"/>
  <c r="H34" i="5"/>
  <c r="D29" i="5"/>
  <c r="D28" i="5"/>
  <c r="H29" i="5"/>
  <c r="H28" i="5"/>
  <c r="H27" i="5"/>
  <c r="H26" i="5"/>
  <c r="D26" i="5"/>
  <c r="D27" i="5"/>
  <c r="H25" i="5"/>
  <c r="D25" i="5"/>
  <c r="H24" i="5"/>
  <c r="D24" i="5"/>
  <c r="D11" i="5"/>
  <c r="D10" i="5"/>
  <c r="D4" i="5"/>
  <c r="D5" i="5"/>
  <c r="D6" i="5"/>
  <c r="D7" i="5"/>
  <c r="D8" i="5"/>
  <c r="D9" i="5"/>
  <c r="H13" i="5" l="1"/>
  <c r="H14" i="5"/>
  <c r="H15" i="5"/>
  <c r="H16" i="5"/>
  <c r="H17" i="5"/>
  <c r="H18" i="5"/>
  <c r="H19" i="5"/>
  <c r="H20" i="5"/>
  <c r="H21" i="5"/>
  <c r="H22" i="5"/>
  <c r="H23" i="5"/>
  <c r="H12" i="5"/>
  <c r="B45" i="4" l="1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C28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E5" i="4"/>
  <c r="E4" i="4"/>
  <c r="F13" i="5" l="1"/>
  <c r="F14" i="5"/>
  <c r="F15" i="5"/>
  <c r="F16" i="5"/>
  <c r="F17" i="5"/>
  <c r="F18" i="5"/>
  <c r="F19" i="5"/>
  <c r="F20" i="5"/>
  <c r="F21" i="5"/>
  <c r="F22" i="5"/>
  <c r="F23" i="5"/>
  <c r="F12" i="5"/>
  <c r="E13" i="5"/>
  <c r="E14" i="5"/>
  <c r="E15" i="5"/>
  <c r="E16" i="5"/>
  <c r="E17" i="5"/>
  <c r="E18" i="5"/>
  <c r="E19" i="5"/>
  <c r="E20" i="5"/>
  <c r="E21" i="5"/>
  <c r="E22" i="5"/>
  <c r="E23" i="5"/>
  <c r="E12" i="5"/>
  <c r="C13" i="1" l="1"/>
  <c r="F13" i="1" s="1"/>
  <c r="G13" i="1" s="1"/>
  <c r="C12" i="1"/>
  <c r="F12" i="1" s="1"/>
  <c r="G12" i="1" s="1"/>
  <c r="C11" i="1"/>
  <c r="F11" i="1" s="1"/>
  <c r="G11" i="1" s="1"/>
  <c r="C10" i="1"/>
  <c r="F10" i="1" s="1"/>
  <c r="G10" i="1" s="1"/>
  <c r="C9" i="1"/>
  <c r="F9" i="1" s="1"/>
  <c r="G9" i="1" s="1"/>
  <c r="C8" i="1"/>
  <c r="F8" i="1" s="1"/>
  <c r="G8" i="1" s="1"/>
  <c r="C7" i="1"/>
  <c r="F7" i="1" s="1"/>
  <c r="G7" i="1" s="1"/>
  <c r="D6" i="1"/>
  <c r="E6" i="1" s="1"/>
  <c r="C6" i="1"/>
  <c r="F6" i="1" s="1"/>
  <c r="D43" i="1"/>
  <c r="C43" i="1"/>
  <c r="F43" i="1" s="1"/>
  <c r="D44" i="1"/>
  <c r="C44" i="1"/>
  <c r="F44" i="1" s="1"/>
  <c r="D45" i="1"/>
  <c r="C45" i="1"/>
  <c r="F45" i="1" s="1"/>
  <c r="D42" i="1"/>
  <c r="E42" i="1" s="1"/>
  <c r="C42" i="1"/>
  <c r="F42" i="1" s="1"/>
  <c r="D41" i="1"/>
  <c r="D39" i="1"/>
  <c r="D38" i="1"/>
  <c r="D37" i="1"/>
  <c r="D40" i="1"/>
  <c r="D36" i="1"/>
  <c r="C40" i="1"/>
  <c r="F40" i="1" s="1"/>
  <c r="C41" i="1"/>
  <c r="F41" i="1" s="1"/>
  <c r="C39" i="1"/>
  <c r="F39" i="1" s="1"/>
  <c r="C38" i="1"/>
  <c r="F38" i="1" s="1"/>
  <c r="C37" i="1"/>
  <c r="F37" i="1" s="1"/>
  <c r="C36" i="1"/>
  <c r="F36" i="1" s="1"/>
  <c r="G39" i="1" l="1"/>
  <c r="E40" i="1"/>
  <c r="E43" i="1"/>
  <c r="G37" i="1"/>
  <c r="E45" i="1"/>
  <c r="G36" i="1"/>
  <c r="E36" i="1"/>
  <c r="E10" i="1"/>
  <c r="G40" i="1"/>
  <c r="G41" i="1"/>
  <c r="E41" i="1"/>
  <c r="E37" i="1"/>
  <c r="G44" i="1"/>
  <c r="E13" i="1"/>
  <c r="E9" i="1"/>
  <c r="E44" i="1"/>
  <c r="E12" i="1"/>
  <c r="E8" i="1"/>
  <c r="E38" i="1"/>
  <c r="G38" i="1"/>
  <c r="G42" i="1"/>
  <c r="E39" i="1"/>
  <c r="G45" i="1"/>
  <c r="G43" i="1"/>
  <c r="G6" i="1"/>
  <c r="E11" i="1"/>
  <c r="E7" i="1"/>
  <c r="B36" i="1"/>
  <c r="B41" i="1"/>
  <c r="B40" i="1"/>
  <c r="B39" i="1"/>
  <c r="B38" i="1"/>
  <c r="B37" i="1"/>
  <c r="B8" i="1" l="1"/>
  <c r="B6" i="1"/>
  <c r="B9" i="1"/>
  <c r="B7" i="1"/>
</calcChain>
</file>

<file path=xl/sharedStrings.xml><?xml version="1.0" encoding="utf-8"?>
<sst xmlns="http://schemas.openxmlformats.org/spreadsheetml/2006/main" count="67" uniqueCount="42">
  <si>
    <t>Forstærkning</t>
  </si>
  <si>
    <t>Vin i mV</t>
  </si>
  <si>
    <t>Vout i V</t>
  </si>
  <si>
    <t>Vin i V</t>
  </si>
  <si>
    <t>Vin målt i V</t>
  </si>
  <si>
    <t>DC Signal</t>
  </si>
  <si>
    <t>Amplitude ind</t>
  </si>
  <si>
    <t>Frekvens</t>
  </si>
  <si>
    <t>Top til top ind &amp; ud, i ms</t>
  </si>
  <si>
    <t>Amplitude ud i V</t>
  </si>
  <si>
    <t>Amplitude ind i V</t>
  </si>
  <si>
    <t>Amplitude i DB</t>
  </si>
  <si>
    <t>Gain</t>
  </si>
  <si>
    <t>Fasedrej i grader</t>
  </si>
  <si>
    <t>Frekvens i Hz</t>
  </si>
  <si>
    <t>Oprindelig input</t>
  </si>
  <si>
    <t>Tidsforskydning i ms</t>
  </si>
  <si>
    <t>Bilag xx: Data for integrationstest af forstærker og filter sammen</t>
  </si>
  <si>
    <t>Udregning af vandsøjle tryk</t>
  </si>
  <si>
    <t>A, søjlens grundareal [m^2]</t>
  </si>
  <si>
    <t>ρ, massefylde af vand [kg/m^3]</t>
  </si>
  <si>
    <t>g, tyngdeaccleration [m/s^2]</t>
  </si>
  <si>
    <t>Diameter af søjle [m]</t>
  </si>
  <si>
    <t>(ρ·A·h·g)/A</t>
  </si>
  <si>
    <t>p, vandsøjlenstryk [Pa]</t>
  </si>
  <si>
    <t>mmHg, vandsøjlenstryk i mmHg</t>
  </si>
  <si>
    <t>h, højde af vandstand [m]</t>
  </si>
  <si>
    <t>Målinger af spændings output</t>
  </si>
  <si>
    <t>Spænding udgang af filter i mV</t>
  </si>
  <si>
    <t>Amplitude i dB</t>
  </si>
  <si>
    <t>Modultest af forstærkeren</t>
  </si>
  <si>
    <t>Sinus Signal 1 Hz</t>
  </si>
  <si>
    <t>Bilag XX: Integrationstest med vandsøjle, sammenhæng mellem væsketryk og udgangsspænding på filteret</t>
  </si>
  <si>
    <t>Bilag XX: Modultest af analogt filter</t>
  </si>
  <si>
    <t>Indgangssignalet, 5µV*5V*XmmHg</t>
  </si>
  <si>
    <t>=5*10^-6*5*</t>
  </si>
  <si>
    <t xml:space="preserve"> </t>
  </si>
  <si>
    <t>Måling af mmHg i programmet</t>
  </si>
  <si>
    <t>mmHg</t>
  </si>
  <si>
    <t>atmosfærisk</t>
  </si>
  <si>
    <t>V analog</t>
  </si>
  <si>
    <t>mmHg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</si>
</sst>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3" fillId="0" borderId="0" xfId="0" applyFont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15432"/>
        <c:axId val="302518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02515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2518568"/>
        <c:crosses val="autoZero"/>
        <c:crossBetween val="midCat"/>
      </c:valAx>
      <c:valAx>
        <c:axId val="3025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251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Amplitude</a:t>
            </a:r>
            <a:r>
              <a:rPr lang="da-DK" baseline="0"/>
              <a:t> i dB (y), frekvenser i log på x akse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[1]Filter!$A$27:$A$44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150</c:v>
                </c:pt>
              </c:numCache>
            </c:numRef>
          </c:xVal>
          <c:yVal>
            <c:numRef>
              <c:f>[1]Filter!$C$27:$C$44</c:f>
              <c:numCache>
                <c:formatCode>General</c:formatCode>
                <c:ptCount val="18"/>
                <c:pt idx="0">
                  <c:v>7.9588001734407516</c:v>
                </c:pt>
                <c:pt idx="1">
                  <c:v>7.8539390651933152</c:v>
                </c:pt>
                <c:pt idx="2">
                  <c:v>7.4582400594021312</c:v>
                </c:pt>
                <c:pt idx="3">
                  <c:v>7.1205171438624548</c:v>
                </c:pt>
                <c:pt idx="4">
                  <c:v>6.6082754669838177</c:v>
                </c:pt>
                <c:pt idx="5">
                  <c:v>6.1926033485179754</c:v>
                </c:pt>
                <c:pt idx="6">
                  <c:v>5.8893245232318581</c:v>
                </c:pt>
                <c:pt idx="7">
                  <c:v>5.1535714973836901</c:v>
                </c:pt>
                <c:pt idx="8">
                  <c:v>4.7105689381509777</c:v>
                </c:pt>
                <c:pt idx="9">
                  <c:v>4.1365175206369944</c:v>
                </c:pt>
                <c:pt idx="10">
                  <c:v>3.4052343078991476</c:v>
                </c:pt>
                <c:pt idx="11">
                  <c:v>1.4376401461225072</c:v>
                </c:pt>
                <c:pt idx="12">
                  <c:v>-0.35457533920863205</c:v>
                </c:pt>
                <c:pt idx="13">
                  <c:v>-2.2701854965503623</c:v>
                </c:pt>
                <c:pt idx="14">
                  <c:v>-3.8764005203222562</c:v>
                </c:pt>
                <c:pt idx="15">
                  <c:v>-5.1927462101151223</c:v>
                </c:pt>
                <c:pt idx="16">
                  <c:v>-6.7448433663685181</c:v>
                </c:pt>
                <c:pt idx="17">
                  <c:v>-10.752040042020878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15824"/>
        <c:axId val="302516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[1]Filter!$A$27:$A$44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02515824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2516216"/>
        <c:crosses val="autoZero"/>
        <c:crossBetween val="midCat"/>
      </c:valAx>
      <c:valAx>
        <c:axId val="3025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25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7171296296296298"/>
          <c:w val="0.8572106299212598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02968"/>
        <c:axId val="337205320"/>
      </c:scatterChart>
      <c:valAx>
        <c:axId val="33720296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5320"/>
        <c:crossesAt val="-200"/>
        <c:crossBetween val="midCat"/>
      </c:valAx>
      <c:valAx>
        <c:axId val="3372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Sammenhæng</a:t>
            </a:r>
            <a:r>
              <a:rPr lang="en-US" baseline="0"/>
              <a:t> mellem væsketryk og udgangsspænding</a:t>
            </a:r>
            <a:endParaRPr lang="en-US"/>
          </a:p>
        </c:rich>
      </c:tx>
      <c:layout>
        <c:manualLayout>
          <c:xMode val="edge"/>
          <c:yMode val="edge"/>
          <c:x val="0.1098385685660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Måling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47769028871391E-2"/>
                  <c:y val="0.411620370370370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1,0261x - 24,331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Vandsøjle!$C$19:$H$19</c:f>
              <c:numCache>
                <c:formatCode>General</c:formatCode>
                <c:ptCount val="6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  <c:pt idx="5">
                  <c:v>100</c:v>
                </c:pt>
              </c:numCache>
            </c:numRef>
          </c:xVal>
          <c:yVal>
            <c:numRef>
              <c:f>Vandsøjle!$C$20:$H$20</c:f>
              <c:numCache>
                <c:formatCode>General</c:formatCode>
                <c:ptCount val="6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  <c:pt idx="5">
                  <c:v>0.94500000000000006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03752"/>
        <c:axId val="337204144"/>
      </c:scatterChart>
      <c:valAx>
        <c:axId val="33720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4144"/>
        <c:crosses val="autoZero"/>
        <c:crossBetween val="midCat"/>
      </c:valAx>
      <c:valAx>
        <c:axId val="3372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9.4991908394870317E-2"/>
          <c:y val="0.13467587023557243"/>
          <c:w val="0.57643579526652444"/>
          <c:h val="0.6714577865266842"/>
        </c:manualLayout>
      </c:layout>
      <c:scatterChart>
        <c:scatterStyle val="lineMarker"/>
        <c:varyColors val="0"/>
        <c:ser>
          <c:idx val="5"/>
          <c:order val="0"/>
          <c:tx>
            <c:v>Sammenhæng mellem mmHg og Volt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10590709840027"/>
                  <c:y val="5.24586013540123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103,66x + 2,0173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Vandsøjle!$C$20:$G$20</c:f>
              <c:numCache>
                <c:formatCode>General</c:formatCode>
                <c:ptCount val="5"/>
                <c:pt idx="0">
                  <c:v>0.02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8.3000000000000004E-2</c:v>
                </c:pt>
                <c:pt idx="4">
                  <c:v>9.2499999999999999E-2</c:v>
                </c:pt>
              </c:numCache>
            </c:numRef>
          </c:xVal>
          <c:yVal>
            <c:numRef>
              <c:f>Vandsøjle!$C$19:$G$19</c:f>
              <c:numCache>
                <c:formatCode>General</c:formatCode>
                <c:ptCount val="5"/>
                <c:pt idx="0">
                  <c:v>4.33</c:v>
                </c:pt>
                <c:pt idx="1">
                  <c:v>5.4</c:v>
                </c:pt>
                <c:pt idx="2">
                  <c:v>8.56</c:v>
                </c:pt>
                <c:pt idx="3">
                  <c:v>10.5</c:v>
                </c:pt>
                <c:pt idx="4">
                  <c:v>11.38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06496"/>
        <c:axId val="337208456"/>
      </c:scatterChart>
      <c:valAx>
        <c:axId val="3372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8456"/>
        <c:crosses val="autoZero"/>
        <c:crossBetween val="midCat"/>
      </c:valAx>
      <c:valAx>
        <c:axId val="3372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802048060054676"/>
          <c:y val="0.13237453149404843"/>
          <c:w val="0.31166396946495678"/>
          <c:h val="0.64646654753644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Integrationstest af forstærker og filter sammen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('Filter og forstærker sammen'!$B$5,'Filter og forstærker sammen'!$B$7,'Filter og forstærker sammen'!$B$9,'Filter og forstærker sammen'!$B$11,'Filter og forstærker sammen'!$B$13,'Filter og forstærker sammen'!$B$15,'Filter og forstærker sammen'!$B$17,'Filter og forstærker sammen'!$B$19,'Filter og forstærker sammen'!$B$21,'Filter og forstærker sammen'!$B$23,'Filter og forstærker sammen'!$B$25,'Filter og forstærker sammen'!$B$27,'Filter og forstærker sammen'!$B$29,'Filter og forstærker sammen'!$B$31,'Filter og forstærker sammen'!$B$33,'Filter og forstærker sammen'!$B$35)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sammen'!$E$5,'Filter og forstærker sammen'!$E$7,'Filter og forstærker sammen'!$E$9,'Filter og forstærker sammen'!$E$11,'Filter og forstærker sammen'!$E$13,'Filter og forstærker sammen'!$E$15,'Filter og forstærker sammen'!$E$17,'Filter og forstærker sammen'!$E$19,'Filter og forstærker sammen'!$E$21,'Filter og forstærker sammen'!$E$23,'Filter og forstærker sammen'!$E$25,'Filter og forstærker sammen'!$E$27,'Filter og forstærker sammen'!$E$29,'Filter og forstærker sammen'!$E$31,'Filter og forstærker sammen'!$E$33,'Filter og forstærker sammen'!$E$35)</c:f>
              <c:numCache>
                <c:formatCode>General</c:formatCode>
                <c:ptCount val="16"/>
                <c:pt idx="0">
                  <c:v>8.8652597491738998</c:v>
                </c:pt>
                <c:pt idx="1">
                  <c:v>8.8652597491738998</c:v>
                </c:pt>
                <c:pt idx="2">
                  <c:v>8.6272752831797472</c:v>
                </c:pt>
                <c:pt idx="3">
                  <c:v>8.6272752831797472</c:v>
                </c:pt>
                <c:pt idx="4">
                  <c:v>8.2994669594163604</c:v>
                </c:pt>
                <c:pt idx="5">
                  <c:v>7.4949669202020779</c:v>
                </c:pt>
                <c:pt idx="6">
                  <c:v>6.8878454737022139</c:v>
                </c:pt>
                <c:pt idx="7">
                  <c:v>6.107027388932476</c:v>
                </c:pt>
                <c:pt idx="8">
                  <c:v>5.2014277597014953</c:v>
                </c:pt>
                <c:pt idx="9">
                  <c:v>4.2968769609539574</c:v>
                </c:pt>
                <c:pt idx="10">
                  <c:v>2.2788670461367357</c:v>
                </c:pt>
                <c:pt idx="11">
                  <c:v>-1.4116214857141456</c:v>
                </c:pt>
                <c:pt idx="12">
                  <c:v>-3.0980391997148637</c:v>
                </c:pt>
                <c:pt idx="13">
                  <c:v>-54.774742624150136</c:v>
                </c:pt>
                <c:pt idx="14">
                  <c:v>-30.457574905606752</c:v>
                </c:pt>
                <c:pt idx="15">
                  <c:v>-37.077439286435244</c:v>
                </c:pt>
              </c:numCache>
            </c:numRef>
          </c:yVal>
          <c:smooth val="0"/>
        </c:ser>
        <c:ser>
          <c:idx val="1"/>
          <c:order val="1"/>
          <c:tx>
            <c:v>6mV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('Filter og forstærker sammen'!$B$4,'Filter og forstærker sammen'!$B$6,'Filter og forstærker sammen'!$B$8,'Filter og forstærker sammen'!$B$10,'Filter og forstærker sammen'!$B$12,'Filter og forstærker sammen'!$B$14,'Filter og forstærker sammen'!$B$16,'Filter og forstærker sammen'!$B$18,'Filter og forstærker sammen'!$B$20,'Filter og forstærker sammen'!$B$22,'Filter og forstærker sammen'!$B$24,'Filter og forstærker sammen'!$B$26,'Filter og forstærker sammen'!$B$28,'Filter og forstærker sammen'!$B$30,'Filter og forstærker sammen'!$B$32,'Filter og forstærker sammen'!$B$34)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</c:numCache>
            </c:numRef>
          </c:xVal>
          <c:yVal>
            <c:numRef>
              <c:f>('Filter og forstærker sammen'!$E$4,'Filter og forstærker sammen'!$E$6,'Filter og forstærker sammen'!$E$8,'Filter og forstærker sammen'!$E$10,'Filter og forstærker sammen'!$E$12,'Filter og forstærker sammen'!$E$14,'Filter og forstærker sammen'!$E$16,'Filter og forstærker sammen'!$E$18,'Filter og forstærker sammen'!$E$20,'Filter og forstærker sammen'!$E$22,'Filter og forstærker sammen'!$E$24,'Filter og forstærker sammen'!$E$26,'Filter og forstærker sammen'!$E$28,'Filter og forstærker sammen'!$E$30,'Filter og forstærker sammen'!$E$32,'Filter og forstærker sammen'!$E$34)</c:f>
              <c:numCache>
                <c:formatCode>General</c:formatCode>
                <c:ptCount val="16"/>
                <c:pt idx="0">
                  <c:v>7.4949669202020779</c:v>
                </c:pt>
                <c:pt idx="1">
                  <c:v>7.5132722792177074</c:v>
                </c:pt>
                <c:pt idx="2">
                  <c:v>7.5132722792177074</c:v>
                </c:pt>
                <c:pt idx="3">
                  <c:v>7.2345567203518568</c:v>
                </c:pt>
                <c:pt idx="4">
                  <c:v>6.689075023018618</c:v>
                </c:pt>
                <c:pt idx="5">
                  <c:v>6.1499207582642583</c:v>
                </c:pt>
                <c:pt idx="6">
                  <c:v>5.5750720190565781</c:v>
                </c:pt>
                <c:pt idx="7">
                  <c:v>4.7609220625759079</c:v>
                </c:pt>
                <c:pt idx="8">
                  <c:v>3.8066339634058299</c:v>
                </c:pt>
                <c:pt idx="9">
                  <c:v>2.9843822531075976</c:v>
                </c:pt>
                <c:pt idx="10">
                  <c:v>1.0230504489476258</c:v>
                </c:pt>
                <c:pt idx="11">
                  <c:v>-2.7932398685801263</c:v>
                </c:pt>
                <c:pt idx="12">
                  <c:v>-4.0823996531184958</c:v>
                </c:pt>
                <c:pt idx="13">
                  <c:v>-55.782932693702136</c:v>
                </c:pt>
                <c:pt idx="14">
                  <c:v>-32.041199826559243</c:v>
                </c:pt>
                <c:pt idx="15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07672"/>
        <c:axId val="337208848"/>
      </c:scatterChart>
      <c:valAx>
        <c:axId val="33720767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Frekvens i Hz, logaritmisk 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8848"/>
        <c:crosses val="autoZero"/>
        <c:crossBetween val="midCat"/>
      </c:valAx>
      <c:valAx>
        <c:axId val="337208848"/>
        <c:scaling>
          <c:orientation val="minMax"/>
          <c:max val="1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Amplitude i</a:t>
                </a:r>
                <a:r>
                  <a:rPr lang="da-DK" baseline="0"/>
                  <a:t> dB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03360"/>
        <c:axId val="337204928"/>
      </c:scatterChart>
      <c:valAx>
        <c:axId val="3372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4928"/>
        <c:crosses val="autoZero"/>
        <c:crossBetween val="midCat"/>
      </c:valAx>
      <c:valAx>
        <c:axId val="3372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Forstærker!$C$36:$C$45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Forstærker!$D$36:$D$45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07280"/>
        <c:axId val="337209240"/>
      </c:scatterChart>
      <c:valAx>
        <c:axId val="3372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9240"/>
        <c:crosses val="autoZero"/>
        <c:crossBetween val="midCat"/>
      </c:valAx>
      <c:valAx>
        <c:axId val="3372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72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61913</xdr:rowOff>
    </xdr:from>
    <xdr:to>
      <xdr:col>16</xdr:col>
      <xdr:colOff>0</xdr:colOff>
      <xdr:row>16</xdr:row>
      <xdr:rowOff>1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31</xdr:row>
      <xdr:rowOff>176212</xdr:rowOff>
    </xdr:from>
    <xdr:to>
      <xdr:col>10</xdr:col>
      <xdr:colOff>0</xdr:colOff>
      <xdr:row>46</xdr:row>
      <xdr:rowOff>61912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16</xdr:row>
      <xdr:rowOff>14287</xdr:rowOff>
    </xdr:from>
    <xdr:to>
      <xdr:col>15</xdr:col>
      <xdr:colOff>581025</xdr:colOff>
      <xdr:row>31</xdr:row>
      <xdr:rowOff>85725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4</xdr:row>
      <xdr:rowOff>14287</xdr:rowOff>
    </xdr:from>
    <xdr:to>
      <xdr:col>13</xdr:col>
      <xdr:colOff>28575</xdr:colOff>
      <xdr:row>20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95250</xdr:colOff>
      <xdr:row>10</xdr:row>
      <xdr:rowOff>14287</xdr:rowOff>
    </xdr:from>
    <xdr:ext cx="65" cy="172227"/>
    <xdr:sp macro="" textlink="">
      <xdr:nvSpPr>
        <xdr:cNvPr id="3" name="Tekstfelt 2"/>
        <xdr:cNvSpPr txBox="1"/>
      </xdr:nvSpPr>
      <xdr:spPr>
        <a:xfrm>
          <a:off x="3086100" y="1538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  <xdr:twoCellAnchor>
    <xdr:from>
      <xdr:col>13</xdr:col>
      <xdr:colOff>171450</xdr:colOff>
      <xdr:row>5</xdr:row>
      <xdr:rowOff>42862</xdr:rowOff>
    </xdr:from>
    <xdr:to>
      <xdr:col>20</xdr:col>
      <xdr:colOff>371475</xdr:colOff>
      <xdr:row>20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6</xdr:row>
      <xdr:rowOff>14287</xdr:rowOff>
    </xdr:from>
    <xdr:ext cx="65" cy="172227"/>
    <xdr:sp macro="" textlink="">
      <xdr:nvSpPr>
        <xdr:cNvPr id="2" name="Tekstfelt 1"/>
        <xdr:cNvSpPr txBox="1"/>
      </xdr:nvSpPr>
      <xdr:spPr>
        <a:xfrm>
          <a:off x="2571750" y="2024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666748</xdr:colOff>
      <xdr:row>40</xdr:row>
      <xdr:rowOff>0</xdr:rowOff>
    </xdr:from>
    <xdr:to>
      <xdr:col>7</xdr:col>
      <xdr:colOff>828675</xdr:colOff>
      <xdr:row>61</xdr:row>
      <xdr:rowOff>171450</xdr:rowOff>
    </xdr:to>
    <xdr:graphicFrame macro="">
      <xdr:nvGraphicFramePr>
        <xdr:cNvPr id="2" name="Diagram 1" title="Integrationstest af forstærker og filter samm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14</xdr:row>
      <xdr:rowOff>4761</xdr:rowOff>
    </xdr:from>
    <xdr:to>
      <xdr:col>6</xdr:col>
      <xdr:colOff>247650</xdr:colOff>
      <xdr:row>30</xdr:row>
      <xdr:rowOff>114300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46</xdr:row>
      <xdr:rowOff>14286</xdr:rowOff>
    </xdr:from>
    <xdr:to>
      <xdr:col>5</xdr:col>
      <xdr:colOff>1390650</xdr:colOff>
      <xdr:row>62</xdr:row>
      <xdr:rowOff>19049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  <row r="27">
          <cell r="A27">
            <v>10</v>
          </cell>
          <cell r="C27">
            <v>7.9588001734407516</v>
          </cell>
        </row>
        <row r="28">
          <cell r="A28">
            <v>20</v>
          </cell>
          <cell r="C28">
            <v>7.8539390651933152</v>
          </cell>
        </row>
        <row r="29">
          <cell r="A29">
            <v>30</v>
          </cell>
          <cell r="C29">
            <v>7.4582400594021312</v>
          </cell>
        </row>
        <row r="30">
          <cell r="A30">
            <v>35</v>
          </cell>
          <cell r="C30">
            <v>7.1205171438624548</v>
          </cell>
        </row>
        <row r="31">
          <cell r="A31">
            <v>40</v>
          </cell>
          <cell r="C31">
            <v>6.6082754669838177</v>
          </cell>
        </row>
        <row r="32">
          <cell r="A32">
            <v>43</v>
          </cell>
          <cell r="C32">
            <v>6.1926033485179754</v>
          </cell>
        </row>
        <row r="33">
          <cell r="A33">
            <v>46</v>
          </cell>
          <cell r="C33">
            <v>5.8893245232318581</v>
          </cell>
        </row>
        <row r="34">
          <cell r="A34">
            <v>50</v>
          </cell>
          <cell r="C34">
            <v>5.1535714973836901</v>
          </cell>
        </row>
        <row r="35">
          <cell r="A35">
            <v>53</v>
          </cell>
          <cell r="C35">
            <v>4.7105689381509777</v>
          </cell>
        </row>
        <row r="36">
          <cell r="A36">
            <v>56</v>
          </cell>
          <cell r="C36">
            <v>4.1365175206369944</v>
          </cell>
        </row>
        <row r="37">
          <cell r="A37">
            <v>60</v>
          </cell>
          <cell r="C37">
            <v>3.4052343078991476</v>
          </cell>
        </row>
        <row r="38">
          <cell r="A38">
            <v>70</v>
          </cell>
          <cell r="C38">
            <v>1.4376401461225072</v>
          </cell>
        </row>
        <row r="39">
          <cell r="A39">
            <v>80</v>
          </cell>
          <cell r="C39">
            <v>-0.35457533920863205</v>
          </cell>
        </row>
        <row r="40">
          <cell r="A40">
            <v>90</v>
          </cell>
          <cell r="C40">
            <v>-2.2701854965503623</v>
          </cell>
        </row>
        <row r="41">
          <cell r="A41">
            <v>100</v>
          </cell>
          <cell r="C41">
            <v>-3.8764005203222562</v>
          </cell>
        </row>
        <row r="42">
          <cell r="A42">
            <v>110</v>
          </cell>
          <cell r="C42">
            <v>-5.1927462101151223</v>
          </cell>
        </row>
        <row r="43">
          <cell r="A43">
            <v>120</v>
          </cell>
          <cell r="C43">
            <v>-6.7448433663685181</v>
          </cell>
        </row>
        <row r="44">
          <cell r="A44">
            <v>150</v>
          </cell>
          <cell r="C44">
            <v>-10.752040042020878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0" workbookViewId="0">
      <selection activeCell="G6" sqref="G6"/>
    </sheetView>
  </sheetViews>
  <sheetFormatPr defaultRowHeight="15" x14ac:dyDescent="0.25"/>
  <cols>
    <col min="2" max="2" width="16.140625" customWidth="1"/>
    <col min="3" max="3" width="17.140625" customWidth="1"/>
    <col min="4" max="4" width="23" customWidth="1"/>
    <col min="5" max="5" width="24" customWidth="1"/>
  </cols>
  <sheetData>
    <row r="1" spans="1:5" ht="21" x14ac:dyDescent="0.35">
      <c r="A1" s="13" t="s">
        <v>33</v>
      </c>
    </row>
    <row r="3" spans="1:5" x14ac:dyDescent="0.25">
      <c r="A3" s="2" t="s">
        <v>7</v>
      </c>
      <c r="B3" s="2" t="s">
        <v>6</v>
      </c>
      <c r="C3" s="2" t="s">
        <v>9</v>
      </c>
      <c r="D3" s="2" t="s">
        <v>8</v>
      </c>
      <c r="E3" s="2" t="s">
        <v>13</v>
      </c>
    </row>
    <row r="4" spans="1:5" x14ac:dyDescent="0.25">
      <c r="A4">
        <v>1</v>
      </c>
      <c r="B4">
        <v>2.5</v>
      </c>
      <c r="C4">
        <v>2.5</v>
      </c>
      <c r="D4">
        <v>0</v>
      </c>
      <c r="E4">
        <f>360*A4*D4</f>
        <v>0</v>
      </c>
    </row>
    <row r="5" spans="1:5" x14ac:dyDescent="0.25">
      <c r="A5">
        <v>5</v>
      </c>
      <c r="B5">
        <v>2.5</v>
      </c>
      <c r="C5">
        <v>2.5</v>
      </c>
      <c r="D5">
        <v>3</v>
      </c>
      <c r="E5">
        <f>-360*A5*D5*10^-3</f>
        <v>-5.4</v>
      </c>
    </row>
    <row r="6" spans="1:5" x14ac:dyDescent="0.25">
      <c r="A6">
        <v>10</v>
      </c>
      <c r="B6">
        <v>2.5</v>
      </c>
      <c r="C6">
        <v>2.5</v>
      </c>
      <c r="D6">
        <v>4.5999999999999996</v>
      </c>
      <c r="E6">
        <f t="shared" ref="E6:E23" si="0">-360*A6*D6*10^-3</f>
        <v>-16.559999999999999</v>
      </c>
    </row>
    <row r="7" spans="1:5" x14ac:dyDescent="0.25">
      <c r="A7">
        <v>20</v>
      </c>
      <c r="B7">
        <v>2.5</v>
      </c>
      <c r="C7">
        <f>4.94/2</f>
        <v>2.4700000000000002</v>
      </c>
      <c r="D7">
        <v>4.4000000000000004</v>
      </c>
      <c r="E7">
        <f t="shared" si="0"/>
        <v>-31.680000000000003</v>
      </c>
    </row>
    <row r="8" spans="1:5" x14ac:dyDescent="0.25">
      <c r="A8">
        <v>30</v>
      </c>
      <c r="B8">
        <v>2.5</v>
      </c>
      <c r="C8">
        <f>4.72/2</f>
        <v>2.36</v>
      </c>
      <c r="D8">
        <v>4.4000000000000004</v>
      </c>
      <c r="E8">
        <f t="shared" si="0"/>
        <v>-47.52000000000001</v>
      </c>
    </row>
    <row r="9" spans="1:5" x14ac:dyDescent="0.25">
      <c r="A9">
        <v>35</v>
      </c>
      <c r="B9">
        <v>2.5</v>
      </c>
      <c r="C9">
        <f>4.54/2</f>
        <v>2.27</v>
      </c>
      <c r="D9">
        <v>4.7</v>
      </c>
      <c r="E9">
        <f t="shared" si="0"/>
        <v>-59.22</v>
      </c>
    </row>
    <row r="10" spans="1:5" x14ac:dyDescent="0.25">
      <c r="A10">
        <v>40</v>
      </c>
      <c r="B10">
        <v>2.5</v>
      </c>
      <c r="C10">
        <f>4.28/2</f>
        <v>2.14</v>
      </c>
      <c r="D10">
        <v>4.8</v>
      </c>
      <c r="E10">
        <f t="shared" si="0"/>
        <v>-69.12</v>
      </c>
    </row>
    <row r="11" spans="1:5" x14ac:dyDescent="0.25">
      <c r="A11">
        <v>43</v>
      </c>
      <c r="B11">
        <v>2.5</v>
      </c>
      <c r="C11">
        <f>4.08/2</f>
        <v>2.04</v>
      </c>
      <c r="D11">
        <v>4.8</v>
      </c>
      <c r="E11">
        <f t="shared" si="0"/>
        <v>-74.304000000000002</v>
      </c>
    </row>
    <row r="12" spans="1:5" x14ac:dyDescent="0.25">
      <c r="A12">
        <v>46</v>
      </c>
      <c r="B12">
        <v>2.5</v>
      </c>
      <c r="C12">
        <f>3.94/2</f>
        <v>1.97</v>
      </c>
      <c r="D12">
        <v>4.8</v>
      </c>
      <c r="E12">
        <f t="shared" si="0"/>
        <v>-79.488</v>
      </c>
    </row>
    <row r="13" spans="1:5" x14ac:dyDescent="0.25">
      <c r="A13">
        <v>50</v>
      </c>
      <c r="B13">
        <v>2.5</v>
      </c>
      <c r="C13">
        <f>3.62/2</f>
        <v>1.81</v>
      </c>
      <c r="D13">
        <v>4.8</v>
      </c>
      <c r="E13">
        <f t="shared" si="0"/>
        <v>-86.4</v>
      </c>
    </row>
    <row r="14" spans="1:5" x14ac:dyDescent="0.25">
      <c r="A14">
        <v>53</v>
      </c>
      <c r="B14">
        <v>2.5</v>
      </c>
      <c r="C14">
        <f>3.44/2</f>
        <v>1.72</v>
      </c>
      <c r="D14">
        <v>5</v>
      </c>
      <c r="E14">
        <f t="shared" si="0"/>
        <v>-95.4</v>
      </c>
    </row>
    <row r="15" spans="1:5" x14ac:dyDescent="0.25">
      <c r="A15">
        <v>56</v>
      </c>
      <c r="B15">
        <v>2.5</v>
      </c>
      <c r="C15">
        <f>3.22/2</f>
        <v>1.61</v>
      </c>
      <c r="D15">
        <v>5</v>
      </c>
      <c r="E15">
        <f t="shared" si="0"/>
        <v>-100.8</v>
      </c>
    </row>
    <row r="16" spans="1:5" x14ac:dyDescent="0.25">
      <c r="A16">
        <v>60</v>
      </c>
      <c r="B16">
        <v>2.5</v>
      </c>
      <c r="C16">
        <f>2.96/2</f>
        <v>1.48</v>
      </c>
      <c r="D16">
        <v>5</v>
      </c>
      <c r="E16">
        <f t="shared" si="0"/>
        <v>-108</v>
      </c>
    </row>
    <row r="17" spans="1:5" x14ac:dyDescent="0.25">
      <c r="A17">
        <v>70</v>
      </c>
      <c r="B17">
        <v>2.5</v>
      </c>
      <c r="C17">
        <f>2.36/2</f>
        <v>1.18</v>
      </c>
      <c r="D17">
        <v>4.4000000000000004</v>
      </c>
      <c r="E17">
        <f t="shared" si="0"/>
        <v>-110.88000000000002</v>
      </c>
    </row>
    <row r="18" spans="1:5" x14ac:dyDescent="0.25">
      <c r="A18">
        <v>80</v>
      </c>
      <c r="B18">
        <v>2.5</v>
      </c>
      <c r="C18">
        <f>1.92/2</f>
        <v>0.96</v>
      </c>
      <c r="D18">
        <v>4.4000000000000004</v>
      </c>
      <c r="E18">
        <f t="shared" si="0"/>
        <v>-126.72000000000001</v>
      </c>
    </row>
    <row r="19" spans="1:5" x14ac:dyDescent="0.25">
      <c r="A19">
        <v>90</v>
      </c>
      <c r="B19">
        <v>2.5</v>
      </c>
      <c r="C19">
        <f>1.54/2</f>
        <v>0.77</v>
      </c>
      <c r="D19">
        <v>4.05</v>
      </c>
      <c r="E19">
        <f t="shared" si="0"/>
        <v>-131.22</v>
      </c>
    </row>
    <row r="20" spans="1:5" x14ac:dyDescent="0.25">
      <c r="A20">
        <v>100</v>
      </c>
      <c r="B20">
        <v>2.5</v>
      </c>
      <c r="C20">
        <f>1.28/2</f>
        <v>0.64</v>
      </c>
      <c r="D20">
        <v>3.75</v>
      </c>
      <c r="E20">
        <f t="shared" si="0"/>
        <v>-135</v>
      </c>
    </row>
    <row r="21" spans="1:5" x14ac:dyDescent="0.25">
      <c r="A21">
        <v>110</v>
      </c>
      <c r="B21">
        <v>2.5</v>
      </c>
      <c r="C21">
        <f>1.1/2</f>
        <v>0.55000000000000004</v>
      </c>
      <c r="D21">
        <v>3.58</v>
      </c>
      <c r="E21">
        <f t="shared" si="0"/>
        <v>-141.768</v>
      </c>
    </row>
    <row r="22" spans="1:5" x14ac:dyDescent="0.25">
      <c r="A22">
        <v>120</v>
      </c>
      <c r="B22">
        <v>2.5</v>
      </c>
      <c r="C22">
        <f>(920*10^-3)/2</f>
        <v>0.46</v>
      </c>
      <c r="D22">
        <v>3.63</v>
      </c>
      <c r="E22">
        <f t="shared" si="0"/>
        <v>-156.816</v>
      </c>
    </row>
    <row r="23" spans="1:5" x14ac:dyDescent="0.25">
      <c r="A23">
        <v>150</v>
      </c>
      <c r="B23">
        <v>2.5</v>
      </c>
      <c r="C23">
        <f>(580*10^-3)/2</f>
        <v>0.28999999999999998</v>
      </c>
      <c r="D23">
        <v>2.8</v>
      </c>
      <c r="E23">
        <f t="shared" si="0"/>
        <v>-151.20000000000002</v>
      </c>
    </row>
    <row r="24" spans="1:5" x14ac:dyDescent="0.25">
      <c r="A24">
        <v>500</v>
      </c>
      <c r="B24">
        <v>2.5</v>
      </c>
      <c r="C24">
        <f>(55*10^-3)/2</f>
        <v>2.75E-2</v>
      </c>
      <c r="D24">
        <v>0</v>
      </c>
      <c r="E24">
        <v>-180</v>
      </c>
    </row>
    <row r="27" spans="1:5" x14ac:dyDescent="0.25">
      <c r="A27" s="2" t="s">
        <v>7</v>
      </c>
      <c r="B27" s="2" t="s">
        <v>9</v>
      </c>
      <c r="C27" s="2" t="s">
        <v>29</v>
      </c>
    </row>
    <row r="28" spans="1:5" x14ac:dyDescent="0.25">
      <c r="A28">
        <v>10</v>
      </c>
      <c r="B28">
        <v>2.5</v>
      </c>
      <c r="C28">
        <f>20*LOG10(B28)</f>
        <v>7.9588001734407516</v>
      </c>
    </row>
    <row r="29" spans="1:5" x14ac:dyDescent="0.25">
      <c r="A29">
        <v>20</v>
      </c>
      <c r="B29">
        <f>4.94/2</f>
        <v>2.4700000000000002</v>
      </c>
      <c r="C29">
        <f t="shared" ref="C29:C45" si="1">20*LOG10(B29)</f>
        <v>7.8539390651933152</v>
      </c>
    </row>
    <row r="30" spans="1:5" x14ac:dyDescent="0.25">
      <c r="A30">
        <v>30</v>
      </c>
      <c r="B30">
        <f>4.72/2</f>
        <v>2.36</v>
      </c>
      <c r="C30">
        <f t="shared" si="1"/>
        <v>7.4582400594021312</v>
      </c>
    </row>
    <row r="31" spans="1:5" x14ac:dyDescent="0.25">
      <c r="A31">
        <v>35</v>
      </c>
      <c r="B31">
        <f>4.54/2</f>
        <v>2.27</v>
      </c>
      <c r="C31">
        <f t="shared" si="1"/>
        <v>7.1205171438624548</v>
      </c>
    </row>
    <row r="32" spans="1:5" x14ac:dyDescent="0.25">
      <c r="A32">
        <v>40</v>
      </c>
      <c r="B32">
        <f>4.28/2</f>
        <v>2.14</v>
      </c>
      <c r="C32">
        <f t="shared" si="1"/>
        <v>6.6082754669838177</v>
      </c>
    </row>
    <row r="33" spans="1:3" x14ac:dyDescent="0.25">
      <c r="A33">
        <v>43</v>
      </c>
      <c r="B33">
        <f>4.08/2</f>
        <v>2.04</v>
      </c>
      <c r="C33">
        <f t="shared" si="1"/>
        <v>6.1926033485179754</v>
      </c>
    </row>
    <row r="34" spans="1:3" x14ac:dyDescent="0.25">
      <c r="A34">
        <v>46</v>
      </c>
      <c r="B34">
        <f>3.94/2</f>
        <v>1.97</v>
      </c>
      <c r="C34">
        <f t="shared" si="1"/>
        <v>5.8893245232318581</v>
      </c>
    </row>
    <row r="35" spans="1:3" x14ac:dyDescent="0.25">
      <c r="A35">
        <v>50</v>
      </c>
      <c r="B35">
        <f>3.62/2</f>
        <v>1.81</v>
      </c>
      <c r="C35">
        <f t="shared" si="1"/>
        <v>5.1535714973836901</v>
      </c>
    </row>
    <row r="36" spans="1:3" x14ac:dyDescent="0.25">
      <c r="A36">
        <v>53</v>
      </c>
      <c r="B36">
        <f>3.44/2</f>
        <v>1.72</v>
      </c>
      <c r="C36">
        <f t="shared" si="1"/>
        <v>4.7105689381509777</v>
      </c>
    </row>
    <row r="37" spans="1:3" x14ac:dyDescent="0.25">
      <c r="A37">
        <v>56</v>
      </c>
      <c r="B37">
        <f>3.22/2</f>
        <v>1.61</v>
      </c>
      <c r="C37">
        <f t="shared" si="1"/>
        <v>4.1365175206369944</v>
      </c>
    </row>
    <row r="38" spans="1:3" x14ac:dyDescent="0.25">
      <c r="A38">
        <v>60</v>
      </c>
      <c r="B38">
        <f>2.96/2</f>
        <v>1.48</v>
      </c>
      <c r="C38">
        <f t="shared" si="1"/>
        <v>3.4052343078991476</v>
      </c>
    </row>
    <row r="39" spans="1:3" x14ac:dyDescent="0.25">
      <c r="A39">
        <v>70</v>
      </c>
      <c r="B39">
        <f>2.36/2</f>
        <v>1.18</v>
      </c>
      <c r="C39">
        <f t="shared" si="1"/>
        <v>1.4376401461225072</v>
      </c>
    </row>
    <row r="40" spans="1:3" x14ac:dyDescent="0.25">
      <c r="A40">
        <v>80</v>
      </c>
      <c r="B40">
        <f>1.92/2</f>
        <v>0.96</v>
      </c>
      <c r="C40">
        <f t="shared" si="1"/>
        <v>-0.35457533920863205</v>
      </c>
    </row>
    <row r="41" spans="1:3" x14ac:dyDescent="0.25">
      <c r="A41">
        <v>90</v>
      </c>
      <c r="B41">
        <f>1.54/2</f>
        <v>0.77</v>
      </c>
      <c r="C41">
        <f t="shared" si="1"/>
        <v>-2.2701854965503623</v>
      </c>
    </row>
    <row r="42" spans="1:3" x14ac:dyDescent="0.25">
      <c r="A42">
        <v>100</v>
      </c>
      <c r="B42">
        <f>1.28/2</f>
        <v>0.64</v>
      </c>
      <c r="C42">
        <f t="shared" si="1"/>
        <v>-3.8764005203222562</v>
      </c>
    </row>
    <row r="43" spans="1:3" x14ac:dyDescent="0.25">
      <c r="A43">
        <v>110</v>
      </c>
      <c r="B43">
        <f>1.1/2</f>
        <v>0.55000000000000004</v>
      </c>
      <c r="C43">
        <f t="shared" si="1"/>
        <v>-5.1927462101151223</v>
      </c>
    </row>
    <row r="44" spans="1:3" x14ac:dyDescent="0.25">
      <c r="A44">
        <v>120</v>
      </c>
      <c r="B44">
        <f>(920*10^-3)/2</f>
        <v>0.46</v>
      </c>
      <c r="C44">
        <f t="shared" si="1"/>
        <v>-6.7448433663685181</v>
      </c>
    </row>
    <row r="45" spans="1:3" x14ac:dyDescent="0.25">
      <c r="A45">
        <v>150</v>
      </c>
      <c r="B45">
        <f>(580*10^-3)/2</f>
        <v>0.28999999999999998</v>
      </c>
      <c r="C45">
        <f t="shared" si="1"/>
        <v>-10.752040042020878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opLeftCell="A5" workbookViewId="0">
      <selection activeCell="B5" sqref="B5:H20"/>
    </sheetView>
  </sheetViews>
  <sheetFormatPr defaultRowHeight="15" x14ac:dyDescent="0.25"/>
  <cols>
    <col min="1" max="1" width="6.28515625" customWidth="1"/>
    <col min="2" max="2" width="30.85546875" customWidth="1"/>
    <col min="3" max="3" width="14.28515625" customWidth="1"/>
    <col min="4" max="4" width="15.28515625" customWidth="1"/>
    <col min="5" max="5" width="13.7109375" customWidth="1"/>
    <col min="6" max="6" width="13.28515625" customWidth="1"/>
    <col min="7" max="7" width="11.5703125" customWidth="1"/>
    <col min="8" max="8" width="13.7109375" customWidth="1"/>
    <col min="9" max="9" width="9.140625" customWidth="1"/>
    <col min="10" max="10" width="10.7109375" customWidth="1"/>
    <col min="11" max="11" width="27.28515625" customWidth="1"/>
    <col min="12" max="12" width="19.140625" customWidth="1"/>
    <col min="15" max="15" width="22.28515625" customWidth="1"/>
    <col min="20" max="20" width="11.7109375" customWidth="1"/>
  </cols>
  <sheetData>
    <row r="2" spans="2:9" ht="23.25" x14ac:dyDescent="0.35">
      <c r="B2" s="14" t="s">
        <v>32</v>
      </c>
    </row>
    <row r="5" spans="2:9" x14ac:dyDescent="0.25">
      <c r="B5" s="11" t="s">
        <v>18</v>
      </c>
      <c r="C5" s="12"/>
      <c r="D5" s="12"/>
      <c r="E5" s="12"/>
      <c r="F5" s="12"/>
      <c r="G5" s="12"/>
      <c r="H5" s="12"/>
    </row>
    <row r="6" spans="2:9" x14ac:dyDescent="0.25">
      <c r="B6" s="8" t="s">
        <v>22</v>
      </c>
      <c r="C6" s="8">
        <v>0.114</v>
      </c>
      <c r="D6" s="8"/>
      <c r="E6" s="8"/>
      <c r="F6" s="8"/>
      <c r="G6" s="8"/>
      <c r="H6" s="8"/>
    </row>
    <row r="7" spans="2:9" x14ac:dyDescent="0.25">
      <c r="B7" s="8" t="s">
        <v>19</v>
      </c>
      <c r="C7" s="9">
        <f>PI()*(C6/2)^2</f>
        <v>1.0207034531513238E-2</v>
      </c>
      <c r="D7" s="8"/>
      <c r="E7" s="8"/>
      <c r="F7" s="8"/>
      <c r="G7" s="8"/>
      <c r="H7" s="8"/>
    </row>
    <row r="8" spans="2:9" x14ac:dyDescent="0.25">
      <c r="B8" s="9" t="s">
        <v>20</v>
      </c>
      <c r="C8" s="8">
        <v>997</v>
      </c>
      <c r="D8" s="8"/>
      <c r="E8" s="8"/>
      <c r="F8" s="8"/>
      <c r="G8" s="8"/>
      <c r="H8" s="8"/>
    </row>
    <row r="9" spans="2:9" x14ac:dyDescent="0.25">
      <c r="B9" s="8" t="s">
        <v>21</v>
      </c>
      <c r="C9" s="8">
        <v>9.82</v>
      </c>
      <c r="D9" s="8"/>
      <c r="E9" s="8"/>
      <c r="F9" s="8"/>
      <c r="G9" s="8"/>
      <c r="H9" s="8"/>
    </row>
    <row r="10" spans="2:9" x14ac:dyDescent="0.25">
      <c r="B10" s="7" t="s">
        <v>26</v>
      </c>
      <c r="C10" s="8"/>
      <c r="D10" s="7">
        <v>5.8999999999999997E-2</v>
      </c>
      <c r="E10" s="7">
        <v>7.3499999999999996E-2</v>
      </c>
      <c r="F10" s="7">
        <v>0.11650000000000001</v>
      </c>
      <c r="G10" s="7">
        <v>0.14299999999999999</v>
      </c>
      <c r="H10" s="7">
        <v>0.155</v>
      </c>
      <c r="I10" s="16">
        <v>0.09</v>
      </c>
    </row>
    <row r="11" spans="2:9" x14ac:dyDescent="0.25">
      <c r="B11" s="8" t="s">
        <v>24</v>
      </c>
      <c r="C11" s="9" t="s">
        <v>23</v>
      </c>
      <c r="D11" s="8">
        <f>(C8*C7*D10*C9)/C7</f>
        <v>577.64185999999984</v>
      </c>
      <c r="E11" s="8">
        <f>(C8*C7*E10*C9)/C7</f>
        <v>719.60468999999989</v>
      </c>
      <c r="F11" s="8">
        <f>(C8*C7*F10*C9)/C7</f>
        <v>1140.5979100000002</v>
      </c>
      <c r="G11" s="8">
        <f>(C8*C7*G10*C9)/C7</f>
        <v>1400.0472199999999</v>
      </c>
      <c r="H11" s="8">
        <f>(C8*C7*H10*C9)/C7</f>
        <v>1517.5337</v>
      </c>
      <c r="I11">
        <f>(C8*C7*I10*C9)/C7</f>
        <v>881.14859999999987</v>
      </c>
    </row>
    <row r="12" spans="2:9" x14ac:dyDescent="0.25">
      <c r="B12" s="10" t="s">
        <v>25</v>
      </c>
      <c r="C12" s="10"/>
      <c r="D12" s="10">
        <v>4.33</v>
      </c>
      <c r="E12" s="10">
        <v>5.4</v>
      </c>
      <c r="F12" s="10">
        <v>8.56</v>
      </c>
      <c r="G12" s="10">
        <v>10.5</v>
      </c>
      <c r="H12" s="10">
        <v>11.38</v>
      </c>
      <c r="I12" s="15">
        <v>6.61</v>
      </c>
    </row>
    <row r="18" spans="2:8" x14ac:dyDescent="0.25">
      <c r="B18" s="11" t="s">
        <v>27</v>
      </c>
      <c r="C18" s="12"/>
      <c r="D18" s="12"/>
      <c r="E18" s="12"/>
      <c r="F18" s="12"/>
      <c r="G18" s="12"/>
      <c r="H18" s="12"/>
    </row>
    <row r="19" spans="2:8" x14ac:dyDescent="0.25">
      <c r="B19" s="8" t="s">
        <v>25</v>
      </c>
      <c r="C19" s="8">
        <v>4.33</v>
      </c>
      <c r="D19" s="8">
        <v>5.4</v>
      </c>
      <c r="E19" s="8">
        <v>8.56</v>
      </c>
      <c r="F19" s="8">
        <v>10.5</v>
      </c>
      <c r="G19" s="8">
        <v>11.38</v>
      </c>
      <c r="H19" s="15">
        <v>100</v>
      </c>
    </row>
    <row r="20" spans="2:8" x14ac:dyDescent="0.25">
      <c r="B20" s="10" t="s">
        <v>28</v>
      </c>
      <c r="C20" s="10">
        <f>20*10^-3</f>
        <v>0.02</v>
      </c>
      <c r="D20" s="10">
        <f>31*10^-3</f>
        <v>3.1E-2</v>
      </c>
      <c r="E20" s="10">
        <f>64*10^-3</f>
        <v>6.4000000000000001E-2</v>
      </c>
      <c r="F20" s="10">
        <f>83*10^-3</f>
        <v>8.3000000000000004E-2</v>
      </c>
      <c r="G20" s="10">
        <f>92.5*10^-3</f>
        <v>9.2499999999999999E-2</v>
      </c>
      <c r="H20" s="10">
        <f>945*10^-3</f>
        <v>0.94500000000000006</v>
      </c>
    </row>
    <row r="23" spans="2:8" x14ac:dyDescent="0.25">
      <c r="C23">
        <v>20</v>
      </c>
      <c r="D23">
        <v>40</v>
      </c>
      <c r="E23">
        <v>60</v>
      </c>
      <c r="F23">
        <v>80</v>
      </c>
      <c r="G23">
        <v>100</v>
      </c>
      <c r="H23">
        <v>120</v>
      </c>
    </row>
    <row r="24" spans="2:8" x14ac:dyDescent="0.25">
      <c r="B24" t="s">
        <v>34</v>
      </c>
      <c r="C24" t="s">
        <v>35</v>
      </c>
    </row>
    <row r="26" spans="2:8" x14ac:dyDescent="0.25">
      <c r="C26">
        <f>1/((5*10^-6)*5)</f>
        <v>40000</v>
      </c>
    </row>
    <row r="27" spans="2:8" x14ac:dyDescent="0.25">
      <c r="C27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C8" sqref="C8"/>
    </sheetView>
  </sheetViews>
  <sheetFormatPr defaultRowHeight="15" x14ac:dyDescent="0.25"/>
  <sheetData>
    <row r="1" spans="1:7" x14ac:dyDescent="0.25">
      <c r="A1" s="11" t="s">
        <v>18</v>
      </c>
      <c r="B1" s="12"/>
      <c r="C1" s="12"/>
      <c r="D1" s="12"/>
      <c r="E1" s="12"/>
      <c r="F1" s="12"/>
      <c r="G1" s="12"/>
    </row>
    <row r="2" spans="1:7" x14ac:dyDescent="0.25">
      <c r="A2" s="8" t="s">
        <v>22</v>
      </c>
      <c r="B2" s="8">
        <v>0.114</v>
      </c>
      <c r="C2" s="8"/>
      <c r="D2" s="8"/>
      <c r="E2" s="8"/>
      <c r="F2" s="8"/>
      <c r="G2" s="8"/>
    </row>
    <row r="3" spans="1:7" x14ac:dyDescent="0.25">
      <c r="A3" s="8" t="s">
        <v>19</v>
      </c>
      <c r="B3" s="9">
        <f>PI()*(B2/2)^2</f>
        <v>1.0207034531513238E-2</v>
      </c>
      <c r="C3" s="8"/>
      <c r="D3" s="8"/>
      <c r="E3" s="8"/>
      <c r="F3" s="8"/>
      <c r="G3" s="8"/>
    </row>
    <row r="4" spans="1:7" x14ac:dyDescent="0.25">
      <c r="A4" s="9" t="s">
        <v>20</v>
      </c>
      <c r="B4" s="8">
        <v>997</v>
      </c>
      <c r="C4" s="8"/>
      <c r="D4" s="8"/>
      <c r="E4" s="8"/>
      <c r="F4" s="8"/>
      <c r="G4" s="8"/>
    </row>
    <row r="5" spans="1:7" x14ac:dyDescent="0.25">
      <c r="A5" s="8" t="s">
        <v>21</v>
      </c>
      <c r="B5" s="8">
        <v>9.82</v>
      </c>
      <c r="C5" s="8"/>
      <c r="D5" s="8"/>
      <c r="E5" s="8"/>
      <c r="F5" s="8"/>
      <c r="G5" s="8"/>
    </row>
    <row r="6" spans="1:7" x14ac:dyDescent="0.25">
      <c r="A6" s="7" t="s">
        <v>26</v>
      </c>
      <c r="B6" s="8"/>
      <c r="C6" s="7">
        <v>0.09</v>
      </c>
      <c r="D6" s="7">
        <v>0.12</v>
      </c>
      <c r="E6" s="7">
        <v>0.15</v>
      </c>
      <c r="F6" s="7"/>
      <c r="G6" s="7"/>
    </row>
    <row r="7" spans="1:7" x14ac:dyDescent="0.25">
      <c r="A7" s="8" t="s">
        <v>24</v>
      </c>
      <c r="B7" s="9" t="s">
        <v>23</v>
      </c>
      <c r="C7" s="8">
        <f>(B4*B3*C6*B5)/B3</f>
        <v>881.14859999999987</v>
      </c>
      <c r="D7" s="8">
        <f>(B4*B3*D6*B5)/B3</f>
        <v>1174.8647999999998</v>
      </c>
      <c r="E7" s="8">
        <f>(B4*B3*E6*B5)/B3</f>
        <v>1468.5809999999999</v>
      </c>
      <c r="F7" s="8"/>
      <c r="G7" s="8"/>
    </row>
    <row r="8" spans="1:7" x14ac:dyDescent="0.25">
      <c r="A8" s="10" t="s">
        <v>25</v>
      </c>
      <c r="B8" s="10"/>
      <c r="C8" s="10">
        <v>6.61</v>
      </c>
      <c r="D8" s="10">
        <v>8.81</v>
      </c>
      <c r="E8" s="10">
        <v>11.02</v>
      </c>
      <c r="F8" s="10"/>
      <c r="G8" s="10"/>
    </row>
    <row r="14" spans="1:7" x14ac:dyDescent="0.25">
      <c r="A14" s="11" t="s">
        <v>27</v>
      </c>
      <c r="B14" s="12"/>
      <c r="C14" s="12"/>
      <c r="D14" s="12"/>
      <c r="E14" s="12"/>
      <c r="F14" s="12"/>
      <c r="G14" s="12"/>
    </row>
    <row r="15" spans="1:7" x14ac:dyDescent="0.25">
      <c r="A15" s="8" t="s">
        <v>25</v>
      </c>
      <c r="B15" s="8"/>
      <c r="C15" s="8"/>
      <c r="D15" s="8"/>
      <c r="E15" s="8"/>
      <c r="F15" s="8"/>
      <c r="G15" s="15"/>
    </row>
    <row r="16" spans="1:7" x14ac:dyDescent="0.25">
      <c r="A16" s="10" t="s">
        <v>28</v>
      </c>
      <c r="C16" s="10">
        <f>45*10^-3-K18</f>
        <v>6.4500000000000002E-2</v>
      </c>
      <c r="D16" s="10">
        <f>67.5*10^-3-K18</f>
        <v>8.7000000000000008E-2</v>
      </c>
      <c r="E16" s="10">
        <f>89*10^-3-K18</f>
        <v>0.1085</v>
      </c>
      <c r="F16" s="10"/>
      <c r="G16" s="10"/>
    </row>
    <row r="17" spans="1:11" x14ac:dyDescent="0.25">
      <c r="K17" t="s">
        <v>39</v>
      </c>
    </row>
    <row r="18" spans="1:11" x14ac:dyDescent="0.25">
      <c r="A18" t="s">
        <v>37</v>
      </c>
      <c r="I18" t="s">
        <v>40</v>
      </c>
      <c r="K18">
        <f>-19.5*10^-3</f>
        <v>-1.95E-2</v>
      </c>
    </row>
    <row r="19" spans="1:11" x14ac:dyDescent="0.25">
      <c r="A19" t="s">
        <v>38</v>
      </c>
      <c r="C19">
        <f>1.9+4.5</f>
        <v>6.4</v>
      </c>
      <c r="D19">
        <f>6.78+K19</f>
        <v>8.68</v>
      </c>
      <c r="E19">
        <f>9.05+K19</f>
        <v>10.950000000000001</v>
      </c>
      <c r="I19" t="s">
        <v>41</v>
      </c>
      <c r="K19">
        <v>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opLeftCell="A42" workbookViewId="0">
      <selection activeCell="I52" sqref="I52"/>
    </sheetView>
  </sheetViews>
  <sheetFormatPr defaultRowHeight="15" x14ac:dyDescent="0.25"/>
  <cols>
    <col min="1" max="1" width="3.28515625" customWidth="1"/>
    <col min="2" max="2" width="13.5703125" customWidth="1"/>
    <col min="3" max="3" width="17" customWidth="1"/>
    <col min="4" max="4" width="16.85546875" customWidth="1"/>
    <col min="5" max="5" width="17.140625" customWidth="1"/>
    <col min="6" max="6" width="13.7109375" customWidth="1"/>
    <col min="7" max="7" width="19" customWidth="1"/>
    <col min="8" max="8" width="15.85546875" customWidth="1"/>
  </cols>
  <sheetData>
    <row r="1" spans="2:8" ht="26.25" x14ac:dyDescent="0.4">
      <c r="B1" s="6" t="s">
        <v>17</v>
      </c>
    </row>
    <row r="3" spans="2:8" x14ac:dyDescent="0.25">
      <c r="B3" s="2" t="s">
        <v>14</v>
      </c>
      <c r="C3" s="2" t="s">
        <v>10</v>
      </c>
      <c r="D3" s="2" t="s">
        <v>9</v>
      </c>
      <c r="E3" s="2" t="s">
        <v>11</v>
      </c>
      <c r="F3" s="2" t="s">
        <v>12</v>
      </c>
      <c r="G3" s="2" t="s">
        <v>16</v>
      </c>
      <c r="H3" s="2" t="s">
        <v>13</v>
      </c>
    </row>
    <row r="4" spans="2:8" x14ac:dyDescent="0.25">
      <c r="B4" s="3">
        <v>1</v>
      </c>
      <c r="C4" s="3">
        <v>6.0000000000000001E-3</v>
      </c>
      <c r="D4" s="3">
        <f>(4.74/2)</f>
        <v>2.37</v>
      </c>
      <c r="E4" s="3">
        <f>20*LOG(D4)</f>
        <v>7.4949669202020779</v>
      </c>
      <c r="F4" s="3">
        <f>D4/C4</f>
        <v>395</v>
      </c>
      <c r="G4" s="3">
        <v>0</v>
      </c>
      <c r="H4" s="3">
        <f>-360*B4*G4*10^-3</f>
        <v>0</v>
      </c>
    </row>
    <row r="5" spans="2:8" x14ac:dyDescent="0.25">
      <c r="B5">
        <v>1</v>
      </c>
      <c r="C5">
        <v>7.0000000000000001E-3</v>
      </c>
      <c r="D5">
        <f>(5.55/2)</f>
        <v>2.7749999999999999</v>
      </c>
      <c r="E5" s="4">
        <f t="shared" ref="E5:E11" si="0">20*LOG(D5)</f>
        <v>8.8652597491738998</v>
      </c>
      <c r="F5" s="4">
        <f t="shared" ref="F5:F11" si="1">D5/C5</f>
        <v>396.42857142857139</v>
      </c>
      <c r="G5">
        <v>0</v>
      </c>
      <c r="H5" s="4">
        <f t="shared" ref="H5:H11" si="2">-360*B5*G5*10^-3</f>
        <v>0</v>
      </c>
    </row>
    <row r="6" spans="2:8" x14ac:dyDescent="0.25">
      <c r="B6" s="3">
        <v>10</v>
      </c>
      <c r="C6" s="3">
        <v>6.0000000000000001E-3</v>
      </c>
      <c r="D6" s="3">
        <f>(4.75/2)</f>
        <v>2.375</v>
      </c>
      <c r="E6" s="3">
        <f t="shared" si="0"/>
        <v>7.5132722792177074</v>
      </c>
      <c r="F6" s="3">
        <f t="shared" si="1"/>
        <v>395.83333333333331</v>
      </c>
      <c r="G6" s="3">
        <v>4</v>
      </c>
      <c r="H6" s="3">
        <f t="shared" si="2"/>
        <v>-14.4</v>
      </c>
    </row>
    <row r="7" spans="2:8" x14ac:dyDescent="0.25">
      <c r="B7">
        <v>10</v>
      </c>
      <c r="C7">
        <v>7.0000000000000001E-3</v>
      </c>
      <c r="D7">
        <f>(5.55/2)</f>
        <v>2.7749999999999999</v>
      </c>
      <c r="E7" s="4">
        <f t="shared" si="0"/>
        <v>8.8652597491738998</v>
      </c>
      <c r="F7" s="4">
        <f t="shared" si="1"/>
        <v>396.42857142857139</v>
      </c>
      <c r="G7">
        <v>4</v>
      </c>
      <c r="H7" s="4">
        <f t="shared" si="2"/>
        <v>-14.4</v>
      </c>
    </row>
    <row r="8" spans="2:8" x14ac:dyDescent="0.25">
      <c r="B8" s="3">
        <v>20</v>
      </c>
      <c r="C8" s="3">
        <v>6.0000000000000001E-3</v>
      </c>
      <c r="D8" s="3">
        <f>(4.75/2)</f>
        <v>2.375</v>
      </c>
      <c r="E8" s="3">
        <f t="shared" si="0"/>
        <v>7.5132722792177074</v>
      </c>
      <c r="F8" s="3">
        <f t="shared" si="1"/>
        <v>395.83333333333331</v>
      </c>
      <c r="G8" s="3">
        <v>5</v>
      </c>
      <c r="H8" s="3">
        <f t="shared" si="2"/>
        <v>-36</v>
      </c>
    </row>
    <row r="9" spans="2:8" x14ac:dyDescent="0.25">
      <c r="B9">
        <v>20</v>
      </c>
      <c r="C9">
        <v>7.0000000000000001E-3</v>
      </c>
      <c r="D9">
        <f>(5.4/2)</f>
        <v>2.7</v>
      </c>
      <c r="E9" s="4">
        <f t="shared" si="0"/>
        <v>8.6272752831797472</v>
      </c>
      <c r="F9" s="4">
        <f t="shared" si="1"/>
        <v>385.71428571428572</v>
      </c>
      <c r="G9">
        <v>5</v>
      </c>
      <c r="H9" s="4">
        <f t="shared" si="2"/>
        <v>-36</v>
      </c>
    </row>
    <row r="10" spans="2:8" x14ac:dyDescent="0.25">
      <c r="B10" s="3">
        <v>25</v>
      </c>
      <c r="C10" s="3">
        <v>6.0000000000000001E-3</v>
      </c>
      <c r="D10" s="3">
        <f>4.6/2</f>
        <v>2.2999999999999998</v>
      </c>
      <c r="E10" s="3">
        <f t="shared" si="0"/>
        <v>7.2345567203518568</v>
      </c>
      <c r="F10" s="3">
        <f t="shared" si="1"/>
        <v>383.33333333333331</v>
      </c>
      <c r="G10" s="3">
        <v>4.5999999999999996</v>
      </c>
      <c r="H10" s="3">
        <f t="shared" si="2"/>
        <v>-41.4</v>
      </c>
    </row>
    <row r="11" spans="2:8" x14ac:dyDescent="0.25">
      <c r="B11">
        <v>25</v>
      </c>
      <c r="C11">
        <v>7.0000000000000001E-3</v>
      </c>
      <c r="D11">
        <f>5.4/2</f>
        <v>2.7</v>
      </c>
      <c r="E11" s="4">
        <f t="shared" si="0"/>
        <v>8.6272752831797472</v>
      </c>
      <c r="F11" s="4">
        <f t="shared" si="1"/>
        <v>385.71428571428572</v>
      </c>
      <c r="G11">
        <v>4.5999999999999996</v>
      </c>
      <c r="H11" s="4">
        <f t="shared" si="2"/>
        <v>-41.4</v>
      </c>
    </row>
    <row r="12" spans="2:8" x14ac:dyDescent="0.25">
      <c r="B12" s="3">
        <v>35</v>
      </c>
      <c r="C12" s="3">
        <v>6.0000000000000001E-3</v>
      </c>
      <c r="D12" s="3">
        <v>2.16</v>
      </c>
      <c r="E12" s="3">
        <f>20*LOG10(D12)</f>
        <v>6.689075023018618</v>
      </c>
      <c r="F12" s="3">
        <f>D12/C12</f>
        <v>360</v>
      </c>
      <c r="G12" s="3">
        <v>4.8</v>
      </c>
      <c r="H12" s="3">
        <f>-360*B12*G12*10^-3</f>
        <v>-60.480000000000004</v>
      </c>
    </row>
    <row r="13" spans="2:8" x14ac:dyDescent="0.25">
      <c r="B13">
        <v>35</v>
      </c>
      <c r="C13">
        <v>7.0000000000000001E-3</v>
      </c>
      <c r="D13">
        <v>2.6</v>
      </c>
      <c r="E13">
        <f t="shared" ref="E13:E33" si="3">20*LOG10(D13)</f>
        <v>8.2994669594163604</v>
      </c>
      <c r="F13">
        <f t="shared" ref="F13:F35" si="4">D13/C13</f>
        <v>371.42857142857144</v>
      </c>
      <c r="G13">
        <v>4.8</v>
      </c>
      <c r="H13" s="4">
        <f t="shared" ref="H13:H33" si="5">-360*B13*G13*10^-3</f>
        <v>-60.480000000000004</v>
      </c>
    </row>
    <row r="14" spans="2:8" x14ac:dyDescent="0.25">
      <c r="B14" s="3">
        <v>40</v>
      </c>
      <c r="C14" s="3">
        <v>6.0000000000000001E-3</v>
      </c>
      <c r="D14" s="3">
        <v>2.0299999999999998</v>
      </c>
      <c r="E14" s="3">
        <f t="shared" si="3"/>
        <v>6.1499207582642583</v>
      </c>
      <c r="F14" s="3">
        <f t="shared" si="4"/>
        <v>338.33333333333331</v>
      </c>
      <c r="G14" s="3">
        <v>4.5</v>
      </c>
      <c r="H14" s="3">
        <f t="shared" si="5"/>
        <v>-64.8</v>
      </c>
    </row>
    <row r="15" spans="2:8" x14ac:dyDescent="0.25">
      <c r="B15">
        <v>40</v>
      </c>
      <c r="C15">
        <v>7.0000000000000001E-3</v>
      </c>
      <c r="D15">
        <v>2.37</v>
      </c>
      <c r="E15">
        <f t="shared" si="3"/>
        <v>7.4949669202020779</v>
      </c>
      <c r="F15">
        <f t="shared" si="4"/>
        <v>338.57142857142856</v>
      </c>
      <c r="G15">
        <v>4.5</v>
      </c>
      <c r="H15" s="4">
        <f t="shared" si="5"/>
        <v>-64.8</v>
      </c>
    </row>
    <row r="16" spans="2:8" x14ac:dyDescent="0.25">
      <c r="B16" s="3">
        <v>45</v>
      </c>
      <c r="C16" s="3">
        <v>6.0000000000000001E-3</v>
      </c>
      <c r="D16" s="3">
        <v>1.9</v>
      </c>
      <c r="E16" s="3">
        <f t="shared" si="3"/>
        <v>5.5750720190565781</v>
      </c>
      <c r="F16" s="3">
        <f t="shared" si="4"/>
        <v>316.66666666666663</v>
      </c>
      <c r="G16" s="3">
        <v>4.7</v>
      </c>
      <c r="H16" s="3">
        <f t="shared" si="5"/>
        <v>-76.14</v>
      </c>
    </row>
    <row r="17" spans="2:8" x14ac:dyDescent="0.25">
      <c r="B17">
        <v>45</v>
      </c>
      <c r="C17">
        <v>7.0000000000000001E-3</v>
      </c>
      <c r="D17">
        <v>2.21</v>
      </c>
      <c r="E17">
        <f t="shared" si="3"/>
        <v>6.8878454737022139</v>
      </c>
      <c r="F17">
        <f t="shared" si="4"/>
        <v>315.71428571428572</v>
      </c>
      <c r="G17">
        <v>4.7</v>
      </c>
      <c r="H17" s="4">
        <f t="shared" si="5"/>
        <v>-76.14</v>
      </c>
    </row>
    <row r="18" spans="2:8" x14ac:dyDescent="0.25">
      <c r="B18" s="3">
        <v>50</v>
      </c>
      <c r="C18" s="3">
        <v>6.0000000000000001E-3</v>
      </c>
      <c r="D18" s="3">
        <v>1.73</v>
      </c>
      <c r="E18" s="3">
        <f t="shared" si="3"/>
        <v>4.7609220625759079</v>
      </c>
      <c r="F18" s="3">
        <f t="shared" si="4"/>
        <v>288.33333333333331</v>
      </c>
      <c r="G18" s="3">
        <v>4.4000000000000004</v>
      </c>
      <c r="H18" s="3">
        <f t="shared" si="5"/>
        <v>-79.2</v>
      </c>
    </row>
    <row r="19" spans="2:8" x14ac:dyDescent="0.25">
      <c r="B19">
        <v>50</v>
      </c>
      <c r="C19">
        <v>7.0000000000000001E-3</v>
      </c>
      <c r="D19">
        <v>2.02</v>
      </c>
      <c r="E19">
        <f t="shared" si="3"/>
        <v>6.107027388932476</v>
      </c>
      <c r="F19">
        <f t="shared" si="4"/>
        <v>288.57142857142856</v>
      </c>
      <c r="G19">
        <v>4.4000000000000004</v>
      </c>
      <c r="H19" s="4">
        <f t="shared" si="5"/>
        <v>-79.2</v>
      </c>
    </row>
    <row r="20" spans="2:8" x14ac:dyDescent="0.25">
      <c r="B20" s="3">
        <v>55</v>
      </c>
      <c r="C20" s="3">
        <v>6.0000000000000001E-3</v>
      </c>
      <c r="D20" s="3">
        <v>1.55</v>
      </c>
      <c r="E20" s="3">
        <f t="shared" si="3"/>
        <v>3.8066339634058299</v>
      </c>
      <c r="F20" s="3">
        <f t="shared" si="4"/>
        <v>258.33333333333331</v>
      </c>
      <c r="G20" s="3">
        <v>4.7</v>
      </c>
      <c r="H20" s="3">
        <f t="shared" si="5"/>
        <v>-93.06</v>
      </c>
    </row>
    <row r="21" spans="2:8" x14ac:dyDescent="0.25">
      <c r="B21">
        <v>55</v>
      </c>
      <c r="C21">
        <v>7.0000000000000001E-3</v>
      </c>
      <c r="D21">
        <v>1.82</v>
      </c>
      <c r="E21">
        <f t="shared" si="3"/>
        <v>5.2014277597014953</v>
      </c>
      <c r="F21">
        <f t="shared" si="4"/>
        <v>260</v>
      </c>
      <c r="G21">
        <v>4.7</v>
      </c>
      <c r="H21" s="4">
        <f t="shared" si="5"/>
        <v>-93.06</v>
      </c>
    </row>
    <row r="22" spans="2:8" x14ac:dyDescent="0.25">
      <c r="B22" s="3">
        <v>60</v>
      </c>
      <c r="C22" s="3">
        <v>6.0000000000000001E-3</v>
      </c>
      <c r="D22" s="3">
        <v>1.41</v>
      </c>
      <c r="E22" s="3">
        <f t="shared" si="3"/>
        <v>2.9843822531075976</v>
      </c>
      <c r="F22" s="3">
        <f t="shared" si="4"/>
        <v>234.99999999999997</v>
      </c>
      <c r="G22" s="3">
        <v>4.4000000000000004</v>
      </c>
      <c r="H22" s="3">
        <f t="shared" si="5"/>
        <v>-95.04000000000002</v>
      </c>
    </row>
    <row r="23" spans="2:8" x14ac:dyDescent="0.25">
      <c r="B23">
        <v>60</v>
      </c>
      <c r="C23">
        <v>7.0000000000000001E-3</v>
      </c>
      <c r="D23">
        <v>1.64</v>
      </c>
      <c r="E23">
        <f t="shared" si="3"/>
        <v>4.2968769609539574</v>
      </c>
      <c r="F23">
        <f t="shared" si="4"/>
        <v>234.28571428571428</v>
      </c>
      <c r="G23">
        <v>4.4000000000000004</v>
      </c>
      <c r="H23" s="4">
        <f t="shared" si="5"/>
        <v>-95.04000000000002</v>
      </c>
    </row>
    <row r="24" spans="2:8" x14ac:dyDescent="0.25">
      <c r="B24" s="3">
        <v>70</v>
      </c>
      <c r="C24" s="3">
        <v>6.0000000000000001E-3</v>
      </c>
      <c r="D24" s="3">
        <f>2.25/2</f>
        <v>1.125</v>
      </c>
      <c r="E24" s="3">
        <f t="shared" si="3"/>
        <v>1.0230504489476258</v>
      </c>
      <c r="F24" s="3">
        <f t="shared" si="4"/>
        <v>187.5</v>
      </c>
      <c r="G24" s="3">
        <v>4.5</v>
      </c>
      <c r="H24" s="3">
        <f t="shared" si="5"/>
        <v>-113.4</v>
      </c>
    </row>
    <row r="25" spans="2:8" x14ac:dyDescent="0.25">
      <c r="B25">
        <v>70</v>
      </c>
      <c r="C25">
        <v>7.0000000000000001E-3</v>
      </c>
      <c r="D25">
        <f>2.6/2</f>
        <v>1.3</v>
      </c>
      <c r="E25">
        <f t="shared" si="3"/>
        <v>2.2788670461367357</v>
      </c>
      <c r="F25">
        <f t="shared" si="4"/>
        <v>185.71428571428572</v>
      </c>
      <c r="G25">
        <v>4.5</v>
      </c>
      <c r="H25" s="4">
        <f t="shared" si="5"/>
        <v>-113.4</v>
      </c>
    </row>
    <row r="26" spans="2:8" x14ac:dyDescent="0.25">
      <c r="B26" s="5">
        <v>90</v>
      </c>
      <c r="C26" s="5">
        <v>6.0000000000000001E-3</v>
      </c>
      <c r="D26" s="5">
        <f>1.45/2</f>
        <v>0.72499999999999998</v>
      </c>
      <c r="E26" s="3">
        <f t="shared" si="3"/>
        <v>-2.7932398685801263</v>
      </c>
      <c r="F26" s="3">
        <f t="shared" si="4"/>
        <v>120.83333333333333</v>
      </c>
      <c r="G26" s="5">
        <v>4.1500000000000004</v>
      </c>
      <c r="H26" s="5">
        <f t="shared" si="5"/>
        <v>-134.46</v>
      </c>
    </row>
    <row r="27" spans="2:8" x14ac:dyDescent="0.25">
      <c r="B27">
        <v>90</v>
      </c>
      <c r="C27">
        <v>7.0000000000000001E-3</v>
      </c>
      <c r="D27">
        <f>1.7/2</f>
        <v>0.85</v>
      </c>
      <c r="E27">
        <f t="shared" si="3"/>
        <v>-1.4116214857141456</v>
      </c>
      <c r="F27">
        <f t="shared" si="4"/>
        <v>121.42857142857142</v>
      </c>
      <c r="G27">
        <v>4.1500000000000004</v>
      </c>
      <c r="H27" s="4">
        <f t="shared" si="5"/>
        <v>-134.46</v>
      </c>
    </row>
    <row r="28" spans="2:8" x14ac:dyDescent="0.25">
      <c r="B28" s="3">
        <v>100</v>
      </c>
      <c r="C28" s="3">
        <v>6.0000000000000001E-3</v>
      </c>
      <c r="D28" s="3">
        <f>1.25/2</f>
        <v>0.625</v>
      </c>
      <c r="E28" s="3">
        <f t="shared" si="3"/>
        <v>-4.0823996531184958</v>
      </c>
      <c r="F28" s="3">
        <f t="shared" si="4"/>
        <v>104.16666666666667</v>
      </c>
      <c r="G28" s="3">
        <v>3.8</v>
      </c>
      <c r="H28" s="3">
        <f t="shared" si="5"/>
        <v>-136.80000000000001</v>
      </c>
    </row>
    <row r="29" spans="2:8" x14ac:dyDescent="0.25">
      <c r="B29">
        <v>100</v>
      </c>
      <c r="C29">
        <v>7.0000000000000001E-3</v>
      </c>
      <c r="D29">
        <f>1.4/2</f>
        <v>0.7</v>
      </c>
      <c r="E29">
        <f t="shared" si="3"/>
        <v>-3.0980391997148637</v>
      </c>
      <c r="F29">
        <f t="shared" si="4"/>
        <v>99.999999999999986</v>
      </c>
      <c r="G29">
        <v>3.8</v>
      </c>
      <c r="H29" s="4">
        <f t="shared" si="5"/>
        <v>-136.80000000000001</v>
      </c>
    </row>
    <row r="30" spans="2:8" x14ac:dyDescent="0.25">
      <c r="B30" s="3">
        <v>200</v>
      </c>
      <c r="C30" s="3">
        <v>6.0000000000000001E-3</v>
      </c>
      <c r="D30" s="3">
        <f>(3.25/2)*10^-3</f>
        <v>1.6250000000000001E-3</v>
      </c>
      <c r="E30" s="3">
        <f t="shared" si="3"/>
        <v>-55.782932693702136</v>
      </c>
      <c r="F30" s="3">
        <f t="shared" si="4"/>
        <v>0.27083333333333337</v>
      </c>
      <c r="G30" s="3">
        <v>2.1800000000000002</v>
      </c>
      <c r="H30" s="3">
        <f t="shared" si="5"/>
        <v>-156.96</v>
      </c>
    </row>
    <row r="31" spans="2:8" x14ac:dyDescent="0.25">
      <c r="B31">
        <v>200</v>
      </c>
      <c r="C31">
        <v>7.0000000000000001E-3</v>
      </c>
      <c r="D31">
        <f>(3.65/2)*10^-3</f>
        <v>1.825E-3</v>
      </c>
      <c r="E31">
        <f t="shared" si="3"/>
        <v>-54.774742624150136</v>
      </c>
      <c r="F31">
        <f t="shared" si="4"/>
        <v>0.26071428571428573</v>
      </c>
      <c r="G31">
        <v>2.1800000000000002</v>
      </c>
      <c r="H31" s="4">
        <f t="shared" si="5"/>
        <v>-156.96</v>
      </c>
    </row>
    <row r="32" spans="2:8" x14ac:dyDescent="0.25">
      <c r="B32" s="3">
        <v>500</v>
      </c>
      <c r="C32" s="3">
        <v>6.0000000000000001E-3</v>
      </c>
      <c r="D32" s="3">
        <f>(50/2)*10^-3</f>
        <v>2.5000000000000001E-2</v>
      </c>
      <c r="E32" s="3">
        <f t="shared" si="3"/>
        <v>-32.041199826559243</v>
      </c>
      <c r="F32" s="3">
        <f t="shared" si="4"/>
        <v>4.166666666666667</v>
      </c>
      <c r="G32" s="3">
        <v>1.01</v>
      </c>
      <c r="H32" s="3">
        <f t="shared" si="5"/>
        <v>-181.8</v>
      </c>
    </row>
    <row r="33" spans="2:8" x14ac:dyDescent="0.25">
      <c r="B33">
        <v>500</v>
      </c>
      <c r="C33">
        <v>7.0000000000000001E-3</v>
      </c>
      <c r="D33">
        <f>(60/2)*10^-3</f>
        <v>0.03</v>
      </c>
      <c r="E33">
        <f t="shared" si="3"/>
        <v>-30.457574905606752</v>
      </c>
      <c r="F33">
        <f t="shared" si="4"/>
        <v>4.2857142857142856</v>
      </c>
      <c r="G33">
        <v>1.01</v>
      </c>
      <c r="H33" s="4">
        <f t="shared" si="5"/>
        <v>-181.8</v>
      </c>
    </row>
    <row r="34" spans="2:8" x14ac:dyDescent="0.25">
      <c r="B34" s="3">
        <v>1000</v>
      </c>
      <c r="C34" s="3">
        <v>6.0000000000000001E-3</v>
      </c>
      <c r="D34" s="3">
        <f>(20/2)*10^-3</f>
        <v>0.01</v>
      </c>
      <c r="E34" s="3">
        <f>20*LOG10(D34)</f>
        <v>-40</v>
      </c>
      <c r="F34" s="3">
        <f t="shared" si="4"/>
        <v>1.6666666666666667</v>
      </c>
      <c r="G34" s="3">
        <v>0</v>
      </c>
      <c r="H34" s="3">
        <f>-180</f>
        <v>-180</v>
      </c>
    </row>
    <row r="35" spans="2:8" x14ac:dyDescent="0.25">
      <c r="B35">
        <v>1000</v>
      </c>
      <c r="C35">
        <v>7.0000000000000001E-3</v>
      </c>
      <c r="D35">
        <f>(28/2)*10^-3</f>
        <v>1.4E-2</v>
      </c>
      <c r="E35">
        <f>20*LOG10(D35)</f>
        <v>-37.077439286435244</v>
      </c>
      <c r="F35">
        <f t="shared" si="4"/>
        <v>2</v>
      </c>
      <c r="G35">
        <v>0</v>
      </c>
      <c r="H35">
        <v>-180</v>
      </c>
    </row>
    <row r="36" spans="2:8" x14ac:dyDescent="0.25"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I54" sqref="I54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  <col min="6" max="6" width="26.28515625" customWidth="1"/>
    <col min="7" max="7" width="15" customWidth="1"/>
  </cols>
  <sheetData>
    <row r="1" spans="1:7" ht="21" x14ac:dyDescent="0.35">
      <c r="A1" s="13" t="s">
        <v>30</v>
      </c>
    </row>
    <row r="4" spans="1:7" ht="18.75" x14ac:dyDescent="0.3">
      <c r="A4" s="1" t="s">
        <v>5</v>
      </c>
    </row>
    <row r="5" spans="1:7" x14ac:dyDescent="0.25">
      <c r="A5" s="12" t="s">
        <v>1</v>
      </c>
      <c r="B5" s="12" t="s">
        <v>3</v>
      </c>
      <c r="C5" s="12" t="s">
        <v>4</v>
      </c>
      <c r="D5" s="12" t="s">
        <v>2</v>
      </c>
      <c r="E5" s="12" t="s">
        <v>0</v>
      </c>
      <c r="F5" s="12" t="s">
        <v>15</v>
      </c>
      <c r="G5" s="12" t="s">
        <v>0</v>
      </c>
    </row>
    <row r="6" spans="1:7" x14ac:dyDescent="0.25">
      <c r="A6" s="8">
        <v>3</v>
      </c>
      <c r="B6" s="8">
        <f>3*10^-3</f>
        <v>3.0000000000000001E-3</v>
      </c>
      <c r="C6" s="8">
        <f>1.25*10^-3</f>
        <v>1.25E-3</v>
      </c>
      <c r="D6" s="8">
        <f>980*10^-3</f>
        <v>0.98</v>
      </c>
      <c r="E6" s="8">
        <f>D6/C6</f>
        <v>784</v>
      </c>
      <c r="F6" s="8">
        <f t="shared" ref="F6:F13" si="0">C6+0.0012</f>
        <v>2.4499999999999999E-3</v>
      </c>
      <c r="G6" s="8">
        <f t="shared" ref="G6:G13" si="1">D6/F6</f>
        <v>400</v>
      </c>
    </row>
    <row r="7" spans="1:7" x14ac:dyDescent="0.25">
      <c r="A7" s="8">
        <v>4</v>
      </c>
      <c r="B7" s="8">
        <f>4*10^-3</f>
        <v>4.0000000000000001E-3</v>
      </c>
      <c r="C7" s="8">
        <f>1.95*10^-3</f>
        <v>1.9499999999999999E-3</v>
      </c>
      <c r="D7" s="8">
        <v>1.3</v>
      </c>
      <c r="E7" s="8">
        <f t="shared" ref="E7:E13" si="2">D7/C7</f>
        <v>666.66666666666674</v>
      </c>
      <c r="F7" s="8">
        <f t="shared" si="0"/>
        <v>3.15E-3</v>
      </c>
      <c r="G7" s="8">
        <f t="shared" si="1"/>
        <v>412.69841269841271</v>
      </c>
    </row>
    <row r="8" spans="1:7" x14ac:dyDescent="0.25">
      <c r="A8" s="8">
        <v>5</v>
      </c>
      <c r="B8" s="8">
        <f>5*10^-3</f>
        <v>5.0000000000000001E-3</v>
      </c>
      <c r="C8" s="8">
        <f>3.25*10^-3</f>
        <v>3.2500000000000003E-3</v>
      </c>
      <c r="D8" s="8">
        <v>1.88</v>
      </c>
      <c r="E8" s="8">
        <f t="shared" si="2"/>
        <v>578.46153846153834</v>
      </c>
      <c r="F8" s="8">
        <f t="shared" si="0"/>
        <v>4.45E-3</v>
      </c>
      <c r="G8" s="8">
        <f t="shared" si="1"/>
        <v>422.47191011235952</v>
      </c>
    </row>
    <row r="9" spans="1:7" x14ac:dyDescent="0.25">
      <c r="A9" s="8">
        <v>6</v>
      </c>
      <c r="B9" s="8">
        <f>6*10^-3</f>
        <v>6.0000000000000001E-3</v>
      </c>
      <c r="C9" s="8">
        <f>3.95*10^-3</f>
        <v>3.9500000000000004E-3</v>
      </c>
      <c r="D9" s="8">
        <v>2.14</v>
      </c>
      <c r="E9" s="8">
        <f t="shared" si="2"/>
        <v>541.77215189873414</v>
      </c>
      <c r="F9" s="8">
        <f t="shared" si="0"/>
        <v>5.1500000000000001E-3</v>
      </c>
      <c r="G9" s="8">
        <f t="shared" si="1"/>
        <v>415.53398058252429</v>
      </c>
    </row>
    <row r="10" spans="1:7" x14ac:dyDescent="0.25">
      <c r="A10" s="8">
        <v>7</v>
      </c>
      <c r="B10" s="8">
        <v>7.0000000000000001E-3</v>
      </c>
      <c r="C10" s="8">
        <f>5.55*10^-3</f>
        <v>5.5500000000000002E-3</v>
      </c>
      <c r="D10" s="8">
        <v>2.66</v>
      </c>
      <c r="E10" s="8">
        <f t="shared" si="2"/>
        <v>479.27927927927931</v>
      </c>
      <c r="F10" s="8">
        <f t="shared" si="0"/>
        <v>6.7499999999999999E-3</v>
      </c>
      <c r="G10" s="8">
        <f t="shared" si="1"/>
        <v>394.07407407407408</v>
      </c>
    </row>
    <row r="11" spans="1:7" x14ac:dyDescent="0.25">
      <c r="A11" s="8">
        <v>8</v>
      </c>
      <c r="B11" s="8">
        <v>8.0000000000000002E-3</v>
      </c>
      <c r="C11" s="8">
        <f>6.2*10^-3</f>
        <v>6.2000000000000006E-3</v>
      </c>
      <c r="D11" s="8">
        <v>2.94</v>
      </c>
      <c r="E11" s="8">
        <f t="shared" si="2"/>
        <v>474.19354838709671</v>
      </c>
      <c r="F11" s="8">
        <f t="shared" si="0"/>
        <v>7.4000000000000003E-3</v>
      </c>
      <c r="G11" s="8">
        <f t="shared" si="1"/>
        <v>397.29729729729729</v>
      </c>
    </row>
    <row r="12" spans="1:7" x14ac:dyDescent="0.25">
      <c r="A12" s="8">
        <v>9</v>
      </c>
      <c r="B12" s="8">
        <v>8.9999999999999993E-3</v>
      </c>
      <c r="C12" s="8">
        <f>7.6*10^-3</f>
        <v>7.6E-3</v>
      </c>
      <c r="D12" s="8">
        <v>3.46</v>
      </c>
      <c r="E12" s="8">
        <f t="shared" si="2"/>
        <v>455.26315789473682</v>
      </c>
      <c r="F12" s="8">
        <f t="shared" si="0"/>
        <v>8.8000000000000005E-3</v>
      </c>
      <c r="G12" s="8">
        <f t="shared" si="1"/>
        <v>393.18181818181813</v>
      </c>
    </row>
    <row r="13" spans="1:7" x14ac:dyDescent="0.25">
      <c r="A13" s="10">
        <v>10</v>
      </c>
      <c r="B13" s="10">
        <v>0.01</v>
      </c>
      <c r="C13" s="10">
        <f>8.25*10^-3</f>
        <v>8.2500000000000004E-3</v>
      </c>
      <c r="D13" s="10">
        <v>3.76</v>
      </c>
      <c r="E13" s="10">
        <f t="shared" si="2"/>
        <v>455.75757575757569</v>
      </c>
      <c r="F13" s="10">
        <f t="shared" si="0"/>
        <v>9.4500000000000001E-3</v>
      </c>
      <c r="G13" s="10">
        <f t="shared" si="1"/>
        <v>397.88359788359787</v>
      </c>
    </row>
    <row r="34" spans="1:7" ht="18.75" x14ac:dyDescent="0.3">
      <c r="A34" s="1" t="s">
        <v>31</v>
      </c>
    </row>
    <row r="35" spans="1:7" x14ac:dyDescent="0.25">
      <c r="A35" s="12" t="s">
        <v>1</v>
      </c>
      <c r="B35" s="12" t="s">
        <v>3</v>
      </c>
      <c r="C35" s="12" t="s">
        <v>4</v>
      </c>
      <c r="D35" s="12" t="s">
        <v>2</v>
      </c>
      <c r="E35" s="12" t="s">
        <v>0</v>
      </c>
      <c r="F35" s="12" t="s">
        <v>15</v>
      </c>
      <c r="G35" s="12" t="s">
        <v>0</v>
      </c>
    </row>
    <row r="36" spans="1:7" x14ac:dyDescent="0.25">
      <c r="A36" s="8">
        <v>1</v>
      </c>
      <c r="B36" s="8">
        <f>1*10^-3</f>
        <v>1E-3</v>
      </c>
      <c r="C36" s="8">
        <f>(2.2*10^-3)/2</f>
        <v>1.1000000000000001E-3</v>
      </c>
      <c r="D36" s="8">
        <f>(770*10^-3)/2</f>
        <v>0.38500000000000001</v>
      </c>
      <c r="E36" s="8">
        <f>D36/C36</f>
        <v>350</v>
      </c>
      <c r="F36" s="8">
        <f>C36-0.1375*10^-3</f>
        <v>9.6250000000000003E-4</v>
      </c>
      <c r="G36" s="8">
        <f>D36/F36</f>
        <v>400</v>
      </c>
    </row>
    <row r="37" spans="1:7" x14ac:dyDescent="0.25">
      <c r="A37" s="8">
        <v>2</v>
      </c>
      <c r="B37" s="8">
        <f>2*10^-3</f>
        <v>2E-3</v>
      </c>
      <c r="C37" s="8">
        <f>(4*10^-3)/2</f>
        <v>2E-3</v>
      </c>
      <c r="D37" s="8">
        <f>1.54/2</f>
        <v>0.77</v>
      </c>
      <c r="E37" s="8">
        <f t="shared" ref="E37:E42" si="3">D37/C37</f>
        <v>385</v>
      </c>
      <c r="F37" s="8">
        <f t="shared" ref="F37:F45" si="4">C37-0.1375*10^-3</f>
        <v>1.8625E-3</v>
      </c>
      <c r="G37" s="8">
        <f t="shared" ref="G37:G45" si="5">D37/F37</f>
        <v>413.42281879194633</v>
      </c>
    </row>
    <row r="38" spans="1:7" x14ac:dyDescent="0.25">
      <c r="A38" s="8">
        <v>3</v>
      </c>
      <c r="B38" s="8">
        <f>3*10^-3</f>
        <v>3.0000000000000001E-3</v>
      </c>
      <c r="C38" s="8">
        <f>(6.1*10^-3)/2</f>
        <v>3.0499999999999998E-3</v>
      </c>
      <c r="D38" s="8">
        <f>2.32/2</f>
        <v>1.1599999999999999</v>
      </c>
      <c r="E38" s="8">
        <f t="shared" si="3"/>
        <v>380.32786885245901</v>
      </c>
      <c r="F38" s="8">
        <f t="shared" si="4"/>
        <v>2.9124999999999997E-3</v>
      </c>
      <c r="G38" s="8">
        <f t="shared" si="5"/>
        <v>398.28326180257511</v>
      </c>
    </row>
    <row r="39" spans="1:7" x14ac:dyDescent="0.25">
      <c r="A39" s="8">
        <v>4</v>
      </c>
      <c r="B39" s="8">
        <f>4*10^-3</f>
        <v>4.0000000000000001E-3</v>
      </c>
      <c r="C39" s="8">
        <f>(7.85*10^-3)/2</f>
        <v>3.9249999999999997E-3</v>
      </c>
      <c r="D39" s="8">
        <f>3.09/2</f>
        <v>1.5449999999999999</v>
      </c>
      <c r="E39" s="8">
        <f t="shared" si="3"/>
        <v>393.63057324840764</v>
      </c>
      <c r="F39" s="8">
        <f t="shared" si="4"/>
        <v>3.7874999999999996E-3</v>
      </c>
      <c r="G39" s="8">
        <f t="shared" si="5"/>
        <v>407.92079207920796</v>
      </c>
    </row>
    <row r="40" spans="1:7" x14ac:dyDescent="0.25">
      <c r="A40" s="8">
        <v>5</v>
      </c>
      <c r="B40" s="8">
        <f>5*10^-3</f>
        <v>5.0000000000000001E-3</v>
      </c>
      <c r="C40" s="8">
        <f>(10.2*10^-3)/2</f>
        <v>5.0999999999999995E-3</v>
      </c>
      <c r="D40" s="8">
        <f>3.97/2</f>
        <v>1.9850000000000001</v>
      </c>
      <c r="E40" s="8">
        <f t="shared" si="3"/>
        <v>389.21568627450984</v>
      </c>
      <c r="F40" s="8">
        <f t="shared" si="4"/>
        <v>4.9624999999999999E-3</v>
      </c>
      <c r="G40" s="8">
        <f t="shared" si="5"/>
        <v>400</v>
      </c>
    </row>
    <row r="41" spans="1:7" x14ac:dyDescent="0.25">
      <c r="A41" s="8">
        <v>6</v>
      </c>
      <c r="B41" s="8">
        <f>6*10^-3</f>
        <v>6.0000000000000001E-3</v>
      </c>
      <c r="C41" s="8">
        <f>(12.2*10^-3)/2</f>
        <v>6.0999999999999995E-3</v>
      </c>
      <c r="D41" s="8">
        <f>4.74/2</f>
        <v>2.37</v>
      </c>
      <c r="E41" s="8">
        <f t="shared" si="3"/>
        <v>388.52459016393448</v>
      </c>
      <c r="F41" s="8">
        <f t="shared" si="4"/>
        <v>5.9624999999999999E-3</v>
      </c>
      <c r="G41" s="8">
        <f t="shared" si="5"/>
        <v>397.48427672955978</v>
      </c>
    </row>
    <row r="42" spans="1:7" x14ac:dyDescent="0.25">
      <c r="A42" s="8">
        <v>7</v>
      </c>
      <c r="B42" s="8">
        <v>7.0000000000000001E-3</v>
      </c>
      <c r="C42" s="8">
        <f>(13.8*10^-3)/2</f>
        <v>6.9000000000000008E-3</v>
      </c>
      <c r="D42" s="8">
        <f>5.58/2</f>
        <v>2.79</v>
      </c>
      <c r="E42" s="8">
        <f t="shared" si="3"/>
        <v>404.3478260869565</v>
      </c>
      <c r="F42" s="8">
        <f t="shared" si="4"/>
        <v>6.7625000000000011E-3</v>
      </c>
      <c r="G42" s="8">
        <f t="shared" si="5"/>
        <v>412.56931608133078</v>
      </c>
    </row>
    <row r="43" spans="1:7" x14ac:dyDescent="0.25">
      <c r="A43" s="8">
        <v>8</v>
      </c>
      <c r="B43" s="8">
        <v>8.0000000000000002E-3</v>
      </c>
      <c r="C43" s="8">
        <f>(15.9*10^-3)/2</f>
        <v>7.9500000000000005E-3</v>
      </c>
      <c r="D43" s="8">
        <f>6.44/2</f>
        <v>3.22</v>
      </c>
      <c r="E43" s="8">
        <f>D43/C43</f>
        <v>405.03144654088049</v>
      </c>
      <c r="F43" s="8">
        <f t="shared" si="4"/>
        <v>7.8125E-3</v>
      </c>
      <c r="G43" s="8">
        <f t="shared" si="5"/>
        <v>412.16</v>
      </c>
    </row>
    <row r="44" spans="1:7" x14ac:dyDescent="0.25">
      <c r="A44" s="8">
        <v>9</v>
      </c>
      <c r="B44" s="8">
        <v>8.9999999999999993E-3</v>
      </c>
      <c r="C44" s="8">
        <f>(17.6*10^-3)/2</f>
        <v>8.8000000000000005E-3</v>
      </c>
      <c r="D44" s="8">
        <f>7.18/2</f>
        <v>3.59</v>
      </c>
      <c r="E44" s="8">
        <f t="shared" ref="E44:E45" si="6">D44/C44</f>
        <v>407.95454545454544</v>
      </c>
      <c r="F44" s="8">
        <f t="shared" si="4"/>
        <v>8.6625000000000001E-3</v>
      </c>
      <c r="G44" s="8">
        <f t="shared" si="5"/>
        <v>414.43001443001441</v>
      </c>
    </row>
    <row r="45" spans="1:7" x14ac:dyDescent="0.25">
      <c r="A45" s="10">
        <v>10</v>
      </c>
      <c r="B45" s="10">
        <v>0.01</v>
      </c>
      <c r="C45" s="10">
        <f>(19.5*10^-3)/2</f>
        <v>9.75E-3</v>
      </c>
      <c r="D45" s="10">
        <f>7.96/2</f>
        <v>3.98</v>
      </c>
      <c r="E45" s="10">
        <f t="shared" si="6"/>
        <v>408.20512820512818</v>
      </c>
      <c r="F45" s="10">
        <f t="shared" si="4"/>
        <v>9.6124999999999995E-3</v>
      </c>
      <c r="G45" s="10">
        <f t="shared" si="5"/>
        <v>414.0442132639792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Filter</vt:lpstr>
      <vt:lpstr>Vandsøjle</vt:lpstr>
      <vt:lpstr>Hardware og software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Freja Ramsing Munk</cp:lastModifiedBy>
  <dcterms:created xsi:type="dcterms:W3CDTF">2015-11-16T13:27:55Z</dcterms:created>
  <dcterms:modified xsi:type="dcterms:W3CDTF">2015-12-11T14:56:19Z</dcterms:modified>
</cp:coreProperties>
</file>