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\Desktop\Semester-Projekt-3\Hardware\"/>
    </mc:Choice>
  </mc:AlternateContent>
  <bookViews>
    <workbookView xWindow="0" yWindow="0" windowWidth="20490" windowHeight="7755" activeTab="2"/>
  </bookViews>
  <sheets>
    <sheet name="Ark3" sheetId="3" r:id="rId1"/>
    <sheet name="Filter" sheetId="4" r:id="rId2"/>
    <sheet name="Filter og forstærker sammen" sheetId="5" r:id="rId3"/>
    <sheet name="Forstærker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12" i="5"/>
  <c r="F13" i="5"/>
  <c r="F14" i="5"/>
  <c r="F15" i="5"/>
  <c r="F4" i="5"/>
  <c r="E20" i="1"/>
  <c r="E5" i="5"/>
  <c r="E6" i="5"/>
  <c r="E7" i="5"/>
  <c r="E8" i="5"/>
  <c r="E9" i="5"/>
  <c r="E10" i="5"/>
  <c r="E11" i="5"/>
  <c r="E12" i="5"/>
  <c r="E13" i="5"/>
  <c r="E14" i="5"/>
  <c r="E15" i="5"/>
  <c r="E4" i="5"/>
  <c r="C23" i="4" l="1"/>
  <c r="C27" i="4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C21" i="4"/>
  <c r="C22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E7" i="1"/>
  <c r="E8" i="1"/>
  <c r="E9" i="1"/>
  <c r="E10" i="1"/>
  <c r="E11" i="1"/>
  <c r="E12" i="1"/>
  <c r="E13" i="1"/>
  <c r="E6" i="1"/>
  <c r="C13" i="1"/>
  <c r="C12" i="1"/>
  <c r="C11" i="1"/>
  <c r="C10" i="1"/>
  <c r="C9" i="1"/>
  <c r="C8" i="1"/>
  <c r="C7" i="1"/>
  <c r="D6" i="1"/>
  <c r="C6" i="1"/>
  <c r="E28" i="1"/>
  <c r="E29" i="1"/>
  <c r="E27" i="1"/>
  <c r="D27" i="1"/>
  <c r="C27" i="1"/>
  <c r="D28" i="1"/>
  <c r="C28" i="1"/>
  <c r="D29" i="1"/>
  <c r="C29" i="1"/>
  <c r="E21" i="1"/>
  <c r="E22" i="1"/>
  <c r="E23" i="1"/>
  <c r="E24" i="1"/>
  <c r="E25" i="1"/>
  <c r="E26" i="1"/>
  <c r="D26" i="1"/>
  <c r="C26" i="1"/>
  <c r="D25" i="1"/>
  <c r="D23" i="1"/>
  <c r="D22" i="1"/>
  <c r="D21" i="1"/>
  <c r="D24" i="1"/>
  <c r="D20" i="1"/>
  <c r="C24" i="1"/>
  <c r="C25" i="1"/>
  <c r="C23" i="1"/>
  <c r="C22" i="1"/>
  <c r="C21" i="1"/>
  <c r="C20" i="1"/>
  <c r="B4" i="1" l="1"/>
  <c r="B20" i="1"/>
  <c r="B25" i="1"/>
  <c r="B24" i="1"/>
  <c r="B23" i="1"/>
  <c r="B22" i="1"/>
  <c r="B21" i="1"/>
  <c r="B8" i="1" l="1"/>
  <c r="B6" i="1"/>
  <c r="B9" i="1"/>
  <c r="B7" i="1"/>
  <c r="B5" i="1"/>
</calcChain>
</file>

<file path=xl/sharedStrings.xml><?xml version="1.0" encoding="utf-8"?>
<sst xmlns="http://schemas.openxmlformats.org/spreadsheetml/2006/main" count="60" uniqueCount="48">
  <si>
    <t>Forstærkning</t>
  </si>
  <si>
    <t>Vin i mV</t>
  </si>
  <si>
    <t>Vout i V</t>
  </si>
  <si>
    <t>Vin i V</t>
  </si>
  <si>
    <t>Vin målt i 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</si>
  <si>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</si>
  <si>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</si>
  <si>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</si>
  <si>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</si>
  <si>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</si>
  <si>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</si>
  <si>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</si>
  <si>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</si>
  <si>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</si>
  <si>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</si>
  <si>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</si>
  <si>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</si>
  <si>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</si>
  <si>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</si>
  <si>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</si>
  <si>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</si>
  <si>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</si>
  <si>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</si>
  <si>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</si>
  <si>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</si>
  <si>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</si>
  <si>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</si>
  <si>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</si>
  <si>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</si>
  <si>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</si>
  <si>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</si>
  <si>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0,0029</t>
  </si>
  <si>
    <t>Residuals</t>
  </si>
  <si>
    <t>Sinus Signal</t>
  </si>
  <si>
    <t>DC Signal</t>
  </si>
  <si>
    <t>1 Hz</t>
  </si>
  <si>
    <t>Amplitude ind</t>
  </si>
  <si>
    <t>Frekvens</t>
  </si>
  <si>
    <t>Top til top ind &amp; ud, i ms</t>
  </si>
  <si>
    <t>Amplitude ud i V</t>
  </si>
  <si>
    <t>For meget offset!</t>
  </si>
  <si>
    <t>Fasedrej</t>
  </si>
  <si>
    <t>Amp i DB</t>
  </si>
  <si>
    <t>Integrationstest</t>
  </si>
  <si>
    <t>Amplitude ind i V</t>
  </si>
  <si>
    <t>Amplitude i DB</t>
  </si>
  <si>
    <t>Top til top ind/ud i ms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</si>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</sst>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Dæmpning</a:t>
            </a:r>
            <a:r>
              <a:rPr lang="en-US" baseline="0"/>
              <a:t> af signal ved forskellige frekvenser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Filter!$A$3:$A$23</c:f>
              <c:strCach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Filter!$C$3:$C$23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2.4700000000000002</c:v>
                </c:pt>
                <c:pt idx="4">
                  <c:v>2.36</c:v>
                </c:pt>
                <c:pt idx="5">
                  <c:v>2.27</c:v>
                </c:pt>
                <c:pt idx="6">
                  <c:v>2.14</c:v>
                </c:pt>
                <c:pt idx="7">
                  <c:v>2.04</c:v>
                </c:pt>
                <c:pt idx="8">
                  <c:v>1.97</c:v>
                </c:pt>
                <c:pt idx="9">
                  <c:v>1.81</c:v>
                </c:pt>
                <c:pt idx="10">
                  <c:v>1.72</c:v>
                </c:pt>
                <c:pt idx="11">
                  <c:v>1.61</c:v>
                </c:pt>
                <c:pt idx="12">
                  <c:v>1.48</c:v>
                </c:pt>
                <c:pt idx="13">
                  <c:v>1.18</c:v>
                </c:pt>
                <c:pt idx="14">
                  <c:v>0.96</c:v>
                </c:pt>
                <c:pt idx="15">
                  <c:v>0.77</c:v>
                </c:pt>
                <c:pt idx="16">
                  <c:v>0.64</c:v>
                </c:pt>
                <c:pt idx="17">
                  <c:v>0.55000000000000004</c:v>
                </c:pt>
                <c:pt idx="18">
                  <c:v>0.46</c:v>
                </c:pt>
                <c:pt idx="19">
                  <c:v>0.28999999999999998</c:v>
                </c:pt>
                <c:pt idx="20">
                  <c:v>2.75E-2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26552"/>
        <c:axId val="343515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Filter!$A$5:$A$22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43</c:v>
                      </c:pt>
                      <c:pt idx="6">
                        <c:v>46</c:v>
                      </c:pt>
                      <c:pt idx="7">
                        <c:v>50</c:v>
                      </c:pt>
                      <c:pt idx="8">
                        <c:v>53</c:v>
                      </c:pt>
                      <c:pt idx="9">
                        <c:v>56</c:v>
                      </c:pt>
                      <c:pt idx="10">
                        <c:v>60</c:v>
                      </c:pt>
                      <c:pt idx="11">
                        <c:v>70</c:v>
                      </c:pt>
                      <c:pt idx="12">
                        <c:v>80</c:v>
                      </c:pt>
                      <c:pt idx="13">
                        <c:v>90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120</c:v>
                      </c:pt>
                      <c:pt idx="17">
                        <c:v>150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Filter!$C$5:$C$22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2.5</c:v>
                      </c:pt>
                      <c:pt idx="1">
                        <c:v>2.4700000000000002</c:v>
                      </c:pt>
                      <c:pt idx="2">
                        <c:v>2.36</c:v>
                      </c:pt>
                      <c:pt idx="3">
                        <c:v>2.27</c:v>
                      </c:pt>
                      <c:pt idx="4">
                        <c:v>2.14</c:v>
                      </c:pt>
                      <c:pt idx="5">
                        <c:v>2.04</c:v>
                      </c:pt>
                      <c:pt idx="6">
                        <c:v>1.97</c:v>
                      </c:pt>
                      <c:pt idx="7">
                        <c:v>1.81</c:v>
                      </c:pt>
                      <c:pt idx="8">
                        <c:v>1.72</c:v>
                      </c:pt>
                      <c:pt idx="9">
                        <c:v>1.61</c:v>
                      </c:pt>
                      <c:pt idx="10">
                        <c:v>1.48</c:v>
                      </c:pt>
                      <c:pt idx="11">
                        <c:v>1.18</c:v>
                      </c:pt>
                      <c:pt idx="12">
                        <c:v>0.96</c:v>
                      </c:pt>
                      <c:pt idx="13">
                        <c:v>0.77</c:v>
                      </c:pt>
                      <c:pt idx="14">
                        <c:v>0.64</c:v>
                      </c:pt>
                      <c:pt idx="15">
                        <c:v>0.55000000000000004</c:v>
                      </c:pt>
                      <c:pt idx="16">
                        <c:v>0.46</c:v>
                      </c:pt>
                      <c:pt idx="17">
                        <c:v>0.28999999999999998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43526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3515576"/>
        <c:crosses val="autoZero"/>
        <c:crossBetween val="midCat"/>
      </c:valAx>
      <c:valAx>
        <c:axId val="34351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352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Filter!$A$27:$A$44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43</c:v>
                </c:pt>
                <c:pt idx="6">
                  <c:v>46</c:v>
                </c:pt>
                <c:pt idx="7">
                  <c:v>50</c:v>
                </c:pt>
                <c:pt idx="8">
                  <c:v>53</c:v>
                </c:pt>
                <c:pt idx="9">
                  <c:v>56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150</c:v>
                </c:pt>
              </c:numCache>
            </c:numRef>
          </c:xVal>
          <c:yVal>
            <c:numRef>
              <c:f>Filter!$C$27:$C$44</c:f>
              <c:numCache>
                <c:formatCode>General</c:formatCode>
                <c:ptCount val="18"/>
                <c:pt idx="0">
                  <c:v>7.9588001734407516</c:v>
                </c:pt>
                <c:pt idx="1">
                  <c:v>7.8539390651933152</c:v>
                </c:pt>
                <c:pt idx="2">
                  <c:v>7.4582400594021312</c:v>
                </c:pt>
                <c:pt idx="3">
                  <c:v>7.1205171438624548</c:v>
                </c:pt>
                <c:pt idx="4">
                  <c:v>6.6082754669838177</c:v>
                </c:pt>
                <c:pt idx="5">
                  <c:v>6.1926033485179754</c:v>
                </c:pt>
                <c:pt idx="6">
                  <c:v>5.8893245232318581</c:v>
                </c:pt>
                <c:pt idx="7">
                  <c:v>5.1535714973836901</c:v>
                </c:pt>
                <c:pt idx="8">
                  <c:v>4.7105689381509777</c:v>
                </c:pt>
                <c:pt idx="9">
                  <c:v>4.1365175206369944</c:v>
                </c:pt>
                <c:pt idx="10">
                  <c:v>3.4052343078991476</c:v>
                </c:pt>
                <c:pt idx="11">
                  <c:v>1.4376401461225072</c:v>
                </c:pt>
                <c:pt idx="12">
                  <c:v>-0.35457533920863205</c:v>
                </c:pt>
                <c:pt idx="13">
                  <c:v>-2.2701854965503623</c:v>
                </c:pt>
                <c:pt idx="14">
                  <c:v>-3.8764005203222562</c:v>
                </c:pt>
                <c:pt idx="15">
                  <c:v>-5.1927462101151223</c:v>
                </c:pt>
                <c:pt idx="16">
                  <c:v>-6.7448433663685181</c:v>
                </c:pt>
                <c:pt idx="17">
                  <c:v>-10.752040042020878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16752"/>
        <c:axId val="34351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Filter!$A$27:$A$44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43</c:v>
                      </c:pt>
                      <c:pt idx="6">
                        <c:v>46</c:v>
                      </c:pt>
                      <c:pt idx="7">
                        <c:v>50</c:v>
                      </c:pt>
                      <c:pt idx="8">
                        <c:v>53</c:v>
                      </c:pt>
                      <c:pt idx="9">
                        <c:v>56</c:v>
                      </c:pt>
                      <c:pt idx="10">
                        <c:v>60</c:v>
                      </c:pt>
                      <c:pt idx="11">
                        <c:v>70</c:v>
                      </c:pt>
                      <c:pt idx="12">
                        <c:v>80</c:v>
                      </c:pt>
                      <c:pt idx="13">
                        <c:v>90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120</c:v>
                      </c:pt>
                      <c:pt idx="17">
                        <c:v>150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43516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3517536"/>
        <c:crosses val="autoZero"/>
        <c:crossBetween val="midCat"/>
      </c:valAx>
      <c:valAx>
        <c:axId val="3435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351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DC-forstærkning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53472989021557E-2"/>
                  <c:y val="0.391179613797767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386,38x + 0,5547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0,9979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Forstærker!$C$6:$C$13</c:f>
              <c:numCache>
                <c:formatCode>General</c:formatCode>
                <c:ptCount val="8"/>
                <c:pt idx="0">
                  <c:v>1.25E-3</c:v>
                </c:pt>
                <c:pt idx="1">
                  <c:v>1.9499999999999999E-3</c:v>
                </c:pt>
                <c:pt idx="2">
                  <c:v>3.2500000000000003E-3</c:v>
                </c:pt>
                <c:pt idx="3">
                  <c:v>3.9500000000000004E-3</c:v>
                </c:pt>
                <c:pt idx="4">
                  <c:v>5.5500000000000002E-3</c:v>
                </c:pt>
                <c:pt idx="5">
                  <c:v>6.2000000000000006E-3</c:v>
                </c:pt>
                <c:pt idx="6">
                  <c:v>7.6E-3</c:v>
                </c:pt>
                <c:pt idx="7">
                  <c:v>8.2500000000000004E-3</c:v>
                </c:pt>
              </c:numCache>
            </c:numRef>
          </c:xVal>
          <c:yVal>
            <c:numRef>
              <c:f>Forstærker!$D$6:$D$13</c:f>
              <c:numCache>
                <c:formatCode>General</c:formatCode>
                <c:ptCount val="8"/>
                <c:pt idx="0">
                  <c:v>0.98</c:v>
                </c:pt>
                <c:pt idx="1">
                  <c:v>1.3</c:v>
                </c:pt>
                <c:pt idx="2">
                  <c:v>1.88</c:v>
                </c:pt>
                <c:pt idx="3">
                  <c:v>2.14</c:v>
                </c:pt>
                <c:pt idx="4">
                  <c:v>2.66</c:v>
                </c:pt>
                <c:pt idx="5">
                  <c:v>2.94</c:v>
                </c:pt>
                <c:pt idx="6">
                  <c:v>3.46</c:v>
                </c:pt>
                <c:pt idx="7">
                  <c:v>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17144"/>
        <c:axId val="343514792"/>
      </c:scatterChart>
      <c:valAx>
        <c:axId val="34351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3514792"/>
        <c:crosses val="autoZero"/>
        <c:crossBetween val="midCat"/>
      </c:valAx>
      <c:valAx>
        <c:axId val="34351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351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Sinus Signal 1 Hz</a:t>
            </a:r>
            <a:r>
              <a:rPr lang="da-DK" baseline="0"/>
              <a:t> 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0470987839322851E-2"/>
          <c:y val="0.1543005467505994"/>
          <c:w val="0.89052665994605351"/>
          <c:h val="0.749190815009222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588625816236644E-2"/>
                  <c:y val="0.323597672010568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415,76x - 0,0937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0,9993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Forstærker!$C$20:$C$29</c:f>
              <c:numCache>
                <c:formatCode>General</c:formatCode>
                <c:ptCount val="10"/>
                <c:pt idx="0">
                  <c:v>1.1000000000000001E-3</c:v>
                </c:pt>
                <c:pt idx="1">
                  <c:v>2E-3</c:v>
                </c:pt>
                <c:pt idx="2">
                  <c:v>3.0499999999999998E-3</c:v>
                </c:pt>
                <c:pt idx="3">
                  <c:v>3.9249999999999997E-3</c:v>
                </c:pt>
                <c:pt idx="4">
                  <c:v>5.0999999999999995E-3</c:v>
                </c:pt>
                <c:pt idx="5">
                  <c:v>6.0999999999999995E-3</c:v>
                </c:pt>
                <c:pt idx="6">
                  <c:v>6.9000000000000008E-3</c:v>
                </c:pt>
                <c:pt idx="7">
                  <c:v>7.9500000000000005E-3</c:v>
                </c:pt>
                <c:pt idx="8">
                  <c:v>8.8000000000000005E-3</c:v>
                </c:pt>
                <c:pt idx="9">
                  <c:v>9.75E-3</c:v>
                </c:pt>
              </c:numCache>
            </c:numRef>
          </c:xVal>
          <c:yVal>
            <c:numRef>
              <c:f>Forstærker!$D$20:$D$29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0.77</c:v>
                </c:pt>
                <c:pt idx="2">
                  <c:v>1.1599999999999999</c:v>
                </c:pt>
                <c:pt idx="3">
                  <c:v>1.5449999999999999</c:v>
                </c:pt>
                <c:pt idx="4">
                  <c:v>1.9850000000000001</c:v>
                </c:pt>
                <c:pt idx="5">
                  <c:v>2.37</c:v>
                </c:pt>
                <c:pt idx="6">
                  <c:v>2.79</c:v>
                </c:pt>
                <c:pt idx="7">
                  <c:v>3.22</c:v>
                </c:pt>
                <c:pt idx="8">
                  <c:v>3.59</c:v>
                </c:pt>
                <c:pt idx="9">
                  <c:v>3.98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15184"/>
        <c:axId val="343521848"/>
      </c:scatterChart>
      <c:valAx>
        <c:axId val="34351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3521848"/>
        <c:crosses val="autoZero"/>
        <c:crossBetween val="midCat"/>
      </c:valAx>
      <c:valAx>
        <c:axId val="3435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35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80962</xdr:rowOff>
    </xdr:from>
    <xdr:to>
      <xdr:col>12</xdr:col>
      <xdr:colOff>438150</xdr:colOff>
      <xdr:row>16</xdr:row>
      <xdr:rowOff>157162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1285875</xdr:colOff>
      <xdr:row>29</xdr:row>
      <xdr:rowOff>4762</xdr:rowOff>
    </xdr:from>
    <xdr:to>
      <xdr:col>11</xdr:col>
      <xdr:colOff>57150</xdr:colOff>
      <xdr:row>43</xdr:row>
      <xdr:rowOff>80962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4761</xdr:rowOff>
    </xdr:from>
    <xdr:to>
      <xdr:col>14</xdr:col>
      <xdr:colOff>590550</xdr:colOff>
      <xdr:row>16</xdr:row>
      <xdr:rowOff>180975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4761</xdr:rowOff>
    </xdr:from>
    <xdr:to>
      <xdr:col>15</xdr:col>
      <xdr:colOff>19050</xdr:colOff>
      <xdr:row>34</xdr:row>
      <xdr:rowOff>9524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J7" sqref="J7"/>
    </sheetView>
  </sheetViews>
  <sheetFormatPr defaultRowHeight="15" x14ac:dyDescent="0.25"/>
  <cols>
    <col min="1" max="1" width="20.85546875" customWidth="1"/>
    <col min="2" max="2" width="16.28515625" customWidth="1"/>
    <col min="3" max="3" width="16" customWidth="1"/>
    <col min="4" max="4" width="19.85546875" customWidth="1"/>
    <col min="5" max="5" width="16.5703125" customWidth="1"/>
    <col min="6" max="6" width="20.7109375" customWidth="1"/>
    <col min="7" max="7" width="15.85546875" customWidth="1"/>
    <col min="8" max="8" width="18.28515625" customWidth="1"/>
    <col min="9" max="9" width="16.85546875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4" t="s">
        <v>6</v>
      </c>
      <c r="B3" s="4"/>
    </row>
    <row r="4" spans="1:9" x14ac:dyDescent="0.25">
      <c r="A4" s="1" t="s">
        <v>7</v>
      </c>
      <c r="B4" s="1">
        <v>0.98903825705003645</v>
      </c>
    </row>
    <row r="5" spans="1:9" x14ac:dyDescent="0.25">
      <c r="A5" s="1" t="s">
        <v>8</v>
      </c>
      <c r="B5" s="1">
        <v>0.97819667390857401</v>
      </c>
    </row>
    <row r="6" spans="1:9" x14ac:dyDescent="0.25">
      <c r="A6" s="1" t="s">
        <v>9</v>
      </c>
      <c r="B6" s="1">
        <v>0.97092889854476538</v>
      </c>
    </row>
    <row r="7" spans="1:9" x14ac:dyDescent="0.25">
      <c r="A7" s="1" t="s">
        <v>10</v>
      </c>
      <c r="B7" s="1">
        <v>2.442414792498223E-4</v>
      </c>
    </row>
    <row r="8" spans="1:9" ht="15.75" thickBot="1" x14ac:dyDescent="0.3">
      <c r="A8" s="2" t="s">
        <v>11</v>
      </c>
      <c r="B8" s="2">
        <v>5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1</v>
      </c>
      <c r="C12" s="1">
        <v>8.0290382994415759E-6</v>
      </c>
      <c r="D12" s="1">
        <v>8.0290382994415759E-6</v>
      </c>
      <c r="E12" s="1">
        <v>134.5936858174926</v>
      </c>
      <c r="F12" s="1">
        <v>1.3754281075210246E-3</v>
      </c>
    </row>
    <row r="13" spans="1:9" x14ac:dyDescent="0.25">
      <c r="A13" s="1" t="s">
        <v>14</v>
      </c>
      <c r="B13" s="1">
        <v>3</v>
      </c>
      <c r="C13" s="1">
        <v>1.7896170055842413E-7</v>
      </c>
      <c r="D13" s="1">
        <v>5.9653900186141374E-8</v>
      </c>
      <c r="E13" s="1"/>
      <c r="F13" s="1"/>
    </row>
    <row r="14" spans="1:9" ht="15.75" thickBot="1" x14ac:dyDescent="0.3">
      <c r="A14" s="2" t="s">
        <v>15</v>
      </c>
      <c r="B14" s="2">
        <v>4</v>
      </c>
      <c r="C14" s="2">
        <v>8.208E-6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5">
      <c r="A17" s="1" t="s">
        <v>16</v>
      </c>
      <c r="B17" s="1">
        <v>1.0944689706037297E-3</v>
      </c>
      <c r="C17" s="1">
        <v>3.9762240508334462E-4</v>
      </c>
      <c r="D17" s="1">
        <v>2.7525334503580621</v>
      </c>
      <c r="E17" s="1">
        <v>7.0592211331814148E-2</v>
      </c>
      <c r="F17" s="1">
        <v>-1.709429833517827E-4</v>
      </c>
      <c r="G17" s="1">
        <v>2.3598809245592421E-3</v>
      </c>
      <c r="H17" s="1">
        <v>-1.709429833517827E-4</v>
      </c>
      <c r="I17" s="1">
        <v>2.3598809245592421E-3</v>
      </c>
    </row>
    <row r="18" spans="1:9" ht="15.75" thickBot="1" x14ac:dyDescent="0.3">
      <c r="A18" s="2">
        <v>1.34</v>
      </c>
      <c r="B18" s="2">
        <v>1.4542724686545149E-3</v>
      </c>
      <c r="C18" s="2">
        <v>1.2535262682563357E-4</v>
      </c>
      <c r="D18" s="2">
        <v>11.601451884031267</v>
      </c>
      <c r="E18" s="2">
        <v>1.3754281075210235E-3</v>
      </c>
      <c r="F18" s="2">
        <v>1.0553444645556697E-3</v>
      </c>
      <c r="G18" s="2">
        <v>1.8532004727533601E-3</v>
      </c>
      <c r="H18" s="2">
        <v>1.0553444645556697E-3</v>
      </c>
      <c r="I18" s="2">
        <v>1.8532004727533601E-3</v>
      </c>
    </row>
    <row r="22" spans="1:9" x14ac:dyDescent="0.25">
      <c r="A22" t="s">
        <v>29</v>
      </c>
    </row>
    <row r="23" spans="1:9" ht="15.75" thickBot="1" x14ac:dyDescent="0.3"/>
    <row r="24" spans="1:9" x14ac:dyDescent="0.25">
      <c r="A24" s="3" t="s">
        <v>30</v>
      </c>
      <c r="B24" s="3" t="s">
        <v>31</v>
      </c>
      <c r="C24" s="3" t="s">
        <v>32</v>
      </c>
    </row>
    <row r="25" spans="1:9" x14ac:dyDescent="0.25">
      <c r="A25" s="1">
        <v>1</v>
      </c>
      <c r="B25" s="1">
        <v>3.5958176166894953E-3</v>
      </c>
      <c r="C25" s="1">
        <v>4.1823833105050084E-6</v>
      </c>
    </row>
    <row r="26" spans="1:9" x14ac:dyDescent="0.25">
      <c r="A26" s="1">
        <v>2</v>
      </c>
      <c r="B26" s="1">
        <v>4.8319492150458321E-3</v>
      </c>
      <c r="C26" s="1">
        <v>1.1805078495416826E-4</v>
      </c>
    </row>
    <row r="27" spans="1:9" x14ac:dyDescent="0.25">
      <c r="A27" s="1">
        <v>3</v>
      </c>
      <c r="B27" s="1">
        <v>5.4572863765672743E-3</v>
      </c>
      <c r="C27" s="1">
        <v>-2.5728637656727369E-4</v>
      </c>
    </row>
    <row r="28" spans="1:9" x14ac:dyDescent="0.25">
      <c r="A28" s="1">
        <v>4</v>
      </c>
      <c r="B28" s="1">
        <v>6.6207043514908857E-3</v>
      </c>
      <c r="C28" s="1">
        <v>2.7929564850911505E-4</v>
      </c>
    </row>
    <row r="29" spans="1:9" ht="15.75" thickBot="1" x14ac:dyDescent="0.3">
      <c r="A29" s="2">
        <v>5</v>
      </c>
      <c r="B29" s="2">
        <v>7.1442424402065122E-3</v>
      </c>
      <c r="C29" s="2">
        <v>-1.4424244020651202E-4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workbookViewId="0">
      <selection activeCell="A2" sqref="A2:E15"/>
    </sheetView>
  </sheetViews>
  <sheetFormatPr defaultRowHeight="15" x14ac:dyDescent="0.25"/>
  <cols>
    <col min="2" max="2" width="16.140625" customWidth="1"/>
    <col min="3" max="3" width="17.140625" customWidth="1"/>
    <col min="4" max="4" width="23" customWidth="1"/>
  </cols>
  <sheetData>
    <row r="2" spans="1:5" x14ac:dyDescent="0.25">
      <c r="A2" s="6" t="s">
        <v>37</v>
      </c>
      <c r="B2" s="6" t="s">
        <v>36</v>
      </c>
      <c r="C2" s="6" t="s">
        <v>39</v>
      </c>
      <c r="D2" s="6" t="s">
        <v>38</v>
      </c>
      <c r="E2" s="6" t="s">
        <v>41</v>
      </c>
    </row>
    <row r="3" spans="1:5" x14ac:dyDescent="0.25">
      <c r="A3">
        <v>1</v>
      </c>
      <c r="B3">
        <v>2.5</v>
      </c>
      <c r="C3">
        <v>2.5</v>
      </c>
      <c r="D3">
        <v>0</v>
      </c>
    </row>
    <row r="4" spans="1:5" x14ac:dyDescent="0.25">
      <c r="A4">
        <v>5</v>
      </c>
      <c r="B4">
        <v>2.5</v>
      </c>
      <c r="C4">
        <v>2.5</v>
      </c>
      <c r="D4">
        <v>3</v>
      </c>
    </row>
    <row r="5" spans="1:5" x14ac:dyDescent="0.25">
      <c r="A5">
        <v>10</v>
      </c>
      <c r="B5">
        <v>2.5</v>
      </c>
      <c r="C5">
        <v>2.5</v>
      </c>
      <c r="D5">
        <v>4.5999999999999996</v>
      </c>
    </row>
    <row r="6" spans="1:5" x14ac:dyDescent="0.25">
      <c r="A6">
        <v>20</v>
      </c>
      <c r="B6">
        <v>2.5</v>
      </c>
      <c r="C6">
        <f>4.94/2</f>
        <v>2.4700000000000002</v>
      </c>
      <c r="D6">
        <v>4.4000000000000004</v>
      </c>
    </row>
    <row r="7" spans="1:5" x14ac:dyDescent="0.25">
      <c r="A7">
        <v>30</v>
      </c>
      <c r="B7">
        <v>2.5</v>
      </c>
      <c r="C7">
        <f>4.72/2</f>
        <v>2.36</v>
      </c>
      <c r="D7">
        <v>4.4000000000000004</v>
      </c>
    </row>
    <row r="8" spans="1:5" x14ac:dyDescent="0.25">
      <c r="A8">
        <v>35</v>
      </c>
      <c r="B8">
        <v>2.5</v>
      </c>
      <c r="C8">
        <f>4.54/2</f>
        <v>2.27</v>
      </c>
      <c r="D8">
        <v>4.7</v>
      </c>
    </row>
    <row r="9" spans="1:5" x14ac:dyDescent="0.25">
      <c r="A9">
        <v>40</v>
      </c>
      <c r="B9">
        <v>2.5</v>
      </c>
      <c r="C9">
        <f>4.28/2</f>
        <v>2.14</v>
      </c>
      <c r="D9">
        <v>4.8</v>
      </c>
    </row>
    <row r="10" spans="1:5" x14ac:dyDescent="0.25">
      <c r="A10">
        <v>43</v>
      </c>
      <c r="B10">
        <v>2.5</v>
      </c>
      <c r="C10">
        <f>4.08/2</f>
        <v>2.04</v>
      </c>
      <c r="D10">
        <v>4.8</v>
      </c>
    </row>
    <row r="11" spans="1:5" x14ac:dyDescent="0.25">
      <c r="A11">
        <v>46</v>
      </c>
      <c r="B11">
        <v>2.5</v>
      </c>
      <c r="C11">
        <f>3.94/2</f>
        <v>1.97</v>
      </c>
      <c r="D11">
        <v>4.8</v>
      </c>
    </row>
    <row r="12" spans="1:5" x14ac:dyDescent="0.25">
      <c r="A12">
        <v>50</v>
      </c>
      <c r="B12">
        <v>2.5</v>
      </c>
      <c r="C12">
        <f>3.62/2</f>
        <v>1.81</v>
      </c>
      <c r="D12">
        <v>4.8</v>
      </c>
    </row>
    <row r="13" spans="1:5" x14ac:dyDescent="0.25">
      <c r="A13">
        <v>53</v>
      </c>
      <c r="B13">
        <v>2.5</v>
      </c>
      <c r="C13">
        <f>3.44/2</f>
        <v>1.72</v>
      </c>
      <c r="D13">
        <v>5</v>
      </c>
    </row>
    <row r="14" spans="1:5" x14ac:dyDescent="0.25">
      <c r="A14">
        <v>56</v>
      </c>
      <c r="B14">
        <v>2.5</v>
      </c>
      <c r="C14">
        <f>3.22/2</f>
        <v>1.61</v>
      </c>
      <c r="D14">
        <v>5</v>
      </c>
    </row>
    <row r="15" spans="1:5" x14ac:dyDescent="0.25">
      <c r="A15">
        <v>60</v>
      </c>
      <c r="B15">
        <v>2.5</v>
      </c>
      <c r="C15">
        <f>2.96/2</f>
        <v>1.48</v>
      </c>
      <c r="D15">
        <v>5</v>
      </c>
    </row>
    <row r="16" spans="1:5" x14ac:dyDescent="0.25">
      <c r="A16">
        <v>70</v>
      </c>
      <c r="B16">
        <v>2.5</v>
      </c>
      <c r="C16">
        <f>2.36/2</f>
        <v>1.18</v>
      </c>
      <c r="D16">
        <v>4.4000000000000004</v>
      </c>
    </row>
    <row r="17" spans="1:4" x14ac:dyDescent="0.25">
      <c r="A17">
        <v>80</v>
      </c>
      <c r="B17">
        <v>2.5</v>
      </c>
      <c r="C17">
        <f>1.92/2</f>
        <v>0.96</v>
      </c>
      <c r="D17">
        <v>4.4000000000000004</v>
      </c>
    </row>
    <row r="18" spans="1:4" x14ac:dyDescent="0.25">
      <c r="A18">
        <v>90</v>
      </c>
      <c r="B18">
        <v>2.5</v>
      </c>
      <c r="C18">
        <f>1.54/2</f>
        <v>0.77</v>
      </c>
      <c r="D18">
        <v>4.05</v>
      </c>
    </row>
    <row r="19" spans="1:4" x14ac:dyDescent="0.25">
      <c r="A19">
        <v>100</v>
      </c>
      <c r="B19">
        <v>2.5</v>
      </c>
      <c r="C19">
        <f>1.28/2</f>
        <v>0.64</v>
      </c>
      <c r="D19">
        <v>3.75</v>
      </c>
    </row>
    <row r="20" spans="1:4" x14ac:dyDescent="0.25">
      <c r="A20">
        <v>110</v>
      </c>
      <c r="B20">
        <v>2.5</v>
      </c>
      <c r="C20">
        <f>1.1/2</f>
        <v>0.55000000000000004</v>
      </c>
      <c r="D20">
        <v>3.58</v>
      </c>
    </row>
    <row r="21" spans="1:4" x14ac:dyDescent="0.25">
      <c r="A21">
        <v>120</v>
      </c>
      <c r="B21">
        <v>2.5</v>
      </c>
      <c r="C21">
        <f>(920*10^-3)/2</f>
        <v>0.46</v>
      </c>
      <c r="D21">
        <v>3.63</v>
      </c>
    </row>
    <row r="22" spans="1:4" x14ac:dyDescent="0.25">
      <c r="A22">
        <v>150</v>
      </c>
      <c r="B22">
        <v>2.5</v>
      </c>
      <c r="C22">
        <f>(580*10^-3)/2</f>
        <v>0.28999999999999998</v>
      </c>
      <c r="D22">
        <v>2.8</v>
      </c>
    </row>
    <row r="23" spans="1:4" x14ac:dyDescent="0.25">
      <c r="A23">
        <v>500</v>
      </c>
      <c r="B23">
        <v>2.5</v>
      </c>
      <c r="C23">
        <f>(55*10^-3)/2</f>
        <v>2.75E-2</v>
      </c>
      <c r="D23">
        <v>0</v>
      </c>
    </row>
    <row r="26" spans="1:4" x14ac:dyDescent="0.25">
      <c r="A26" s="6" t="s">
        <v>37</v>
      </c>
      <c r="B26" s="6" t="s">
        <v>39</v>
      </c>
      <c r="C26" s="6" t="s">
        <v>42</v>
      </c>
    </row>
    <row r="27" spans="1:4" x14ac:dyDescent="0.25">
      <c r="A27">
        <v>10</v>
      </c>
      <c r="B27">
        <v>2.5</v>
      </c>
      <c r="C27">
        <f>20*LOG10(B27)</f>
        <v>7.9588001734407516</v>
      </c>
    </row>
    <row r="28" spans="1:4" x14ac:dyDescent="0.25">
      <c r="A28">
        <v>20</v>
      </c>
      <c r="B28">
        <f>4.94/2</f>
        <v>2.4700000000000002</v>
      </c>
      <c r="C28">
        <f t="shared" ref="C28:C44" si="0">20*LOG10(B28)</f>
        <v>7.8539390651933152</v>
      </c>
    </row>
    <row r="29" spans="1:4" x14ac:dyDescent="0.25">
      <c r="A29">
        <v>30</v>
      </c>
      <c r="B29">
        <f>4.72/2</f>
        <v>2.36</v>
      </c>
      <c r="C29">
        <f t="shared" si="0"/>
        <v>7.4582400594021312</v>
      </c>
    </row>
    <row r="30" spans="1:4" x14ac:dyDescent="0.25">
      <c r="A30">
        <v>35</v>
      </c>
      <c r="B30">
        <f>4.54/2</f>
        <v>2.27</v>
      </c>
      <c r="C30">
        <f t="shared" si="0"/>
        <v>7.1205171438624548</v>
      </c>
    </row>
    <row r="31" spans="1:4" x14ac:dyDescent="0.25">
      <c r="A31">
        <v>40</v>
      </c>
      <c r="B31">
        <f>4.28/2</f>
        <v>2.14</v>
      </c>
      <c r="C31">
        <f t="shared" si="0"/>
        <v>6.6082754669838177</v>
      </c>
    </row>
    <row r="32" spans="1:4" x14ac:dyDescent="0.25">
      <c r="A32">
        <v>43</v>
      </c>
      <c r="B32">
        <f>4.08/2</f>
        <v>2.04</v>
      </c>
      <c r="C32">
        <f t="shared" si="0"/>
        <v>6.1926033485179754</v>
      </c>
    </row>
    <row r="33" spans="1:3" x14ac:dyDescent="0.25">
      <c r="A33">
        <v>46</v>
      </c>
      <c r="B33">
        <f>3.94/2</f>
        <v>1.97</v>
      </c>
      <c r="C33">
        <f t="shared" si="0"/>
        <v>5.8893245232318581</v>
      </c>
    </row>
    <row r="34" spans="1:3" x14ac:dyDescent="0.25">
      <c r="A34">
        <v>50</v>
      </c>
      <c r="B34">
        <f>3.62/2</f>
        <v>1.81</v>
      </c>
      <c r="C34">
        <f t="shared" si="0"/>
        <v>5.1535714973836901</v>
      </c>
    </row>
    <row r="35" spans="1:3" x14ac:dyDescent="0.25">
      <c r="A35">
        <v>53</v>
      </c>
      <c r="B35">
        <f>3.44/2</f>
        <v>1.72</v>
      </c>
      <c r="C35">
        <f t="shared" si="0"/>
        <v>4.7105689381509777</v>
      </c>
    </row>
    <row r="36" spans="1:3" x14ac:dyDescent="0.25">
      <c r="A36">
        <v>56</v>
      </c>
      <c r="B36">
        <f>3.22/2</f>
        <v>1.61</v>
      </c>
      <c r="C36">
        <f t="shared" si="0"/>
        <v>4.1365175206369944</v>
      </c>
    </row>
    <row r="37" spans="1:3" x14ac:dyDescent="0.25">
      <c r="A37">
        <v>60</v>
      </c>
      <c r="B37">
        <f>2.96/2</f>
        <v>1.48</v>
      </c>
      <c r="C37">
        <f t="shared" si="0"/>
        <v>3.4052343078991476</v>
      </c>
    </row>
    <row r="38" spans="1:3" x14ac:dyDescent="0.25">
      <c r="A38">
        <v>70</v>
      </c>
      <c r="B38">
        <f>2.36/2</f>
        <v>1.18</v>
      </c>
      <c r="C38">
        <f t="shared" si="0"/>
        <v>1.4376401461225072</v>
      </c>
    </row>
    <row r="39" spans="1:3" x14ac:dyDescent="0.25">
      <c r="A39">
        <v>80</v>
      </c>
      <c r="B39">
        <f>1.92/2</f>
        <v>0.96</v>
      </c>
      <c r="C39">
        <f t="shared" si="0"/>
        <v>-0.35457533920863205</v>
      </c>
    </row>
    <row r="40" spans="1:3" x14ac:dyDescent="0.25">
      <c r="A40">
        <v>90</v>
      </c>
      <c r="B40">
        <f>1.54/2</f>
        <v>0.77</v>
      </c>
      <c r="C40">
        <f t="shared" si="0"/>
        <v>-2.2701854965503623</v>
      </c>
    </row>
    <row r="41" spans="1:3" x14ac:dyDescent="0.25">
      <c r="A41">
        <v>100</v>
      </c>
      <c r="B41">
        <f>1.28/2</f>
        <v>0.64</v>
      </c>
      <c r="C41">
        <f t="shared" si="0"/>
        <v>-3.8764005203222562</v>
      </c>
    </row>
    <row r="42" spans="1:3" x14ac:dyDescent="0.25">
      <c r="A42">
        <v>110</v>
      </c>
      <c r="B42">
        <f>1.1/2</f>
        <v>0.55000000000000004</v>
      </c>
      <c r="C42">
        <f t="shared" si="0"/>
        <v>-5.1927462101151223</v>
      </c>
    </row>
    <row r="43" spans="1:3" x14ac:dyDescent="0.25">
      <c r="A43">
        <v>120</v>
      </c>
      <c r="B43">
        <f>(920*10^-3)/2</f>
        <v>0.46</v>
      </c>
      <c r="C43">
        <f t="shared" si="0"/>
        <v>-6.7448433663685181</v>
      </c>
    </row>
    <row r="44" spans="1:3" x14ac:dyDescent="0.25">
      <c r="A44">
        <v>150</v>
      </c>
      <c r="B44">
        <f>(580*10^-3)/2</f>
        <v>0.28999999999999998</v>
      </c>
      <c r="C44">
        <f t="shared" si="0"/>
        <v>-10.752040042020878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tabSelected="1" workbookViewId="0">
      <selection activeCell="C19" sqref="C19"/>
    </sheetView>
  </sheetViews>
  <sheetFormatPr defaultRowHeight="15" x14ac:dyDescent="0.25"/>
  <cols>
    <col min="2" max="2" width="18.42578125" customWidth="1"/>
    <col min="3" max="3" width="18.28515625" customWidth="1"/>
    <col min="4" max="4" width="18" customWidth="1"/>
    <col min="5" max="5" width="21" customWidth="1"/>
    <col min="6" max="6" width="16.5703125" customWidth="1"/>
    <col min="7" max="7" width="21.42578125" customWidth="1"/>
    <col min="8" max="8" width="18" customWidth="1"/>
  </cols>
  <sheetData>
    <row r="1" spans="2:8" x14ac:dyDescent="0.25">
      <c r="B1" s="6" t="s">
        <v>43</v>
      </c>
    </row>
    <row r="3" spans="2:8" x14ac:dyDescent="0.25">
      <c r="B3" s="6" t="s">
        <v>37</v>
      </c>
      <c r="C3" s="6" t="s">
        <v>44</v>
      </c>
      <c r="D3" s="6" t="s">
        <v>39</v>
      </c>
      <c r="E3" s="6" t="s">
        <v>45</v>
      </c>
      <c r="F3" s="6" t="s">
        <v>47</v>
      </c>
      <c r="G3" s="6" t="s">
        <v>46</v>
      </c>
      <c r="H3" s="6" t="s">
        <v>41</v>
      </c>
    </row>
    <row r="4" spans="2:8" x14ac:dyDescent="0.25">
      <c r="B4">
        <v>35</v>
      </c>
      <c r="C4">
        <v>6.0000000000000001E-3</v>
      </c>
      <c r="D4">
        <v>2.16</v>
      </c>
      <c r="E4">
        <f>20*LOG10(D4)</f>
        <v>6.689075023018618</v>
      </c>
      <c r="F4">
        <f>D4/C4</f>
        <v>360</v>
      </c>
      <c r="G4">
        <v>4.8</v>
      </c>
    </row>
    <row r="5" spans="2:8" x14ac:dyDescent="0.25">
      <c r="B5">
        <v>35</v>
      </c>
      <c r="C5">
        <v>7.0000000000000001E-3</v>
      </c>
      <c r="D5">
        <v>2.6</v>
      </c>
      <c r="E5">
        <f t="shared" ref="E5:E15" si="0">20*LOG10(D5)</f>
        <v>8.2994669594163604</v>
      </c>
      <c r="F5">
        <f t="shared" ref="F5:F15" si="1">D5/C5</f>
        <v>371.42857142857144</v>
      </c>
      <c r="G5">
        <v>4.8</v>
      </c>
    </row>
    <row r="6" spans="2:8" x14ac:dyDescent="0.25">
      <c r="B6">
        <v>40</v>
      </c>
      <c r="C6">
        <v>6.0000000000000001E-3</v>
      </c>
      <c r="D6">
        <v>2.0299999999999998</v>
      </c>
      <c r="E6">
        <f t="shared" si="0"/>
        <v>6.1499207582642583</v>
      </c>
      <c r="F6">
        <f t="shared" si="1"/>
        <v>338.33333333333331</v>
      </c>
      <c r="G6">
        <v>4.5</v>
      </c>
    </row>
    <row r="7" spans="2:8" x14ac:dyDescent="0.25">
      <c r="B7">
        <v>40</v>
      </c>
      <c r="C7">
        <v>7.0000000000000001E-3</v>
      </c>
      <c r="D7">
        <v>2.37</v>
      </c>
      <c r="E7">
        <f t="shared" si="0"/>
        <v>7.4949669202020779</v>
      </c>
      <c r="F7">
        <f t="shared" si="1"/>
        <v>338.57142857142856</v>
      </c>
      <c r="G7">
        <v>4.5</v>
      </c>
    </row>
    <row r="8" spans="2:8" x14ac:dyDescent="0.25">
      <c r="B8">
        <v>45</v>
      </c>
      <c r="C8">
        <v>6.0000000000000001E-3</v>
      </c>
      <c r="D8">
        <v>1.9</v>
      </c>
      <c r="E8">
        <f t="shared" si="0"/>
        <v>5.5750720190565781</v>
      </c>
      <c r="F8">
        <f t="shared" si="1"/>
        <v>316.66666666666663</v>
      </c>
      <c r="G8">
        <v>4.7</v>
      </c>
    </row>
    <row r="9" spans="2:8" x14ac:dyDescent="0.25">
      <c r="B9">
        <v>45</v>
      </c>
      <c r="C9">
        <v>7.0000000000000001E-3</v>
      </c>
      <c r="D9">
        <v>2.21</v>
      </c>
      <c r="E9">
        <f t="shared" si="0"/>
        <v>6.8878454737022139</v>
      </c>
      <c r="F9">
        <f t="shared" si="1"/>
        <v>315.71428571428572</v>
      </c>
      <c r="G9">
        <v>4.7</v>
      </c>
    </row>
    <row r="10" spans="2:8" x14ac:dyDescent="0.25">
      <c r="B10">
        <v>50</v>
      </c>
      <c r="C10">
        <v>6.0000000000000001E-3</v>
      </c>
      <c r="D10">
        <v>1.73</v>
      </c>
      <c r="E10">
        <f t="shared" si="0"/>
        <v>4.7609220625759079</v>
      </c>
      <c r="F10">
        <f t="shared" si="1"/>
        <v>288.33333333333331</v>
      </c>
      <c r="G10">
        <v>4.4000000000000004</v>
      </c>
    </row>
    <row r="11" spans="2:8" x14ac:dyDescent="0.25">
      <c r="B11">
        <v>50</v>
      </c>
      <c r="C11">
        <v>7.0000000000000001E-3</v>
      </c>
      <c r="D11">
        <v>2.02</v>
      </c>
      <c r="E11">
        <f t="shared" si="0"/>
        <v>6.107027388932476</v>
      </c>
      <c r="F11">
        <f t="shared" si="1"/>
        <v>288.57142857142856</v>
      </c>
      <c r="G11">
        <v>4.4000000000000004</v>
      </c>
    </row>
    <row r="12" spans="2:8" x14ac:dyDescent="0.25">
      <c r="B12">
        <v>55</v>
      </c>
      <c r="C12">
        <v>6.0000000000000001E-3</v>
      </c>
      <c r="D12">
        <v>1.55</v>
      </c>
      <c r="E12">
        <f t="shared" si="0"/>
        <v>3.8066339634058299</v>
      </c>
      <c r="F12">
        <f t="shared" si="1"/>
        <v>258.33333333333331</v>
      </c>
      <c r="G12">
        <v>4.7</v>
      </c>
    </row>
    <row r="13" spans="2:8" x14ac:dyDescent="0.25">
      <c r="B13">
        <v>55</v>
      </c>
      <c r="C13">
        <v>7.0000000000000001E-3</v>
      </c>
      <c r="D13">
        <v>1.82</v>
      </c>
      <c r="E13">
        <f t="shared" si="0"/>
        <v>5.2014277597014953</v>
      </c>
      <c r="F13">
        <f t="shared" si="1"/>
        <v>260</v>
      </c>
      <c r="G13">
        <v>4.7</v>
      </c>
    </row>
    <row r="14" spans="2:8" x14ac:dyDescent="0.25">
      <c r="B14">
        <v>60</v>
      </c>
      <c r="C14">
        <v>6.0000000000000001E-3</v>
      </c>
      <c r="D14">
        <v>1.41</v>
      </c>
      <c r="E14">
        <f t="shared" si="0"/>
        <v>2.9843822531075976</v>
      </c>
      <c r="F14">
        <f t="shared" si="1"/>
        <v>234.99999999999997</v>
      </c>
      <c r="G14">
        <v>4.4000000000000004</v>
      </c>
    </row>
    <row r="15" spans="2:8" x14ac:dyDescent="0.25">
      <c r="B15">
        <v>60</v>
      </c>
      <c r="C15">
        <v>7.0000000000000001E-3</v>
      </c>
      <c r="D15">
        <v>1.64</v>
      </c>
      <c r="E15">
        <f t="shared" si="0"/>
        <v>4.2968769609539574</v>
      </c>
      <c r="F15">
        <f t="shared" si="1"/>
        <v>234.28571428571428</v>
      </c>
      <c r="G15">
        <v>4.4000000000000004</v>
      </c>
    </row>
    <row r="18" spans="2:6" x14ac:dyDescent="0.25">
      <c r="B18" s="6"/>
      <c r="C18" s="6"/>
      <c r="D18" s="6"/>
      <c r="E18" s="6"/>
      <c r="F18" s="6"/>
    </row>
    <row r="26" spans="2:6" x14ac:dyDescent="0.25">
      <c r="B26" s="6"/>
      <c r="C26" s="6"/>
      <c r="D26" s="6"/>
    </row>
    <row r="34" spans="2:6" x14ac:dyDescent="0.25">
      <c r="B34" s="6"/>
    </row>
    <row r="36" spans="2:6" x14ac:dyDescent="0.25">
      <c r="B36" s="6"/>
      <c r="C36" s="6"/>
      <c r="D36" s="6"/>
      <c r="E36" s="6"/>
      <c r="F3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opLeftCell="A15" workbookViewId="0">
      <selection activeCell="D25" sqref="D25"/>
    </sheetView>
  </sheetViews>
  <sheetFormatPr defaultRowHeight="15" x14ac:dyDescent="0.25"/>
  <cols>
    <col min="1" max="1" width="14" customWidth="1"/>
    <col min="2" max="2" width="14.140625" customWidth="1"/>
    <col min="3" max="3" width="16.85546875" customWidth="1"/>
    <col min="4" max="4" width="13.140625" customWidth="1"/>
    <col min="5" max="5" width="28" customWidth="1"/>
  </cols>
  <sheetData>
    <row r="2" spans="1:5" ht="18.75" x14ac:dyDescent="0.3">
      <c r="A2" s="5" t="s">
        <v>34</v>
      </c>
    </row>
    <row r="3" spans="1:5" x14ac:dyDescent="0.25">
      <c r="A3" t="s">
        <v>1</v>
      </c>
      <c r="B3" t="s">
        <v>3</v>
      </c>
      <c r="C3" t="s">
        <v>4</v>
      </c>
      <c r="D3" t="s">
        <v>2</v>
      </c>
      <c r="E3" t="s">
        <v>0</v>
      </c>
    </row>
    <row r="4" spans="1:5" x14ac:dyDescent="0.25">
      <c r="A4">
        <v>1</v>
      </c>
      <c r="B4">
        <f>1*10^-3</f>
        <v>1E-3</v>
      </c>
      <c r="C4" t="s">
        <v>40</v>
      </c>
    </row>
    <row r="5" spans="1:5" x14ac:dyDescent="0.25">
      <c r="A5">
        <v>2</v>
      </c>
      <c r="B5">
        <f>2*10^-3</f>
        <v>2E-3</v>
      </c>
      <c r="C5" t="s">
        <v>40</v>
      </c>
    </row>
    <row r="6" spans="1:5" x14ac:dyDescent="0.25">
      <c r="A6">
        <v>3</v>
      </c>
      <c r="B6">
        <f>3*10^-3</f>
        <v>3.0000000000000001E-3</v>
      </c>
      <c r="C6">
        <f>1.25*10^-3</f>
        <v>1.25E-3</v>
      </c>
      <c r="D6">
        <f>980*10^-3</f>
        <v>0.98</v>
      </c>
      <c r="E6">
        <f>D6/C6</f>
        <v>784</v>
      </c>
    </row>
    <row r="7" spans="1:5" x14ac:dyDescent="0.25">
      <c r="A7">
        <v>4</v>
      </c>
      <c r="B7">
        <f>4*10^-3</f>
        <v>4.0000000000000001E-3</v>
      </c>
      <c r="C7">
        <f>1.95*10^-3</f>
        <v>1.9499999999999999E-3</v>
      </c>
      <c r="D7">
        <v>1.3</v>
      </c>
      <c r="E7">
        <f t="shared" ref="E7:E13" si="0">D7/C7</f>
        <v>666.66666666666674</v>
      </c>
    </row>
    <row r="8" spans="1:5" x14ac:dyDescent="0.25">
      <c r="A8">
        <v>5</v>
      </c>
      <c r="B8">
        <f>5*10^-3</f>
        <v>5.0000000000000001E-3</v>
      </c>
      <c r="C8">
        <f>3.25*10^-3</f>
        <v>3.2500000000000003E-3</v>
      </c>
      <c r="D8">
        <v>1.88</v>
      </c>
      <c r="E8">
        <f t="shared" si="0"/>
        <v>578.46153846153834</v>
      </c>
    </row>
    <row r="9" spans="1:5" x14ac:dyDescent="0.25">
      <c r="A9">
        <v>6</v>
      </c>
      <c r="B9">
        <f>6*10^-3</f>
        <v>6.0000000000000001E-3</v>
      </c>
      <c r="C9">
        <f>3.95*10^-3</f>
        <v>3.9500000000000004E-3</v>
      </c>
      <c r="D9">
        <v>2.14</v>
      </c>
      <c r="E9">
        <f t="shared" si="0"/>
        <v>541.77215189873414</v>
      </c>
    </row>
    <row r="10" spans="1:5" x14ac:dyDescent="0.25">
      <c r="A10">
        <v>7</v>
      </c>
      <c r="B10">
        <v>7.0000000000000001E-3</v>
      </c>
      <c r="C10">
        <f>5.55*10^-3</f>
        <v>5.5500000000000002E-3</v>
      </c>
      <c r="D10">
        <v>2.66</v>
      </c>
      <c r="E10">
        <f t="shared" si="0"/>
        <v>479.27927927927931</v>
      </c>
    </row>
    <row r="11" spans="1:5" x14ac:dyDescent="0.25">
      <c r="A11">
        <v>8</v>
      </c>
      <c r="B11">
        <v>8.0000000000000002E-3</v>
      </c>
      <c r="C11">
        <f>6.2*10^-3</f>
        <v>6.2000000000000006E-3</v>
      </c>
      <c r="D11">
        <v>2.94</v>
      </c>
      <c r="E11">
        <f t="shared" si="0"/>
        <v>474.19354838709671</v>
      </c>
    </row>
    <row r="12" spans="1:5" x14ac:dyDescent="0.25">
      <c r="A12">
        <v>9</v>
      </c>
      <c r="B12">
        <v>8.9999999999999993E-3</v>
      </c>
      <c r="C12">
        <f>7.6*10^-3</f>
        <v>7.6E-3</v>
      </c>
      <c r="D12">
        <v>3.46</v>
      </c>
      <c r="E12">
        <f t="shared" si="0"/>
        <v>455.26315789473682</v>
      </c>
    </row>
    <row r="13" spans="1:5" x14ac:dyDescent="0.25">
      <c r="A13">
        <v>10</v>
      </c>
      <c r="B13">
        <v>0.01</v>
      </c>
      <c r="C13">
        <f>8.25*10^-3</f>
        <v>8.2500000000000004E-3</v>
      </c>
      <c r="D13">
        <v>3.76</v>
      </c>
      <c r="E13">
        <f t="shared" si="0"/>
        <v>455.75757575757569</v>
      </c>
    </row>
    <row r="17" spans="1:5" ht="18.75" x14ac:dyDescent="0.3">
      <c r="A17" s="5" t="s">
        <v>33</v>
      </c>
      <c r="B17" t="s">
        <v>35</v>
      </c>
    </row>
    <row r="19" spans="1:5" x14ac:dyDescent="0.25">
      <c r="A19" t="s">
        <v>1</v>
      </c>
      <c r="B19" t="s">
        <v>3</v>
      </c>
      <c r="C19" t="s">
        <v>4</v>
      </c>
      <c r="D19" t="s">
        <v>2</v>
      </c>
      <c r="E19" t="s">
        <v>0</v>
      </c>
    </row>
    <row r="20" spans="1:5" x14ac:dyDescent="0.25">
      <c r="A20">
        <v>1</v>
      </c>
      <c r="B20">
        <f>1*10^-3</f>
        <v>1E-3</v>
      </c>
      <c r="C20">
        <f>(2.2*10^-3)/2</f>
        <v>1.1000000000000001E-3</v>
      </c>
      <c r="D20">
        <f>(770*10^-3)/2</f>
        <v>0.38500000000000001</v>
      </c>
      <c r="E20">
        <f>D20/C20</f>
        <v>350</v>
      </c>
    </row>
    <row r="21" spans="1:5" x14ac:dyDescent="0.25">
      <c r="A21">
        <v>2</v>
      </c>
      <c r="B21">
        <f>2*10^-3</f>
        <v>2E-3</v>
      </c>
      <c r="C21">
        <f>(4*10^-3)/2</f>
        <v>2E-3</v>
      </c>
      <c r="D21">
        <f>1.54/2</f>
        <v>0.77</v>
      </c>
      <c r="E21">
        <f t="shared" ref="E21:E26" si="1">D21/C21</f>
        <v>385</v>
      </c>
    </row>
    <row r="22" spans="1:5" x14ac:dyDescent="0.25">
      <c r="A22">
        <v>3</v>
      </c>
      <c r="B22">
        <f>3*10^-3</f>
        <v>3.0000000000000001E-3</v>
      </c>
      <c r="C22">
        <f>(6.1*10^-3)/2</f>
        <v>3.0499999999999998E-3</v>
      </c>
      <c r="D22">
        <f>2.32/2</f>
        <v>1.1599999999999999</v>
      </c>
      <c r="E22">
        <f t="shared" si="1"/>
        <v>380.32786885245901</v>
      </c>
    </row>
    <row r="23" spans="1:5" x14ac:dyDescent="0.25">
      <c r="A23">
        <v>4</v>
      </c>
      <c r="B23">
        <f>4*10^-3</f>
        <v>4.0000000000000001E-3</v>
      </c>
      <c r="C23">
        <f>(7.85*10^-3)/2</f>
        <v>3.9249999999999997E-3</v>
      </c>
      <c r="D23">
        <f>3.09/2</f>
        <v>1.5449999999999999</v>
      </c>
      <c r="E23">
        <f t="shared" si="1"/>
        <v>393.63057324840764</v>
      </c>
    </row>
    <row r="24" spans="1:5" x14ac:dyDescent="0.25">
      <c r="A24">
        <v>5</v>
      </c>
      <c r="B24">
        <f>5*10^-3</f>
        <v>5.0000000000000001E-3</v>
      </c>
      <c r="C24">
        <f>(10.2*10^-3)/2</f>
        <v>5.0999999999999995E-3</v>
      </c>
      <c r="D24">
        <f>3.97/2</f>
        <v>1.9850000000000001</v>
      </c>
      <c r="E24">
        <f t="shared" si="1"/>
        <v>389.21568627450984</v>
      </c>
    </row>
    <row r="25" spans="1:5" x14ac:dyDescent="0.25">
      <c r="A25">
        <v>6</v>
      </c>
      <c r="B25">
        <f>6*10^-3</f>
        <v>6.0000000000000001E-3</v>
      </c>
      <c r="C25">
        <f>(12.2*10^-3)/2</f>
        <v>6.0999999999999995E-3</v>
      </c>
      <c r="D25">
        <f>4.74/2</f>
        <v>2.37</v>
      </c>
      <c r="E25">
        <f t="shared" si="1"/>
        <v>388.52459016393448</v>
      </c>
    </row>
    <row r="26" spans="1:5" x14ac:dyDescent="0.25">
      <c r="A26">
        <v>7</v>
      </c>
      <c r="B26">
        <v>7.0000000000000001E-3</v>
      </c>
      <c r="C26">
        <f>(13.8*10^-3)/2</f>
        <v>6.9000000000000008E-3</v>
      </c>
      <c r="D26">
        <f>5.58/2</f>
        <v>2.79</v>
      </c>
      <c r="E26">
        <f t="shared" si="1"/>
        <v>404.3478260869565</v>
      </c>
    </row>
    <row r="27" spans="1:5" x14ac:dyDescent="0.25">
      <c r="A27">
        <v>8</v>
      </c>
      <c r="B27">
        <v>8.0000000000000002E-3</v>
      </c>
      <c r="C27">
        <f>(15.9*10^-3)/2</f>
        <v>7.9500000000000005E-3</v>
      </c>
      <c r="D27">
        <f>6.44/2</f>
        <v>3.22</v>
      </c>
      <c r="E27">
        <f>D27/C27</f>
        <v>405.03144654088049</v>
      </c>
    </row>
    <row r="28" spans="1:5" x14ac:dyDescent="0.25">
      <c r="A28">
        <v>9</v>
      </c>
      <c r="B28">
        <v>8.9999999999999993E-3</v>
      </c>
      <c r="C28">
        <f>(17.6*10^-3)/2</f>
        <v>8.8000000000000005E-3</v>
      </c>
      <c r="D28">
        <f>7.18/2</f>
        <v>3.59</v>
      </c>
      <c r="E28">
        <f t="shared" ref="E28:E29" si="2">D28/C28</f>
        <v>407.95454545454544</v>
      </c>
    </row>
    <row r="29" spans="1:5" x14ac:dyDescent="0.25">
      <c r="A29">
        <v>10</v>
      </c>
      <c r="B29">
        <v>0.01</v>
      </c>
      <c r="C29">
        <f>(19.5*10^-3)/2</f>
        <v>9.75E-3</v>
      </c>
      <c r="D29">
        <f>7.96/2</f>
        <v>3.98</v>
      </c>
      <c r="E29">
        <f t="shared" si="2"/>
        <v>408.20512820512818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Ark3</vt:lpstr>
      <vt:lpstr>Filter</vt:lpstr>
      <vt:lpstr>Filter og forstærker sammen</vt:lpstr>
      <vt:lpstr>Forstærker</vt:lpstr>
    </vt:vector>
  </TitlesOfParts>
  <Company>%UD_COMPANY%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%UD_COMPANY%</dc:creator>
  <cp:lastModifiedBy>Sara Kirkeby</cp:lastModifiedBy>
  <dcterms:created xsi:type="dcterms:W3CDTF">2015-11-16T13:27:55Z</dcterms:created>
  <dcterms:modified xsi:type="dcterms:W3CDTF">2015-12-02T14:29:39Z</dcterms:modified>
</cp:coreProperties>
</file>