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noether/Metis/NASA_Astronaut_Selection/"/>
    </mc:Choice>
  </mc:AlternateContent>
  <xr:revisionPtr revIDLastSave="0" documentId="8_{491EBEA2-8887-2E40-BCAC-549067F560F0}" xr6:coauthVersionLast="47" xr6:coauthVersionMax="47" xr10:uidLastSave="{00000000-0000-0000-0000-000000000000}"/>
  <bookViews>
    <workbookView xWindow="0" yWindow="500" windowWidth="28800" windowHeight="17500" activeTab="6" xr2:uid="{00000000-000D-0000-FFFF-FFFF00000000}"/>
  </bookViews>
  <sheets>
    <sheet name="astronauts" sheetId="1" r:id="rId1"/>
    <sheet name="demographics" sheetId="2" r:id="rId2"/>
    <sheet name="POC" sheetId="3" r:id="rId3"/>
    <sheet name="white" sheetId="4" r:id="rId4"/>
    <sheet name="education" sheetId="5" r:id="rId5"/>
    <sheet name="women" sheetId="6" r:id="rId6"/>
    <sheet name="men" sheetId="7" r:id="rId7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5" i="5" l="1"/>
  <c r="I46" i="5" s="1"/>
  <c r="H45" i="5"/>
  <c r="H49" i="5" s="1"/>
  <c r="G45" i="5"/>
  <c r="G48" i="5" s="1"/>
  <c r="F45" i="5"/>
  <c r="F47" i="5" s="1"/>
  <c r="E45" i="5"/>
  <c r="E47" i="5" s="1"/>
  <c r="D45" i="5"/>
  <c r="D47" i="5" s="1"/>
  <c r="C45" i="5"/>
  <c r="C47" i="5" s="1"/>
  <c r="B45" i="5"/>
  <c r="B47" i="5" s="1"/>
  <c r="I38" i="5"/>
  <c r="I42" i="5" s="1"/>
  <c r="H38" i="5"/>
  <c r="H42" i="5" s="1"/>
  <c r="G38" i="5"/>
  <c r="G42" i="5" s="1"/>
  <c r="F38" i="5"/>
  <c r="F42" i="5" s="1"/>
  <c r="E38" i="5"/>
  <c r="E42" i="5" s="1"/>
  <c r="D38" i="5"/>
  <c r="D42" i="5" s="1"/>
  <c r="C38" i="5"/>
  <c r="C42" i="5" s="1"/>
  <c r="B38" i="5"/>
  <c r="B42" i="5" s="1"/>
  <c r="H35" i="5"/>
  <c r="C35" i="5"/>
  <c r="H34" i="5"/>
  <c r="F34" i="5"/>
  <c r="B34" i="5"/>
  <c r="I31" i="5"/>
  <c r="I32" i="5" s="1"/>
  <c r="H31" i="5"/>
  <c r="H33" i="5" s="1"/>
  <c r="G31" i="5"/>
  <c r="G33" i="5" s="1"/>
  <c r="F31" i="5"/>
  <c r="F33" i="5" s="1"/>
  <c r="E31" i="5"/>
  <c r="E35" i="5" s="1"/>
  <c r="D31" i="5"/>
  <c r="D34" i="5" s="1"/>
  <c r="C31" i="5"/>
  <c r="C33" i="5" s="1"/>
  <c r="B31" i="5"/>
  <c r="B33" i="5" s="1"/>
  <c r="H28" i="5"/>
  <c r="E28" i="5"/>
  <c r="G27" i="5"/>
  <c r="E27" i="5"/>
  <c r="C27" i="5"/>
  <c r="I24" i="5"/>
  <c r="I25" i="5" s="1"/>
  <c r="H24" i="5"/>
  <c r="H26" i="5" s="1"/>
  <c r="G24" i="5"/>
  <c r="G26" i="5" s="1"/>
  <c r="F24" i="5"/>
  <c r="F26" i="5" s="1"/>
  <c r="E24" i="5"/>
  <c r="E26" i="5" s="1"/>
  <c r="D24" i="5"/>
  <c r="D26" i="5" s="1"/>
  <c r="C24" i="5"/>
  <c r="C26" i="5" s="1"/>
  <c r="B24" i="5"/>
  <c r="B28" i="5" s="1"/>
  <c r="I17" i="5"/>
  <c r="I21" i="5" s="1"/>
  <c r="H17" i="5"/>
  <c r="H21" i="5" s="1"/>
  <c r="G17" i="5"/>
  <c r="G21" i="5" s="1"/>
  <c r="F17" i="5"/>
  <c r="F21" i="5" s="1"/>
  <c r="E17" i="5"/>
  <c r="E21" i="5" s="1"/>
  <c r="D17" i="5"/>
  <c r="D21" i="5" s="1"/>
  <c r="C17" i="5"/>
  <c r="C21" i="5" s="1"/>
  <c r="B17" i="5"/>
  <c r="B21" i="5" s="1"/>
  <c r="I10" i="5"/>
  <c r="I14" i="5" s="1"/>
  <c r="H10" i="5"/>
  <c r="H14" i="5" s="1"/>
  <c r="G10" i="5"/>
  <c r="G14" i="5" s="1"/>
  <c r="F10" i="5"/>
  <c r="F14" i="5" s="1"/>
  <c r="E10" i="5"/>
  <c r="E14" i="5" s="1"/>
  <c r="D10" i="5"/>
  <c r="D14" i="5" s="1"/>
  <c r="C10" i="5"/>
  <c r="C14" i="5" s="1"/>
  <c r="B10" i="5"/>
  <c r="B14" i="5" s="1"/>
  <c r="G5" i="5"/>
  <c r="D5" i="5"/>
  <c r="B5" i="5"/>
  <c r="G4" i="5"/>
  <c r="E4" i="5"/>
  <c r="B4" i="5"/>
  <c r="G3" i="5"/>
  <c r="E3" i="5"/>
  <c r="G2" i="5"/>
  <c r="F2" i="5"/>
  <c r="F5" i="5" s="1"/>
  <c r="E2" i="5"/>
  <c r="E5" i="5" s="1"/>
  <c r="D2" i="5"/>
  <c r="D4" i="5" s="1"/>
  <c r="C2" i="5"/>
  <c r="C4" i="5" s="1"/>
  <c r="B2" i="5"/>
  <c r="B3" i="5" s="1"/>
  <c r="C334" i="4"/>
  <c r="C333" i="4"/>
  <c r="C332" i="4"/>
  <c r="C331" i="4"/>
  <c r="C328" i="4"/>
  <c r="C327" i="4"/>
  <c r="C326" i="4"/>
  <c r="C325" i="4"/>
  <c r="C320" i="4"/>
  <c r="C319" i="4"/>
  <c r="N316" i="4"/>
  <c r="M316" i="4"/>
  <c r="L316" i="4"/>
  <c r="J316" i="4"/>
  <c r="N315" i="4"/>
  <c r="M315" i="4"/>
  <c r="L315" i="4"/>
  <c r="J315" i="4"/>
  <c r="N314" i="4"/>
  <c r="M314" i="4"/>
  <c r="L314" i="4"/>
  <c r="J314" i="4"/>
  <c r="N313" i="4"/>
  <c r="M313" i="4"/>
  <c r="L313" i="4"/>
  <c r="J313" i="4"/>
  <c r="N312" i="4"/>
  <c r="M312" i="4"/>
  <c r="L312" i="4"/>
  <c r="J312" i="4"/>
  <c r="N311" i="4"/>
  <c r="M311" i="4"/>
  <c r="L311" i="4"/>
  <c r="J311" i="4"/>
  <c r="N310" i="4"/>
  <c r="M310" i="4"/>
  <c r="L310" i="4"/>
  <c r="J310" i="4"/>
  <c r="N309" i="4"/>
  <c r="M309" i="4"/>
  <c r="L309" i="4"/>
  <c r="N308" i="4"/>
  <c r="M308" i="4"/>
  <c r="L308" i="4"/>
  <c r="J308" i="4"/>
  <c r="N307" i="4"/>
  <c r="M307" i="4"/>
  <c r="L307" i="4"/>
  <c r="J307" i="4"/>
  <c r="N306" i="4"/>
  <c r="M306" i="4"/>
  <c r="L306" i="4"/>
  <c r="J306" i="4"/>
  <c r="N305" i="4"/>
  <c r="M305" i="4"/>
  <c r="L305" i="4"/>
  <c r="J305" i="4"/>
  <c r="N304" i="4"/>
  <c r="M304" i="4"/>
  <c r="L304" i="4"/>
  <c r="J304" i="4"/>
  <c r="N303" i="4"/>
  <c r="M303" i="4"/>
  <c r="L303" i="4"/>
  <c r="J303" i="4"/>
  <c r="N302" i="4"/>
  <c r="M302" i="4"/>
  <c r="L302" i="4"/>
  <c r="J302" i="4"/>
  <c r="N301" i="4"/>
  <c r="M301" i="4"/>
  <c r="L301" i="4"/>
  <c r="J301" i="4"/>
  <c r="N300" i="4"/>
  <c r="M300" i="4"/>
  <c r="L300" i="4"/>
  <c r="J300" i="4"/>
  <c r="N299" i="4"/>
  <c r="M299" i="4"/>
  <c r="L299" i="4"/>
  <c r="J299" i="4"/>
  <c r="N298" i="4"/>
  <c r="M298" i="4"/>
  <c r="L298" i="4"/>
  <c r="J298" i="4"/>
  <c r="N297" i="4"/>
  <c r="M297" i="4"/>
  <c r="L297" i="4"/>
  <c r="J297" i="4"/>
  <c r="N296" i="4"/>
  <c r="M296" i="4"/>
  <c r="L296" i="4"/>
  <c r="J296" i="4"/>
  <c r="N295" i="4"/>
  <c r="M295" i="4"/>
  <c r="L295" i="4"/>
  <c r="J295" i="4"/>
  <c r="N294" i="4"/>
  <c r="M294" i="4"/>
  <c r="L294" i="4"/>
  <c r="J294" i="4"/>
  <c r="N293" i="4"/>
  <c r="M293" i="4"/>
  <c r="L293" i="4"/>
  <c r="J293" i="4"/>
  <c r="N292" i="4"/>
  <c r="M292" i="4"/>
  <c r="L292" i="4"/>
  <c r="N291" i="4"/>
  <c r="M291" i="4"/>
  <c r="L291" i="4"/>
  <c r="J291" i="4"/>
  <c r="N290" i="4"/>
  <c r="M290" i="4"/>
  <c r="L290" i="4"/>
  <c r="N289" i="4"/>
  <c r="M289" i="4"/>
  <c r="L289" i="4"/>
  <c r="J289" i="4"/>
  <c r="N288" i="4"/>
  <c r="M288" i="4"/>
  <c r="L288" i="4"/>
  <c r="J288" i="4"/>
  <c r="N287" i="4"/>
  <c r="M287" i="4"/>
  <c r="L287" i="4"/>
  <c r="N286" i="4"/>
  <c r="M286" i="4"/>
  <c r="L286" i="4"/>
  <c r="N285" i="4"/>
  <c r="M285" i="4"/>
  <c r="L285" i="4"/>
  <c r="J285" i="4"/>
  <c r="N284" i="4"/>
  <c r="M284" i="4"/>
  <c r="L284" i="4"/>
  <c r="J284" i="4"/>
  <c r="N283" i="4"/>
  <c r="M283" i="4"/>
  <c r="L283" i="4"/>
  <c r="J283" i="4"/>
  <c r="N282" i="4"/>
  <c r="M282" i="4"/>
  <c r="L282" i="4"/>
  <c r="N281" i="4"/>
  <c r="M281" i="4"/>
  <c r="L281" i="4"/>
  <c r="N280" i="4"/>
  <c r="M280" i="4"/>
  <c r="L280" i="4"/>
  <c r="N279" i="4"/>
  <c r="M279" i="4"/>
  <c r="L279" i="4"/>
  <c r="J279" i="4"/>
  <c r="N278" i="4"/>
  <c r="M278" i="4"/>
  <c r="L278" i="4"/>
  <c r="N277" i="4"/>
  <c r="M277" i="4"/>
  <c r="L277" i="4"/>
  <c r="N276" i="4"/>
  <c r="M276" i="4"/>
  <c r="L276" i="4"/>
  <c r="N275" i="4"/>
  <c r="M275" i="4"/>
  <c r="L275" i="4"/>
  <c r="N274" i="4"/>
  <c r="M274" i="4"/>
  <c r="L274" i="4"/>
  <c r="N273" i="4"/>
  <c r="M273" i="4"/>
  <c r="L273" i="4"/>
  <c r="J273" i="4"/>
  <c r="N272" i="4"/>
  <c r="M272" i="4"/>
  <c r="L272" i="4"/>
  <c r="J272" i="4"/>
  <c r="N271" i="4"/>
  <c r="M271" i="4"/>
  <c r="L271" i="4"/>
  <c r="J271" i="4"/>
  <c r="N270" i="4"/>
  <c r="M270" i="4"/>
  <c r="L270" i="4"/>
  <c r="J270" i="4"/>
  <c r="N269" i="4"/>
  <c r="M269" i="4"/>
  <c r="L269" i="4"/>
  <c r="J269" i="4"/>
  <c r="N268" i="4"/>
  <c r="M268" i="4"/>
  <c r="L268" i="4"/>
  <c r="N267" i="4"/>
  <c r="M267" i="4"/>
  <c r="L267" i="4"/>
  <c r="N266" i="4"/>
  <c r="M266" i="4"/>
  <c r="L266" i="4"/>
  <c r="J266" i="4"/>
  <c r="N265" i="4"/>
  <c r="M265" i="4"/>
  <c r="L265" i="4"/>
  <c r="N264" i="4"/>
  <c r="M264" i="4"/>
  <c r="L264" i="4"/>
  <c r="N263" i="4"/>
  <c r="M263" i="4"/>
  <c r="L263" i="4"/>
  <c r="N262" i="4"/>
  <c r="M262" i="4"/>
  <c r="L262" i="4"/>
  <c r="N261" i="4"/>
  <c r="M261" i="4"/>
  <c r="L261" i="4"/>
  <c r="N260" i="4"/>
  <c r="M260" i="4"/>
  <c r="L260" i="4"/>
  <c r="N259" i="4"/>
  <c r="M259" i="4"/>
  <c r="L259" i="4"/>
  <c r="N258" i="4"/>
  <c r="M258" i="4"/>
  <c r="L258" i="4"/>
  <c r="J258" i="4"/>
  <c r="N257" i="4"/>
  <c r="M257" i="4"/>
  <c r="L257" i="4"/>
  <c r="N256" i="4"/>
  <c r="M256" i="4"/>
  <c r="L256" i="4"/>
  <c r="N255" i="4"/>
  <c r="M255" i="4"/>
  <c r="L255" i="4"/>
  <c r="N254" i="4"/>
  <c r="M254" i="4"/>
  <c r="L254" i="4"/>
  <c r="N253" i="4"/>
  <c r="M253" i="4"/>
  <c r="L253" i="4"/>
  <c r="N252" i="4"/>
  <c r="M252" i="4"/>
  <c r="L252" i="4"/>
  <c r="N251" i="4"/>
  <c r="M251" i="4"/>
  <c r="L251" i="4"/>
  <c r="J251" i="4"/>
  <c r="N250" i="4"/>
  <c r="M250" i="4"/>
  <c r="L250" i="4"/>
  <c r="N249" i="4"/>
  <c r="M249" i="4"/>
  <c r="L249" i="4"/>
  <c r="J249" i="4"/>
  <c r="N248" i="4"/>
  <c r="M248" i="4"/>
  <c r="L248" i="4"/>
  <c r="N247" i="4"/>
  <c r="M247" i="4"/>
  <c r="L247" i="4"/>
  <c r="N246" i="4"/>
  <c r="M246" i="4"/>
  <c r="L246" i="4"/>
  <c r="J246" i="4"/>
  <c r="N245" i="4"/>
  <c r="M245" i="4"/>
  <c r="L245" i="4"/>
  <c r="N244" i="4"/>
  <c r="M244" i="4"/>
  <c r="L244" i="4"/>
  <c r="N243" i="4"/>
  <c r="M243" i="4"/>
  <c r="L243" i="4"/>
  <c r="N242" i="4"/>
  <c r="M242" i="4"/>
  <c r="L242" i="4"/>
  <c r="N241" i="4"/>
  <c r="M241" i="4"/>
  <c r="L241" i="4"/>
  <c r="N240" i="4"/>
  <c r="M240" i="4"/>
  <c r="L240" i="4"/>
  <c r="N239" i="4"/>
  <c r="M239" i="4"/>
  <c r="L239" i="4"/>
  <c r="N238" i="4"/>
  <c r="M238" i="4"/>
  <c r="L238" i="4"/>
  <c r="J238" i="4"/>
  <c r="N237" i="4"/>
  <c r="M237" i="4"/>
  <c r="L237" i="4"/>
  <c r="N236" i="4"/>
  <c r="M236" i="4"/>
  <c r="L236" i="4"/>
  <c r="J236" i="4"/>
  <c r="N235" i="4"/>
  <c r="M235" i="4"/>
  <c r="L235" i="4"/>
  <c r="N234" i="4"/>
  <c r="M234" i="4"/>
  <c r="L234" i="4"/>
  <c r="N233" i="4"/>
  <c r="M233" i="4"/>
  <c r="L233" i="4"/>
  <c r="N232" i="4"/>
  <c r="M232" i="4"/>
  <c r="L232" i="4"/>
  <c r="N231" i="4"/>
  <c r="M231" i="4"/>
  <c r="L231" i="4"/>
  <c r="N230" i="4"/>
  <c r="M230" i="4"/>
  <c r="L230" i="4"/>
  <c r="N229" i="4"/>
  <c r="M229" i="4"/>
  <c r="L229" i="4"/>
  <c r="N228" i="4"/>
  <c r="M228" i="4"/>
  <c r="L228" i="4"/>
  <c r="N227" i="4"/>
  <c r="M227" i="4"/>
  <c r="L227" i="4"/>
  <c r="N226" i="4"/>
  <c r="M226" i="4"/>
  <c r="L226" i="4"/>
  <c r="N225" i="4"/>
  <c r="M225" i="4"/>
  <c r="L225" i="4"/>
  <c r="N224" i="4"/>
  <c r="M224" i="4"/>
  <c r="L224" i="4"/>
  <c r="N223" i="4"/>
  <c r="M223" i="4"/>
  <c r="L223" i="4"/>
  <c r="J223" i="4"/>
  <c r="N222" i="4"/>
  <c r="M222" i="4"/>
  <c r="L222" i="4"/>
  <c r="N221" i="4"/>
  <c r="M221" i="4"/>
  <c r="L221" i="4"/>
  <c r="N220" i="4"/>
  <c r="M220" i="4"/>
  <c r="L220" i="4"/>
  <c r="N219" i="4"/>
  <c r="M219" i="4"/>
  <c r="L219" i="4"/>
  <c r="N218" i="4"/>
  <c r="M218" i="4"/>
  <c r="L218" i="4"/>
  <c r="N217" i="4"/>
  <c r="M217" i="4"/>
  <c r="L217" i="4"/>
  <c r="N216" i="4"/>
  <c r="M216" i="4"/>
  <c r="L216" i="4"/>
  <c r="N215" i="4"/>
  <c r="M215" i="4"/>
  <c r="L215" i="4"/>
  <c r="N214" i="4"/>
  <c r="M214" i="4"/>
  <c r="L214" i="4"/>
  <c r="N213" i="4"/>
  <c r="M213" i="4"/>
  <c r="L213" i="4"/>
  <c r="N212" i="4"/>
  <c r="M212" i="4"/>
  <c r="L212" i="4"/>
  <c r="N211" i="4"/>
  <c r="M211" i="4"/>
  <c r="L211" i="4"/>
  <c r="N210" i="4"/>
  <c r="M210" i="4"/>
  <c r="L210" i="4"/>
  <c r="N209" i="4"/>
  <c r="M209" i="4"/>
  <c r="L209" i="4"/>
  <c r="N208" i="4"/>
  <c r="M208" i="4"/>
  <c r="L208" i="4"/>
  <c r="N207" i="4"/>
  <c r="M207" i="4"/>
  <c r="L207" i="4"/>
  <c r="N206" i="4"/>
  <c r="M206" i="4"/>
  <c r="L206" i="4"/>
  <c r="N205" i="4"/>
  <c r="M205" i="4"/>
  <c r="L205" i="4"/>
  <c r="N204" i="4"/>
  <c r="M204" i="4"/>
  <c r="L204" i="4"/>
  <c r="N203" i="4"/>
  <c r="M203" i="4"/>
  <c r="L203" i="4"/>
  <c r="N202" i="4"/>
  <c r="M202" i="4"/>
  <c r="L202" i="4"/>
  <c r="N201" i="4"/>
  <c r="M201" i="4"/>
  <c r="L201" i="4"/>
  <c r="N200" i="4"/>
  <c r="M200" i="4"/>
  <c r="L200" i="4"/>
  <c r="N199" i="4"/>
  <c r="M199" i="4"/>
  <c r="L199" i="4"/>
  <c r="N198" i="4"/>
  <c r="M198" i="4"/>
  <c r="L198" i="4"/>
  <c r="N197" i="4"/>
  <c r="M197" i="4"/>
  <c r="L197" i="4"/>
  <c r="J197" i="4"/>
  <c r="N196" i="4"/>
  <c r="M196" i="4"/>
  <c r="L196" i="4"/>
  <c r="N195" i="4"/>
  <c r="M195" i="4"/>
  <c r="L195" i="4"/>
  <c r="N194" i="4"/>
  <c r="M194" i="4"/>
  <c r="L194" i="4"/>
  <c r="N193" i="4"/>
  <c r="M193" i="4"/>
  <c r="L193" i="4"/>
  <c r="N192" i="4"/>
  <c r="M192" i="4"/>
  <c r="L192" i="4"/>
  <c r="N191" i="4"/>
  <c r="M191" i="4"/>
  <c r="L191" i="4"/>
  <c r="N190" i="4"/>
  <c r="M190" i="4"/>
  <c r="L190" i="4"/>
  <c r="J190" i="4"/>
  <c r="N189" i="4"/>
  <c r="M189" i="4"/>
  <c r="L189" i="4"/>
  <c r="N188" i="4"/>
  <c r="M188" i="4"/>
  <c r="L188" i="4"/>
  <c r="N187" i="4"/>
  <c r="M187" i="4"/>
  <c r="L187" i="4"/>
  <c r="N186" i="4"/>
  <c r="M186" i="4"/>
  <c r="L186" i="4"/>
  <c r="N185" i="4"/>
  <c r="M185" i="4"/>
  <c r="L185" i="4"/>
  <c r="N184" i="4"/>
  <c r="M184" i="4"/>
  <c r="L184" i="4"/>
  <c r="N183" i="4"/>
  <c r="M183" i="4"/>
  <c r="L183" i="4"/>
  <c r="N182" i="4"/>
  <c r="M182" i="4"/>
  <c r="L182" i="4"/>
  <c r="N181" i="4"/>
  <c r="M181" i="4"/>
  <c r="L181" i="4"/>
  <c r="N180" i="4"/>
  <c r="M180" i="4"/>
  <c r="L180" i="4"/>
  <c r="N179" i="4"/>
  <c r="M179" i="4"/>
  <c r="L179" i="4"/>
  <c r="N178" i="4"/>
  <c r="M178" i="4"/>
  <c r="L178" i="4"/>
  <c r="N177" i="4"/>
  <c r="M177" i="4"/>
  <c r="L177" i="4"/>
  <c r="N176" i="4"/>
  <c r="M176" i="4"/>
  <c r="L176" i="4"/>
  <c r="N175" i="4"/>
  <c r="M175" i="4"/>
  <c r="L175" i="4"/>
  <c r="N174" i="4"/>
  <c r="M174" i="4"/>
  <c r="L174" i="4"/>
  <c r="N173" i="4"/>
  <c r="M173" i="4"/>
  <c r="L173" i="4"/>
  <c r="N172" i="4"/>
  <c r="M172" i="4"/>
  <c r="L172" i="4"/>
  <c r="N171" i="4"/>
  <c r="M171" i="4"/>
  <c r="L171" i="4"/>
  <c r="N170" i="4"/>
  <c r="M170" i="4"/>
  <c r="L170" i="4"/>
  <c r="N169" i="4"/>
  <c r="M169" i="4"/>
  <c r="L169" i="4"/>
  <c r="N168" i="4"/>
  <c r="M168" i="4"/>
  <c r="L168" i="4"/>
  <c r="N167" i="4"/>
  <c r="M167" i="4"/>
  <c r="L167" i="4"/>
  <c r="N166" i="4"/>
  <c r="M166" i="4"/>
  <c r="L166" i="4"/>
  <c r="N165" i="4"/>
  <c r="M165" i="4"/>
  <c r="L165" i="4"/>
  <c r="N164" i="4"/>
  <c r="M164" i="4"/>
  <c r="L164" i="4"/>
  <c r="N163" i="4"/>
  <c r="M163" i="4"/>
  <c r="L163" i="4"/>
  <c r="N162" i="4"/>
  <c r="M162" i="4"/>
  <c r="L162" i="4"/>
  <c r="N161" i="4"/>
  <c r="M161" i="4"/>
  <c r="L161" i="4"/>
  <c r="N160" i="4"/>
  <c r="M160" i="4"/>
  <c r="L160" i="4"/>
  <c r="N159" i="4"/>
  <c r="M159" i="4"/>
  <c r="L159" i="4"/>
  <c r="N158" i="4"/>
  <c r="M158" i="4"/>
  <c r="L158" i="4"/>
  <c r="N157" i="4"/>
  <c r="M157" i="4"/>
  <c r="L157" i="4"/>
  <c r="N156" i="4"/>
  <c r="M156" i="4"/>
  <c r="L156" i="4"/>
  <c r="N155" i="4"/>
  <c r="M155" i="4"/>
  <c r="L155" i="4"/>
  <c r="N154" i="4"/>
  <c r="M154" i="4"/>
  <c r="L154" i="4"/>
  <c r="N153" i="4"/>
  <c r="M153" i="4"/>
  <c r="L153" i="4"/>
  <c r="N152" i="4"/>
  <c r="M152" i="4"/>
  <c r="L152" i="4"/>
  <c r="N151" i="4"/>
  <c r="M151" i="4"/>
  <c r="L151" i="4"/>
  <c r="N150" i="4"/>
  <c r="M150" i="4"/>
  <c r="L150" i="4"/>
  <c r="N149" i="4"/>
  <c r="M149" i="4"/>
  <c r="L149" i="4"/>
  <c r="N148" i="4"/>
  <c r="M148" i="4"/>
  <c r="L148" i="4"/>
  <c r="N147" i="4"/>
  <c r="M147" i="4"/>
  <c r="L147" i="4"/>
  <c r="N146" i="4"/>
  <c r="M146" i="4"/>
  <c r="L146" i="4"/>
  <c r="N145" i="4"/>
  <c r="M145" i="4"/>
  <c r="L145" i="4"/>
  <c r="N144" i="4"/>
  <c r="M144" i="4"/>
  <c r="L144" i="4"/>
  <c r="N143" i="4"/>
  <c r="M143" i="4"/>
  <c r="L143" i="4"/>
  <c r="N142" i="4"/>
  <c r="M142" i="4"/>
  <c r="L142" i="4"/>
  <c r="J142" i="4"/>
  <c r="N141" i="4"/>
  <c r="M141" i="4"/>
  <c r="L141" i="4"/>
  <c r="N140" i="4"/>
  <c r="M140" i="4"/>
  <c r="L140" i="4"/>
  <c r="N139" i="4"/>
  <c r="M139" i="4"/>
  <c r="L139" i="4"/>
  <c r="N138" i="4"/>
  <c r="M138" i="4"/>
  <c r="L138" i="4"/>
  <c r="N137" i="4"/>
  <c r="M137" i="4"/>
  <c r="L137" i="4"/>
  <c r="N136" i="4"/>
  <c r="M136" i="4"/>
  <c r="L136" i="4"/>
  <c r="N135" i="4"/>
  <c r="M135" i="4"/>
  <c r="L135" i="4"/>
  <c r="N134" i="4"/>
  <c r="M134" i="4"/>
  <c r="L134" i="4"/>
  <c r="N133" i="4"/>
  <c r="M133" i="4"/>
  <c r="L133" i="4"/>
  <c r="N132" i="4"/>
  <c r="M132" i="4"/>
  <c r="L132" i="4"/>
  <c r="N131" i="4"/>
  <c r="M131" i="4"/>
  <c r="L131" i="4"/>
  <c r="N130" i="4"/>
  <c r="M130" i="4"/>
  <c r="L130" i="4"/>
  <c r="N129" i="4"/>
  <c r="M129" i="4"/>
  <c r="L129" i="4"/>
  <c r="N128" i="4"/>
  <c r="M128" i="4"/>
  <c r="L128" i="4"/>
  <c r="N127" i="4"/>
  <c r="M127" i="4"/>
  <c r="L127" i="4"/>
  <c r="N126" i="4"/>
  <c r="M126" i="4"/>
  <c r="L126" i="4"/>
  <c r="N125" i="4"/>
  <c r="M125" i="4"/>
  <c r="L125" i="4"/>
  <c r="N124" i="4"/>
  <c r="M124" i="4"/>
  <c r="L124" i="4"/>
  <c r="N123" i="4"/>
  <c r="M123" i="4"/>
  <c r="L123" i="4"/>
  <c r="N122" i="4"/>
  <c r="M122" i="4"/>
  <c r="L122" i="4"/>
  <c r="N121" i="4"/>
  <c r="M121" i="4"/>
  <c r="L121" i="4"/>
  <c r="N120" i="4"/>
  <c r="M120" i="4"/>
  <c r="L120" i="4"/>
  <c r="N119" i="4"/>
  <c r="M119" i="4"/>
  <c r="L119" i="4"/>
  <c r="N118" i="4"/>
  <c r="M118" i="4"/>
  <c r="L118" i="4"/>
  <c r="N117" i="4"/>
  <c r="M117" i="4"/>
  <c r="L117" i="4"/>
  <c r="N116" i="4"/>
  <c r="M116" i="4"/>
  <c r="L116" i="4"/>
  <c r="N115" i="4"/>
  <c r="M115" i="4"/>
  <c r="L115" i="4"/>
  <c r="N114" i="4"/>
  <c r="M114" i="4"/>
  <c r="L114" i="4"/>
  <c r="N113" i="4"/>
  <c r="M113" i="4"/>
  <c r="L113" i="4"/>
  <c r="N112" i="4"/>
  <c r="M112" i="4"/>
  <c r="L112" i="4"/>
  <c r="N111" i="4"/>
  <c r="M111" i="4"/>
  <c r="L111" i="4"/>
  <c r="N110" i="4"/>
  <c r="M110" i="4"/>
  <c r="L110" i="4"/>
  <c r="N109" i="4"/>
  <c r="M109" i="4"/>
  <c r="L109" i="4"/>
  <c r="N108" i="4"/>
  <c r="M108" i="4"/>
  <c r="L108" i="4"/>
  <c r="N107" i="4"/>
  <c r="M107" i="4"/>
  <c r="L107" i="4"/>
  <c r="N106" i="4"/>
  <c r="M106" i="4"/>
  <c r="L106" i="4"/>
  <c r="N105" i="4"/>
  <c r="M105" i="4"/>
  <c r="L105" i="4"/>
  <c r="N104" i="4"/>
  <c r="M104" i="4"/>
  <c r="L104" i="4"/>
  <c r="N103" i="4"/>
  <c r="M103" i="4"/>
  <c r="L103" i="4"/>
  <c r="N102" i="4"/>
  <c r="M102" i="4"/>
  <c r="L102" i="4"/>
  <c r="N101" i="4"/>
  <c r="M101" i="4"/>
  <c r="L101" i="4"/>
  <c r="N100" i="4"/>
  <c r="M100" i="4"/>
  <c r="L100" i="4"/>
  <c r="N99" i="4"/>
  <c r="M99" i="4"/>
  <c r="L99" i="4"/>
  <c r="N98" i="4"/>
  <c r="M98" i="4"/>
  <c r="L98" i="4"/>
  <c r="N97" i="4"/>
  <c r="M97" i="4"/>
  <c r="L97" i="4"/>
  <c r="N96" i="4"/>
  <c r="M96" i="4"/>
  <c r="L96" i="4"/>
  <c r="N95" i="4"/>
  <c r="M95" i="4"/>
  <c r="L95" i="4"/>
  <c r="N94" i="4"/>
  <c r="M94" i="4"/>
  <c r="L94" i="4"/>
  <c r="N93" i="4"/>
  <c r="M93" i="4"/>
  <c r="L93" i="4"/>
  <c r="N92" i="4"/>
  <c r="M92" i="4"/>
  <c r="L92" i="4"/>
  <c r="N91" i="4"/>
  <c r="M91" i="4"/>
  <c r="L91" i="4"/>
  <c r="N90" i="4"/>
  <c r="M90" i="4"/>
  <c r="L90" i="4"/>
  <c r="N89" i="4"/>
  <c r="M89" i="4"/>
  <c r="L89" i="4"/>
  <c r="N88" i="4"/>
  <c r="M88" i="4"/>
  <c r="L88" i="4"/>
  <c r="N87" i="4"/>
  <c r="M87" i="4"/>
  <c r="L87" i="4"/>
  <c r="N86" i="4"/>
  <c r="M86" i="4"/>
  <c r="L86" i="4"/>
  <c r="N85" i="4"/>
  <c r="M85" i="4"/>
  <c r="L85" i="4"/>
  <c r="N84" i="4"/>
  <c r="M84" i="4"/>
  <c r="L84" i="4"/>
  <c r="N83" i="4"/>
  <c r="M83" i="4"/>
  <c r="L83" i="4"/>
  <c r="N82" i="4"/>
  <c r="M82" i="4"/>
  <c r="L82" i="4"/>
  <c r="N81" i="4"/>
  <c r="M81" i="4"/>
  <c r="L81" i="4"/>
  <c r="N80" i="4"/>
  <c r="M80" i="4"/>
  <c r="L80" i="4"/>
  <c r="N79" i="4"/>
  <c r="M79" i="4"/>
  <c r="L79" i="4"/>
  <c r="N78" i="4"/>
  <c r="M78" i="4"/>
  <c r="L78" i="4"/>
  <c r="N77" i="4"/>
  <c r="M77" i="4"/>
  <c r="L77" i="4"/>
  <c r="N76" i="4"/>
  <c r="M76" i="4"/>
  <c r="L76" i="4"/>
  <c r="N75" i="4"/>
  <c r="M75" i="4"/>
  <c r="L75" i="4"/>
  <c r="N74" i="4"/>
  <c r="M74" i="4"/>
  <c r="L74" i="4"/>
  <c r="N73" i="4"/>
  <c r="M73" i="4"/>
  <c r="L73" i="4"/>
  <c r="N72" i="4"/>
  <c r="M72" i="4"/>
  <c r="L72" i="4"/>
  <c r="N71" i="4"/>
  <c r="M71" i="4"/>
  <c r="L71" i="4"/>
  <c r="N70" i="4"/>
  <c r="M70" i="4"/>
  <c r="L70" i="4"/>
  <c r="N69" i="4"/>
  <c r="M69" i="4"/>
  <c r="L69" i="4"/>
  <c r="N68" i="4"/>
  <c r="M68" i="4"/>
  <c r="L68" i="4"/>
  <c r="N67" i="4"/>
  <c r="M67" i="4"/>
  <c r="L67" i="4"/>
  <c r="N66" i="4"/>
  <c r="M66" i="4"/>
  <c r="L66" i="4"/>
  <c r="N65" i="4"/>
  <c r="M65" i="4"/>
  <c r="L65" i="4"/>
  <c r="N64" i="4"/>
  <c r="M64" i="4"/>
  <c r="L64" i="4"/>
  <c r="N63" i="4"/>
  <c r="M63" i="4"/>
  <c r="L63" i="4"/>
  <c r="N62" i="4"/>
  <c r="M62" i="4"/>
  <c r="L62" i="4"/>
  <c r="N61" i="4"/>
  <c r="M61" i="4"/>
  <c r="L61" i="4"/>
  <c r="N60" i="4"/>
  <c r="M60" i="4"/>
  <c r="L60" i="4"/>
  <c r="N59" i="4"/>
  <c r="M59" i="4"/>
  <c r="L59" i="4"/>
  <c r="N58" i="4"/>
  <c r="M58" i="4"/>
  <c r="L58" i="4"/>
  <c r="N57" i="4"/>
  <c r="M57" i="4"/>
  <c r="L57" i="4"/>
  <c r="N56" i="4"/>
  <c r="M56" i="4"/>
  <c r="L56" i="4"/>
  <c r="N55" i="4"/>
  <c r="M55" i="4"/>
  <c r="L55" i="4"/>
  <c r="N54" i="4"/>
  <c r="M54" i="4"/>
  <c r="L54" i="4"/>
  <c r="N53" i="4"/>
  <c r="M53" i="4"/>
  <c r="L53" i="4"/>
  <c r="N52" i="4"/>
  <c r="M52" i="4"/>
  <c r="L52" i="4"/>
  <c r="N51" i="4"/>
  <c r="M51" i="4"/>
  <c r="L51" i="4"/>
  <c r="N50" i="4"/>
  <c r="M50" i="4"/>
  <c r="L50" i="4"/>
  <c r="N49" i="4"/>
  <c r="M49" i="4"/>
  <c r="L49" i="4"/>
  <c r="N48" i="4"/>
  <c r="M48" i="4"/>
  <c r="L48" i="4"/>
  <c r="N47" i="4"/>
  <c r="M47" i="4"/>
  <c r="L47" i="4"/>
  <c r="N46" i="4"/>
  <c r="M46" i="4"/>
  <c r="L46" i="4"/>
  <c r="N45" i="4"/>
  <c r="M45" i="4"/>
  <c r="L45" i="4"/>
  <c r="N44" i="4"/>
  <c r="M44" i="4"/>
  <c r="L44" i="4"/>
  <c r="N43" i="4"/>
  <c r="M43" i="4"/>
  <c r="L43" i="4"/>
  <c r="N42" i="4"/>
  <c r="M42" i="4"/>
  <c r="L42" i="4"/>
  <c r="N41" i="4"/>
  <c r="M41" i="4"/>
  <c r="L41" i="4"/>
  <c r="N40" i="4"/>
  <c r="M40" i="4"/>
  <c r="L40" i="4"/>
  <c r="N39" i="4"/>
  <c r="M39" i="4"/>
  <c r="L39" i="4"/>
  <c r="N38" i="4"/>
  <c r="M38" i="4"/>
  <c r="L38" i="4"/>
  <c r="N37" i="4"/>
  <c r="M37" i="4"/>
  <c r="L37" i="4"/>
  <c r="N36" i="4"/>
  <c r="M36" i="4"/>
  <c r="L36" i="4"/>
  <c r="N35" i="4"/>
  <c r="M35" i="4"/>
  <c r="L35" i="4"/>
  <c r="N34" i="4"/>
  <c r="M34" i="4"/>
  <c r="L34" i="4"/>
  <c r="N33" i="4"/>
  <c r="M33" i="4"/>
  <c r="L33" i="4"/>
  <c r="N32" i="4"/>
  <c r="M32" i="4"/>
  <c r="L32" i="4"/>
  <c r="N31" i="4"/>
  <c r="M31" i="4"/>
  <c r="L31" i="4"/>
  <c r="N30" i="4"/>
  <c r="M30" i="4"/>
  <c r="L30" i="4"/>
  <c r="N29" i="4"/>
  <c r="M29" i="4"/>
  <c r="L29" i="4"/>
  <c r="N28" i="4"/>
  <c r="M28" i="4"/>
  <c r="L28" i="4"/>
  <c r="N27" i="4"/>
  <c r="M27" i="4"/>
  <c r="L27" i="4"/>
  <c r="N26" i="4"/>
  <c r="M26" i="4"/>
  <c r="L26" i="4"/>
  <c r="N25" i="4"/>
  <c r="M25" i="4"/>
  <c r="L25" i="4"/>
  <c r="N24" i="4"/>
  <c r="M24" i="4"/>
  <c r="L24" i="4"/>
  <c r="N23" i="4"/>
  <c r="M23" i="4"/>
  <c r="L23" i="4"/>
  <c r="N22" i="4"/>
  <c r="M22" i="4"/>
  <c r="L22" i="4"/>
  <c r="N21" i="4"/>
  <c r="M21" i="4"/>
  <c r="L21" i="4"/>
  <c r="N20" i="4"/>
  <c r="M20" i="4"/>
  <c r="L20" i="4"/>
  <c r="N19" i="4"/>
  <c r="M19" i="4"/>
  <c r="L19" i="4"/>
  <c r="N18" i="4"/>
  <c r="M18" i="4"/>
  <c r="L18" i="4"/>
  <c r="N17" i="4"/>
  <c r="M17" i="4"/>
  <c r="L17" i="4"/>
  <c r="N16" i="4"/>
  <c r="M16" i="4"/>
  <c r="L16" i="4"/>
  <c r="N15" i="4"/>
  <c r="M15" i="4"/>
  <c r="L15" i="4"/>
  <c r="N14" i="4"/>
  <c r="M14" i="4"/>
  <c r="L14" i="4"/>
  <c r="N13" i="4"/>
  <c r="M13" i="4"/>
  <c r="L13" i="4"/>
  <c r="N12" i="4"/>
  <c r="M12" i="4"/>
  <c r="L12" i="4"/>
  <c r="N11" i="4"/>
  <c r="M11" i="4"/>
  <c r="L11" i="4"/>
  <c r="N10" i="4"/>
  <c r="M10" i="4"/>
  <c r="L10" i="4"/>
  <c r="N9" i="4"/>
  <c r="M9" i="4"/>
  <c r="L9" i="4"/>
  <c r="N8" i="4"/>
  <c r="M8" i="4"/>
  <c r="L8" i="4"/>
  <c r="N7" i="4"/>
  <c r="M7" i="4"/>
  <c r="L7" i="4"/>
  <c r="N6" i="4"/>
  <c r="M6" i="4"/>
  <c r="L6" i="4"/>
  <c r="N5" i="4"/>
  <c r="M5" i="4"/>
  <c r="L5" i="4"/>
  <c r="N4" i="4"/>
  <c r="M4" i="4"/>
  <c r="L4" i="4"/>
  <c r="N3" i="4"/>
  <c r="M3" i="4"/>
  <c r="L3" i="4"/>
  <c r="N2" i="4"/>
  <c r="C322" i="4" s="1"/>
  <c r="M2" i="4"/>
  <c r="C321" i="4" s="1"/>
  <c r="L2" i="4"/>
  <c r="C71" i="3"/>
  <c r="C70" i="3"/>
  <c r="C65" i="3"/>
  <c r="C64" i="3"/>
  <c r="C63" i="3"/>
  <c r="C62" i="3"/>
  <c r="C59" i="3"/>
  <c r="C58" i="3"/>
  <c r="C57" i="3"/>
  <c r="C56" i="3"/>
  <c r="C52" i="3"/>
  <c r="C51" i="3"/>
  <c r="C50" i="3"/>
  <c r="N46" i="3"/>
  <c r="M46" i="3"/>
  <c r="L46" i="3"/>
  <c r="J46" i="3"/>
  <c r="N45" i="3"/>
  <c r="M45" i="3"/>
  <c r="L45" i="3"/>
  <c r="J45" i="3"/>
  <c r="N44" i="3"/>
  <c r="M44" i="3"/>
  <c r="L44" i="3"/>
  <c r="J44" i="3"/>
  <c r="N43" i="3"/>
  <c r="M43" i="3"/>
  <c r="L43" i="3"/>
  <c r="J43" i="3"/>
  <c r="N42" i="3"/>
  <c r="M42" i="3"/>
  <c r="L42" i="3"/>
  <c r="J42" i="3"/>
  <c r="N41" i="3"/>
  <c r="M41" i="3"/>
  <c r="L41" i="3"/>
  <c r="J41" i="3"/>
  <c r="N40" i="3"/>
  <c r="M40" i="3"/>
  <c r="L40" i="3"/>
  <c r="J40" i="3"/>
  <c r="N39" i="3"/>
  <c r="M39" i="3"/>
  <c r="L39" i="3"/>
  <c r="J39" i="3"/>
  <c r="N38" i="3"/>
  <c r="M38" i="3"/>
  <c r="L38" i="3"/>
  <c r="J38" i="3"/>
  <c r="N37" i="3"/>
  <c r="M37" i="3"/>
  <c r="L37" i="3"/>
  <c r="J37" i="3"/>
  <c r="N36" i="3"/>
  <c r="M36" i="3"/>
  <c r="L36" i="3"/>
  <c r="L59" i="3" s="1"/>
  <c r="J36" i="3"/>
  <c r="N35" i="3"/>
  <c r="M35" i="3"/>
  <c r="L35" i="3"/>
  <c r="J35" i="3"/>
  <c r="N34" i="3"/>
  <c r="M34" i="3"/>
  <c r="L34" i="3"/>
  <c r="J34" i="3"/>
  <c r="N33" i="3"/>
  <c r="M33" i="3"/>
  <c r="L33" i="3"/>
  <c r="J33" i="3"/>
  <c r="N32" i="3"/>
  <c r="M32" i="3"/>
  <c r="L32" i="3"/>
  <c r="N31" i="3"/>
  <c r="M31" i="3"/>
  <c r="L31" i="3"/>
  <c r="N30" i="3"/>
  <c r="M30" i="3"/>
  <c r="L30" i="3"/>
  <c r="J30" i="3"/>
  <c r="N29" i="3"/>
  <c r="M29" i="3"/>
  <c r="L29" i="3"/>
  <c r="N28" i="3"/>
  <c r="M28" i="3"/>
  <c r="L28" i="3"/>
  <c r="N27" i="3"/>
  <c r="M27" i="3"/>
  <c r="L27" i="3"/>
  <c r="J27" i="3"/>
  <c r="N26" i="3"/>
  <c r="M26" i="3"/>
  <c r="L26" i="3"/>
  <c r="N25" i="3"/>
  <c r="M25" i="3"/>
  <c r="L25" i="3"/>
  <c r="N24" i="3"/>
  <c r="M24" i="3"/>
  <c r="L24" i="3"/>
  <c r="J24" i="3"/>
  <c r="N23" i="3"/>
  <c r="M23" i="3"/>
  <c r="L23" i="3"/>
  <c r="N22" i="3"/>
  <c r="M22" i="3"/>
  <c r="L22" i="3"/>
  <c r="N21" i="3"/>
  <c r="M21" i="3"/>
  <c r="L21" i="3"/>
  <c r="N20" i="3"/>
  <c r="M20" i="3"/>
  <c r="L20" i="3"/>
  <c r="N19" i="3"/>
  <c r="M19" i="3"/>
  <c r="L19" i="3"/>
  <c r="J19" i="3"/>
  <c r="N18" i="3"/>
  <c r="M18" i="3"/>
  <c r="L18" i="3"/>
  <c r="N17" i="3"/>
  <c r="M17" i="3"/>
  <c r="L17" i="3"/>
  <c r="N16" i="3"/>
  <c r="M16" i="3"/>
  <c r="L16" i="3"/>
  <c r="N15" i="3"/>
  <c r="M15" i="3"/>
  <c r="L15" i="3"/>
  <c r="N14" i="3"/>
  <c r="M14" i="3"/>
  <c r="L14" i="3"/>
  <c r="N13" i="3"/>
  <c r="M13" i="3"/>
  <c r="L13" i="3"/>
  <c r="N12" i="3"/>
  <c r="M12" i="3"/>
  <c r="L12" i="3"/>
  <c r="N11" i="3"/>
  <c r="M11" i="3"/>
  <c r="L11" i="3"/>
  <c r="N10" i="3"/>
  <c r="M10" i="3"/>
  <c r="L10" i="3"/>
  <c r="N9" i="3"/>
  <c r="M9" i="3"/>
  <c r="L9" i="3"/>
  <c r="N8" i="3"/>
  <c r="M8" i="3"/>
  <c r="L8" i="3"/>
  <c r="N7" i="3"/>
  <c r="M7" i="3"/>
  <c r="L7" i="3"/>
  <c r="N6" i="3"/>
  <c r="M6" i="3"/>
  <c r="L6" i="3"/>
  <c r="N5" i="3"/>
  <c r="M5" i="3"/>
  <c r="L5" i="3"/>
  <c r="N4" i="3"/>
  <c r="M4" i="3"/>
  <c r="L4" i="3"/>
  <c r="N3" i="3"/>
  <c r="M3" i="3"/>
  <c r="L3" i="3"/>
  <c r="N2" i="3"/>
  <c r="C53" i="3" s="1"/>
  <c r="M2" i="3"/>
  <c r="L2" i="3"/>
  <c r="L58" i="3" s="1"/>
  <c r="O97" i="2"/>
  <c r="N97" i="2"/>
  <c r="M97" i="2"/>
  <c r="J97" i="2"/>
  <c r="G97" i="2"/>
  <c r="D97" i="2"/>
  <c r="C97" i="2"/>
  <c r="B97" i="2"/>
  <c r="P97" i="2" s="1"/>
  <c r="O96" i="2"/>
  <c r="N96" i="2"/>
  <c r="M96" i="2"/>
  <c r="J96" i="2"/>
  <c r="G96" i="2"/>
  <c r="D96" i="2"/>
  <c r="C96" i="2"/>
  <c r="B96" i="2"/>
  <c r="P96" i="2" s="1"/>
  <c r="O95" i="2"/>
  <c r="N95" i="2"/>
  <c r="M95" i="2"/>
  <c r="J95" i="2"/>
  <c r="G95" i="2"/>
  <c r="D95" i="2"/>
  <c r="C95" i="2"/>
  <c r="B95" i="2"/>
  <c r="O94" i="2"/>
  <c r="N94" i="2"/>
  <c r="M94" i="2"/>
  <c r="J94" i="2"/>
  <c r="G94" i="2"/>
  <c r="D94" i="2"/>
  <c r="C94" i="2"/>
  <c r="B94" i="2"/>
  <c r="P94" i="2" s="1"/>
  <c r="O93" i="2"/>
  <c r="N93" i="2"/>
  <c r="M93" i="2"/>
  <c r="J93" i="2"/>
  <c r="G93" i="2"/>
  <c r="D93" i="2"/>
  <c r="C93" i="2"/>
  <c r="B93" i="2"/>
  <c r="P93" i="2" s="1"/>
  <c r="O92" i="2"/>
  <c r="N92" i="2"/>
  <c r="M92" i="2"/>
  <c r="J92" i="2"/>
  <c r="G92" i="2"/>
  <c r="D92" i="2"/>
  <c r="C92" i="2"/>
  <c r="B92" i="2"/>
  <c r="P92" i="2" s="1"/>
  <c r="O91" i="2"/>
  <c r="N91" i="2"/>
  <c r="M91" i="2"/>
  <c r="J91" i="2"/>
  <c r="G91" i="2"/>
  <c r="D91" i="2"/>
  <c r="C91" i="2"/>
  <c r="B91" i="2"/>
  <c r="P91" i="2" s="1"/>
  <c r="O90" i="2"/>
  <c r="N90" i="2"/>
  <c r="M90" i="2"/>
  <c r="J90" i="2"/>
  <c r="G90" i="2"/>
  <c r="D90" i="2"/>
  <c r="C90" i="2"/>
  <c r="B90" i="2"/>
  <c r="P90" i="2" s="1"/>
  <c r="O89" i="2"/>
  <c r="N89" i="2"/>
  <c r="M89" i="2"/>
  <c r="J89" i="2"/>
  <c r="G89" i="2"/>
  <c r="D89" i="2"/>
  <c r="C89" i="2"/>
  <c r="B89" i="2"/>
  <c r="P89" i="2" s="1"/>
  <c r="O88" i="2"/>
  <c r="N88" i="2"/>
  <c r="M88" i="2"/>
  <c r="J88" i="2"/>
  <c r="G88" i="2"/>
  <c r="D88" i="2"/>
  <c r="C88" i="2"/>
  <c r="B88" i="2"/>
  <c r="P88" i="2" s="1"/>
  <c r="O87" i="2"/>
  <c r="N87" i="2"/>
  <c r="M87" i="2"/>
  <c r="J87" i="2"/>
  <c r="G87" i="2"/>
  <c r="D87" i="2"/>
  <c r="C87" i="2"/>
  <c r="B87" i="2"/>
  <c r="P87" i="2" s="1"/>
  <c r="O86" i="2"/>
  <c r="N86" i="2"/>
  <c r="M86" i="2"/>
  <c r="J86" i="2"/>
  <c r="G86" i="2"/>
  <c r="D86" i="2"/>
  <c r="C86" i="2"/>
  <c r="B86" i="2"/>
  <c r="P86" i="2" s="1"/>
  <c r="O85" i="2"/>
  <c r="N85" i="2"/>
  <c r="M85" i="2"/>
  <c r="J85" i="2"/>
  <c r="G85" i="2"/>
  <c r="D85" i="2"/>
  <c r="C85" i="2"/>
  <c r="B85" i="2"/>
  <c r="P85" i="2" s="1"/>
  <c r="O84" i="2"/>
  <c r="N84" i="2"/>
  <c r="M84" i="2"/>
  <c r="J84" i="2"/>
  <c r="G84" i="2"/>
  <c r="D84" i="2"/>
  <c r="C84" i="2"/>
  <c r="B84" i="2"/>
  <c r="P84" i="2" s="1"/>
  <c r="O83" i="2"/>
  <c r="N83" i="2"/>
  <c r="M83" i="2"/>
  <c r="J83" i="2"/>
  <c r="G83" i="2"/>
  <c r="D83" i="2"/>
  <c r="C83" i="2"/>
  <c r="B83" i="2"/>
  <c r="P83" i="2" s="1"/>
  <c r="O82" i="2"/>
  <c r="N82" i="2"/>
  <c r="M82" i="2"/>
  <c r="J82" i="2"/>
  <c r="G82" i="2"/>
  <c r="D82" i="2"/>
  <c r="C82" i="2"/>
  <c r="B82" i="2"/>
  <c r="P82" i="2" s="1"/>
  <c r="O81" i="2"/>
  <c r="N81" i="2"/>
  <c r="M81" i="2"/>
  <c r="J81" i="2"/>
  <c r="G81" i="2"/>
  <c r="D81" i="2"/>
  <c r="C81" i="2"/>
  <c r="B81" i="2"/>
  <c r="P81" i="2" s="1"/>
  <c r="O80" i="2"/>
  <c r="N80" i="2"/>
  <c r="M80" i="2"/>
  <c r="J80" i="2"/>
  <c r="G80" i="2"/>
  <c r="D80" i="2"/>
  <c r="C80" i="2"/>
  <c r="B80" i="2"/>
  <c r="P80" i="2" s="1"/>
  <c r="O79" i="2"/>
  <c r="N79" i="2"/>
  <c r="M79" i="2"/>
  <c r="J79" i="2"/>
  <c r="G79" i="2"/>
  <c r="D79" i="2"/>
  <c r="C79" i="2"/>
  <c r="B79" i="2"/>
  <c r="P79" i="2" s="1"/>
  <c r="O78" i="2"/>
  <c r="N78" i="2"/>
  <c r="M78" i="2"/>
  <c r="J78" i="2"/>
  <c r="G78" i="2"/>
  <c r="D78" i="2"/>
  <c r="C78" i="2"/>
  <c r="B78" i="2"/>
  <c r="P78" i="2" s="1"/>
  <c r="O77" i="2"/>
  <c r="N77" i="2"/>
  <c r="M77" i="2"/>
  <c r="J77" i="2"/>
  <c r="G77" i="2"/>
  <c r="D77" i="2"/>
  <c r="C77" i="2"/>
  <c r="B77" i="2"/>
  <c r="P77" i="2" s="1"/>
  <c r="O76" i="2"/>
  <c r="N76" i="2"/>
  <c r="M76" i="2"/>
  <c r="J76" i="2"/>
  <c r="G76" i="2"/>
  <c r="D76" i="2"/>
  <c r="C76" i="2"/>
  <c r="B76" i="2"/>
  <c r="P76" i="2" s="1"/>
  <c r="O75" i="2"/>
  <c r="N75" i="2"/>
  <c r="M75" i="2"/>
  <c r="J75" i="2"/>
  <c r="G75" i="2"/>
  <c r="D75" i="2"/>
  <c r="C75" i="2"/>
  <c r="B75" i="2"/>
  <c r="P75" i="2" s="1"/>
  <c r="O47" i="2"/>
  <c r="O72" i="2" s="1"/>
  <c r="N47" i="2"/>
  <c r="M47" i="2"/>
  <c r="J47" i="2"/>
  <c r="J72" i="2" s="1"/>
  <c r="G47" i="2"/>
  <c r="G72" i="2" s="1"/>
  <c r="D47" i="2"/>
  <c r="C47" i="2"/>
  <c r="B47" i="2"/>
  <c r="P47" i="2" s="1"/>
  <c r="O46" i="2"/>
  <c r="N46" i="2"/>
  <c r="M46" i="2"/>
  <c r="M71" i="2" s="1"/>
  <c r="J46" i="2"/>
  <c r="J71" i="2" s="1"/>
  <c r="G46" i="2"/>
  <c r="D46" i="2"/>
  <c r="C46" i="2"/>
  <c r="C71" i="2" s="1"/>
  <c r="B46" i="2"/>
  <c r="P46" i="2" s="1"/>
  <c r="O45" i="2"/>
  <c r="N45" i="2"/>
  <c r="M45" i="2"/>
  <c r="J45" i="2"/>
  <c r="G45" i="2"/>
  <c r="D45" i="2"/>
  <c r="C45" i="2"/>
  <c r="B45" i="2"/>
  <c r="O44" i="2"/>
  <c r="N44" i="2"/>
  <c r="M44" i="2"/>
  <c r="J44" i="2"/>
  <c r="G44" i="2"/>
  <c r="D44" i="2"/>
  <c r="C44" i="2"/>
  <c r="B44" i="2"/>
  <c r="O43" i="2"/>
  <c r="N43" i="2"/>
  <c r="M43" i="2"/>
  <c r="J43" i="2"/>
  <c r="G43" i="2"/>
  <c r="D43" i="2"/>
  <c r="C43" i="2"/>
  <c r="B43" i="2"/>
  <c r="O42" i="2"/>
  <c r="N42" i="2"/>
  <c r="M42" i="2"/>
  <c r="J42" i="2"/>
  <c r="G42" i="2"/>
  <c r="D42" i="2"/>
  <c r="C42" i="2"/>
  <c r="B42" i="2"/>
  <c r="O41" i="2"/>
  <c r="N41" i="2"/>
  <c r="M41" i="2"/>
  <c r="J41" i="2"/>
  <c r="G41" i="2"/>
  <c r="D41" i="2"/>
  <c r="C41" i="2"/>
  <c r="B41" i="2"/>
  <c r="O40" i="2"/>
  <c r="N40" i="2"/>
  <c r="M40" i="2"/>
  <c r="J40" i="2"/>
  <c r="G40" i="2"/>
  <c r="D40" i="2"/>
  <c r="C40" i="2"/>
  <c r="B40" i="2"/>
  <c r="O39" i="2"/>
  <c r="N39" i="2"/>
  <c r="M39" i="2"/>
  <c r="J39" i="2"/>
  <c r="G39" i="2"/>
  <c r="D39" i="2"/>
  <c r="C39" i="2"/>
  <c r="B39" i="2"/>
  <c r="O38" i="2"/>
  <c r="N38" i="2"/>
  <c r="M38" i="2"/>
  <c r="J38" i="2"/>
  <c r="G38" i="2"/>
  <c r="D38" i="2"/>
  <c r="C38" i="2"/>
  <c r="B38" i="2"/>
  <c r="O37" i="2"/>
  <c r="N37" i="2"/>
  <c r="N62" i="2" s="1"/>
  <c r="M37" i="2"/>
  <c r="M62" i="2" s="1"/>
  <c r="J37" i="2"/>
  <c r="G37" i="2"/>
  <c r="D37" i="2"/>
  <c r="D62" i="2" s="1"/>
  <c r="C37" i="2"/>
  <c r="B37" i="2"/>
  <c r="P37" i="2" s="1"/>
  <c r="O36" i="2"/>
  <c r="N36" i="2"/>
  <c r="M36" i="2"/>
  <c r="J36" i="2"/>
  <c r="G36" i="2"/>
  <c r="D36" i="2"/>
  <c r="C36" i="2"/>
  <c r="B36" i="2"/>
  <c r="O35" i="2"/>
  <c r="N35" i="2"/>
  <c r="M35" i="2"/>
  <c r="J35" i="2"/>
  <c r="G35" i="2"/>
  <c r="D35" i="2"/>
  <c r="C35" i="2"/>
  <c r="B35" i="2"/>
  <c r="O34" i="2"/>
  <c r="N34" i="2"/>
  <c r="M34" i="2"/>
  <c r="M59" i="2" s="1"/>
  <c r="J34" i="2"/>
  <c r="G34" i="2"/>
  <c r="D34" i="2"/>
  <c r="C34" i="2"/>
  <c r="B34" i="2"/>
  <c r="P34" i="2" s="1"/>
  <c r="O33" i="2"/>
  <c r="N33" i="2"/>
  <c r="M33" i="2"/>
  <c r="J33" i="2"/>
  <c r="G33" i="2"/>
  <c r="D33" i="2"/>
  <c r="C33" i="2"/>
  <c r="B33" i="2"/>
  <c r="O32" i="2"/>
  <c r="N32" i="2"/>
  <c r="M32" i="2"/>
  <c r="J32" i="2"/>
  <c r="G32" i="2"/>
  <c r="D32" i="2"/>
  <c r="C32" i="2"/>
  <c r="B32" i="2"/>
  <c r="O31" i="2"/>
  <c r="N31" i="2"/>
  <c r="M31" i="2"/>
  <c r="J31" i="2"/>
  <c r="G31" i="2"/>
  <c r="D31" i="2"/>
  <c r="B31" i="2"/>
  <c r="O30" i="2"/>
  <c r="N30" i="2"/>
  <c r="M30" i="2"/>
  <c r="J30" i="2"/>
  <c r="G30" i="2"/>
  <c r="D30" i="2"/>
  <c r="C30" i="2"/>
  <c r="B30" i="2"/>
  <c r="O29" i="2"/>
  <c r="N29" i="2"/>
  <c r="M29" i="2"/>
  <c r="J29" i="2"/>
  <c r="G29" i="2"/>
  <c r="D29" i="2"/>
  <c r="C29" i="2"/>
  <c r="B29" i="2"/>
  <c r="O28" i="2"/>
  <c r="N28" i="2"/>
  <c r="M28" i="2"/>
  <c r="J28" i="2"/>
  <c r="G28" i="2"/>
  <c r="D28" i="2"/>
  <c r="C28" i="2"/>
  <c r="B28" i="2"/>
  <c r="O27" i="2"/>
  <c r="N27" i="2"/>
  <c r="M27" i="2"/>
  <c r="J27" i="2"/>
  <c r="G27" i="2"/>
  <c r="D27" i="2"/>
  <c r="C27" i="2"/>
  <c r="B27" i="2"/>
  <c r="O26" i="2"/>
  <c r="N26" i="2"/>
  <c r="M26" i="2"/>
  <c r="J26" i="2"/>
  <c r="G26" i="2"/>
  <c r="D26" i="2"/>
  <c r="C26" i="2"/>
  <c r="B26" i="2"/>
  <c r="O25" i="2"/>
  <c r="N25" i="2"/>
  <c r="M25" i="2"/>
  <c r="J25" i="2"/>
  <c r="G25" i="2"/>
  <c r="D25" i="2"/>
  <c r="C25" i="2"/>
  <c r="B25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N361" i="1"/>
  <c r="M361" i="1"/>
  <c r="L361" i="1"/>
  <c r="J361" i="1"/>
  <c r="N360" i="1"/>
  <c r="M360" i="1"/>
  <c r="L360" i="1"/>
  <c r="J360" i="1"/>
  <c r="N359" i="1"/>
  <c r="M359" i="1"/>
  <c r="L359" i="1"/>
  <c r="J359" i="1"/>
  <c r="N358" i="1"/>
  <c r="M358" i="1"/>
  <c r="L358" i="1"/>
  <c r="J358" i="1"/>
  <c r="N357" i="1"/>
  <c r="M357" i="1"/>
  <c r="L357" i="1"/>
  <c r="J357" i="1"/>
  <c r="N356" i="1"/>
  <c r="M356" i="1"/>
  <c r="L356" i="1"/>
  <c r="J356" i="1"/>
  <c r="N355" i="1"/>
  <c r="M355" i="1"/>
  <c r="L355" i="1"/>
  <c r="J355" i="1"/>
  <c r="N354" i="1"/>
  <c r="M354" i="1"/>
  <c r="L354" i="1"/>
  <c r="J354" i="1"/>
  <c r="N353" i="1"/>
  <c r="M353" i="1"/>
  <c r="L353" i="1"/>
  <c r="J353" i="1"/>
  <c r="N352" i="1"/>
  <c r="M352" i="1"/>
  <c r="L352" i="1"/>
  <c r="J352" i="1"/>
  <c r="N351" i="1"/>
  <c r="M351" i="1"/>
  <c r="L351" i="1"/>
  <c r="J351" i="1"/>
  <c r="N350" i="1"/>
  <c r="M350" i="1"/>
  <c r="L350" i="1"/>
  <c r="J350" i="1"/>
  <c r="N349" i="1"/>
  <c r="M349" i="1"/>
  <c r="L349" i="1"/>
  <c r="J349" i="1"/>
  <c r="N348" i="1"/>
  <c r="M348" i="1"/>
  <c r="L348" i="1"/>
  <c r="J348" i="1"/>
  <c r="N347" i="1"/>
  <c r="M347" i="1"/>
  <c r="L347" i="1"/>
  <c r="N346" i="1"/>
  <c r="M346" i="1"/>
  <c r="L346" i="1"/>
  <c r="J346" i="1"/>
  <c r="N345" i="1"/>
  <c r="M345" i="1"/>
  <c r="L345" i="1"/>
  <c r="J345" i="1"/>
  <c r="N344" i="1"/>
  <c r="M344" i="1"/>
  <c r="L344" i="1"/>
  <c r="J344" i="1"/>
  <c r="N343" i="1"/>
  <c r="M343" i="1"/>
  <c r="L343" i="1"/>
  <c r="J343" i="1"/>
  <c r="N342" i="1"/>
  <c r="M342" i="1"/>
  <c r="L342" i="1"/>
  <c r="J342" i="1"/>
  <c r="N341" i="1"/>
  <c r="M341" i="1"/>
  <c r="L341" i="1"/>
  <c r="J341" i="1"/>
  <c r="N340" i="1"/>
  <c r="M340" i="1"/>
  <c r="L340" i="1"/>
  <c r="J340" i="1"/>
  <c r="N339" i="1"/>
  <c r="M339" i="1"/>
  <c r="L339" i="1"/>
  <c r="J339" i="1"/>
  <c r="N338" i="1"/>
  <c r="M338" i="1"/>
  <c r="L338" i="1"/>
  <c r="J338" i="1"/>
  <c r="N337" i="1"/>
  <c r="M337" i="1"/>
  <c r="L337" i="1"/>
  <c r="J337" i="1"/>
  <c r="N336" i="1"/>
  <c r="M336" i="1"/>
  <c r="L336" i="1"/>
  <c r="J336" i="1"/>
  <c r="N335" i="1"/>
  <c r="M335" i="1"/>
  <c r="L335" i="1"/>
  <c r="J335" i="1"/>
  <c r="N334" i="1"/>
  <c r="M334" i="1"/>
  <c r="L334" i="1"/>
  <c r="J334" i="1"/>
  <c r="N333" i="1"/>
  <c r="M333" i="1"/>
  <c r="L333" i="1"/>
  <c r="J333" i="1"/>
  <c r="N332" i="1"/>
  <c r="M332" i="1"/>
  <c r="L332" i="1"/>
  <c r="J332" i="1"/>
  <c r="N331" i="1"/>
  <c r="M331" i="1"/>
  <c r="L331" i="1"/>
  <c r="J331" i="1"/>
  <c r="N330" i="1"/>
  <c r="M330" i="1"/>
  <c r="L330" i="1"/>
  <c r="J330" i="1"/>
  <c r="N329" i="1"/>
  <c r="M329" i="1"/>
  <c r="L329" i="1"/>
  <c r="J329" i="1"/>
  <c r="N328" i="1"/>
  <c r="M328" i="1"/>
  <c r="L328" i="1"/>
  <c r="J328" i="1"/>
  <c r="N327" i="1"/>
  <c r="M327" i="1"/>
  <c r="L327" i="1"/>
  <c r="J327" i="1"/>
  <c r="N326" i="1"/>
  <c r="M326" i="1"/>
  <c r="L326" i="1"/>
  <c r="J326" i="1"/>
  <c r="N325" i="1"/>
  <c r="M325" i="1"/>
  <c r="L325" i="1"/>
  <c r="N324" i="1"/>
  <c r="M324" i="1"/>
  <c r="L324" i="1"/>
  <c r="J324" i="1"/>
  <c r="N323" i="1"/>
  <c r="M323" i="1"/>
  <c r="L323" i="1"/>
  <c r="J323" i="1"/>
  <c r="N322" i="1"/>
  <c r="M322" i="1"/>
  <c r="L322" i="1"/>
  <c r="J322" i="1"/>
  <c r="N321" i="1"/>
  <c r="M321" i="1"/>
  <c r="L321" i="1"/>
  <c r="N320" i="1"/>
  <c r="M320" i="1"/>
  <c r="L320" i="1"/>
  <c r="N319" i="1"/>
  <c r="M319" i="1"/>
  <c r="L319" i="1"/>
  <c r="J319" i="1"/>
  <c r="N318" i="1"/>
  <c r="M318" i="1"/>
  <c r="L318" i="1"/>
  <c r="J318" i="1"/>
  <c r="N317" i="1"/>
  <c r="M317" i="1"/>
  <c r="L317" i="1"/>
  <c r="N316" i="1"/>
  <c r="M316" i="1"/>
  <c r="L316" i="1"/>
  <c r="N315" i="1"/>
  <c r="M315" i="1"/>
  <c r="L315" i="1"/>
  <c r="N314" i="1"/>
  <c r="M314" i="1"/>
  <c r="L314" i="1"/>
  <c r="J314" i="1"/>
  <c r="N313" i="1"/>
  <c r="M313" i="1"/>
  <c r="L313" i="1"/>
  <c r="J313" i="1"/>
  <c r="N312" i="1"/>
  <c r="M312" i="1"/>
  <c r="L312" i="1"/>
  <c r="J312" i="1"/>
  <c r="N311" i="1"/>
  <c r="M311" i="1"/>
  <c r="L311" i="1"/>
  <c r="J311" i="1"/>
  <c r="N310" i="1"/>
  <c r="M310" i="1"/>
  <c r="L310" i="1"/>
  <c r="N309" i="1"/>
  <c r="M309" i="1"/>
  <c r="L309" i="1"/>
  <c r="N308" i="1"/>
  <c r="M308" i="1"/>
  <c r="L308" i="1"/>
  <c r="N307" i="1"/>
  <c r="M307" i="1"/>
  <c r="L307" i="1"/>
  <c r="J307" i="1"/>
  <c r="N306" i="1"/>
  <c r="M306" i="1"/>
  <c r="L306" i="1"/>
  <c r="N305" i="1"/>
  <c r="M305" i="1"/>
  <c r="L305" i="1"/>
  <c r="N304" i="1"/>
  <c r="M304" i="1"/>
  <c r="L304" i="1"/>
  <c r="N303" i="1"/>
  <c r="M303" i="1"/>
  <c r="L303" i="1"/>
  <c r="N302" i="1"/>
  <c r="M302" i="1"/>
  <c r="L302" i="1"/>
  <c r="N301" i="1"/>
  <c r="M301" i="1"/>
  <c r="L301" i="1"/>
  <c r="J301" i="1"/>
  <c r="N300" i="1"/>
  <c r="M300" i="1"/>
  <c r="L300" i="1"/>
  <c r="N299" i="1"/>
  <c r="M299" i="1"/>
  <c r="L299" i="1"/>
  <c r="J299" i="1"/>
  <c r="N298" i="1"/>
  <c r="M298" i="1"/>
  <c r="L298" i="1"/>
  <c r="J298" i="1"/>
  <c r="N297" i="1"/>
  <c r="M297" i="1"/>
  <c r="L297" i="1"/>
  <c r="J297" i="1"/>
  <c r="N296" i="1"/>
  <c r="M296" i="1"/>
  <c r="L296" i="1"/>
  <c r="J296" i="1"/>
  <c r="N295" i="1"/>
  <c r="M295" i="1"/>
  <c r="L295" i="1"/>
  <c r="N294" i="1"/>
  <c r="M294" i="1"/>
  <c r="L294" i="1"/>
  <c r="N293" i="1"/>
  <c r="M293" i="1"/>
  <c r="L293" i="1"/>
  <c r="N292" i="1"/>
  <c r="M292" i="1"/>
  <c r="L292" i="1"/>
  <c r="J292" i="1"/>
  <c r="N291" i="1"/>
  <c r="M291" i="1"/>
  <c r="L291" i="1"/>
  <c r="J291" i="1"/>
  <c r="N290" i="1"/>
  <c r="M290" i="1"/>
  <c r="L290" i="1"/>
  <c r="N289" i="1"/>
  <c r="M289" i="1"/>
  <c r="L289" i="1"/>
  <c r="N288" i="1"/>
  <c r="M288" i="1"/>
  <c r="L288" i="1"/>
  <c r="N287" i="1"/>
  <c r="M287" i="1"/>
  <c r="L287" i="1"/>
  <c r="N286" i="1"/>
  <c r="M286" i="1"/>
  <c r="L286" i="1"/>
  <c r="N285" i="1"/>
  <c r="M285" i="1"/>
  <c r="L285" i="1"/>
  <c r="N284" i="1"/>
  <c r="M284" i="1"/>
  <c r="L284" i="1"/>
  <c r="N283" i="1"/>
  <c r="M283" i="1"/>
  <c r="L283" i="1"/>
  <c r="N282" i="1"/>
  <c r="M282" i="1"/>
  <c r="L282" i="1"/>
  <c r="N281" i="1"/>
  <c r="M281" i="1"/>
  <c r="L281" i="1"/>
  <c r="J281" i="1"/>
  <c r="N280" i="1"/>
  <c r="M280" i="1"/>
  <c r="L280" i="1"/>
  <c r="N279" i="1"/>
  <c r="M279" i="1"/>
  <c r="L279" i="1"/>
  <c r="N278" i="1"/>
  <c r="M278" i="1"/>
  <c r="L278" i="1"/>
  <c r="N277" i="1"/>
  <c r="M277" i="1"/>
  <c r="L277" i="1"/>
  <c r="N276" i="1"/>
  <c r="M276" i="1"/>
  <c r="L276" i="1"/>
  <c r="N275" i="1"/>
  <c r="M275" i="1"/>
  <c r="L275" i="1"/>
  <c r="N274" i="1"/>
  <c r="M274" i="1"/>
  <c r="L274" i="1"/>
  <c r="J274" i="1"/>
  <c r="N273" i="1"/>
  <c r="M273" i="1"/>
  <c r="L273" i="1"/>
  <c r="N272" i="1"/>
  <c r="M272" i="1"/>
  <c r="L272" i="1"/>
  <c r="J272" i="1"/>
  <c r="N271" i="1"/>
  <c r="M271" i="1"/>
  <c r="L271" i="1"/>
  <c r="N270" i="1"/>
  <c r="M270" i="1"/>
  <c r="L270" i="1"/>
  <c r="N269" i="1"/>
  <c r="M269" i="1"/>
  <c r="L269" i="1"/>
  <c r="J269" i="1"/>
  <c r="N268" i="1"/>
  <c r="M268" i="1"/>
  <c r="L268" i="1"/>
  <c r="J268" i="1"/>
  <c r="N267" i="1"/>
  <c r="M267" i="1"/>
  <c r="L267" i="1"/>
  <c r="N266" i="1"/>
  <c r="M266" i="1"/>
  <c r="L266" i="1"/>
  <c r="N265" i="1"/>
  <c r="M265" i="1"/>
  <c r="L265" i="1"/>
  <c r="N264" i="1"/>
  <c r="M264" i="1"/>
  <c r="L264" i="1"/>
  <c r="N263" i="1"/>
  <c r="M263" i="1"/>
  <c r="L263" i="1"/>
  <c r="N262" i="1"/>
  <c r="M262" i="1"/>
  <c r="L262" i="1"/>
  <c r="N261" i="1"/>
  <c r="M261" i="1"/>
  <c r="L261" i="1"/>
  <c r="N260" i="1"/>
  <c r="M260" i="1"/>
  <c r="L260" i="1"/>
  <c r="N259" i="1"/>
  <c r="M259" i="1"/>
  <c r="L259" i="1"/>
  <c r="J259" i="1"/>
  <c r="N258" i="1"/>
  <c r="M258" i="1"/>
  <c r="L258" i="1"/>
  <c r="N257" i="1"/>
  <c r="M257" i="1"/>
  <c r="L257" i="1"/>
  <c r="J257" i="1"/>
  <c r="N256" i="1"/>
  <c r="M256" i="1"/>
  <c r="L256" i="1"/>
  <c r="N255" i="1"/>
  <c r="M255" i="1"/>
  <c r="L255" i="1"/>
  <c r="N254" i="1"/>
  <c r="M254" i="1"/>
  <c r="L254" i="1"/>
  <c r="N253" i="1"/>
  <c r="M253" i="1"/>
  <c r="L253" i="1"/>
  <c r="N252" i="1"/>
  <c r="M252" i="1"/>
  <c r="L252" i="1"/>
  <c r="N251" i="1"/>
  <c r="M251" i="1"/>
  <c r="L251" i="1"/>
  <c r="N250" i="1"/>
  <c r="M250" i="1"/>
  <c r="L250" i="1"/>
  <c r="N249" i="1"/>
  <c r="M249" i="1"/>
  <c r="L249" i="1"/>
  <c r="N248" i="1"/>
  <c r="M248" i="1"/>
  <c r="L248" i="1"/>
  <c r="N247" i="1"/>
  <c r="M247" i="1"/>
  <c r="L247" i="1"/>
  <c r="N246" i="1"/>
  <c r="M246" i="1"/>
  <c r="L246" i="1"/>
  <c r="N245" i="1"/>
  <c r="M245" i="1"/>
  <c r="L245" i="1"/>
  <c r="N244" i="1"/>
  <c r="M244" i="1"/>
  <c r="L244" i="1"/>
  <c r="N243" i="1"/>
  <c r="M243" i="1"/>
  <c r="L243" i="1"/>
  <c r="N242" i="1"/>
  <c r="M242" i="1"/>
  <c r="L242" i="1"/>
  <c r="J242" i="1"/>
  <c r="N241" i="1"/>
  <c r="M241" i="1"/>
  <c r="L241" i="1"/>
  <c r="N240" i="1"/>
  <c r="M240" i="1"/>
  <c r="L240" i="1"/>
  <c r="N239" i="1"/>
  <c r="M239" i="1"/>
  <c r="L239" i="1"/>
  <c r="N238" i="1"/>
  <c r="M238" i="1"/>
  <c r="L238" i="1"/>
  <c r="N237" i="1"/>
  <c r="M237" i="1"/>
  <c r="L237" i="1"/>
  <c r="J237" i="1"/>
  <c r="N236" i="1"/>
  <c r="M236" i="1"/>
  <c r="L236" i="1"/>
  <c r="N235" i="1"/>
  <c r="M235" i="1"/>
  <c r="L235" i="1"/>
  <c r="N234" i="1"/>
  <c r="M234" i="1"/>
  <c r="L234" i="1"/>
  <c r="N233" i="1"/>
  <c r="M233" i="1"/>
  <c r="L233" i="1"/>
  <c r="N232" i="1"/>
  <c r="M232" i="1"/>
  <c r="L232" i="1"/>
  <c r="N231" i="1"/>
  <c r="M231" i="1"/>
  <c r="L231" i="1"/>
  <c r="N230" i="1"/>
  <c r="M230" i="1"/>
  <c r="L230" i="1"/>
  <c r="N229" i="1"/>
  <c r="M229" i="1"/>
  <c r="L229" i="1"/>
  <c r="N228" i="1"/>
  <c r="M228" i="1"/>
  <c r="L228" i="1"/>
  <c r="N227" i="1"/>
  <c r="M227" i="1"/>
  <c r="L227" i="1"/>
  <c r="N226" i="1"/>
  <c r="M226" i="1"/>
  <c r="L226" i="1"/>
  <c r="N225" i="1"/>
  <c r="M225" i="1"/>
  <c r="L225" i="1"/>
  <c r="N224" i="1"/>
  <c r="M224" i="1"/>
  <c r="L224" i="1"/>
  <c r="N223" i="1"/>
  <c r="M223" i="1"/>
  <c r="L223" i="1"/>
  <c r="N222" i="1"/>
  <c r="M222" i="1"/>
  <c r="L222" i="1"/>
  <c r="N221" i="1"/>
  <c r="M221" i="1"/>
  <c r="L221" i="1"/>
  <c r="N220" i="1"/>
  <c r="M220" i="1"/>
  <c r="L220" i="1"/>
  <c r="N219" i="1"/>
  <c r="M219" i="1"/>
  <c r="L219" i="1"/>
  <c r="N218" i="1"/>
  <c r="M218" i="1"/>
  <c r="L218" i="1"/>
  <c r="N217" i="1"/>
  <c r="M217" i="1"/>
  <c r="L217" i="1"/>
  <c r="N216" i="1"/>
  <c r="M216" i="1"/>
  <c r="L216" i="1"/>
  <c r="N215" i="1"/>
  <c r="M215" i="1"/>
  <c r="L215" i="1"/>
  <c r="N214" i="1"/>
  <c r="M214" i="1"/>
  <c r="L214" i="1"/>
  <c r="N213" i="1"/>
  <c r="M213" i="1"/>
  <c r="L213" i="1"/>
  <c r="N212" i="1"/>
  <c r="M212" i="1"/>
  <c r="L212" i="1"/>
  <c r="N211" i="1"/>
  <c r="M211" i="1"/>
  <c r="L211" i="1"/>
  <c r="N210" i="1"/>
  <c r="M210" i="1"/>
  <c r="L210" i="1"/>
  <c r="N209" i="1"/>
  <c r="M209" i="1"/>
  <c r="L209" i="1"/>
  <c r="N208" i="1"/>
  <c r="M208" i="1"/>
  <c r="L208" i="1"/>
  <c r="N207" i="1"/>
  <c r="M207" i="1"/>
  <c r="L207" i="1"/>
  <c r="J207" i="1"/>
  <c r="N206" i="1"/>
  <c r="M206" i="1"/>
  <c r="L206" i="1"/>
  <c r="N205" i="1"/>
  <c r="M205" i="1"/>
  <c r="L205" i="1"/>
  <c r="N204" i="1"/>
  <c r="M204" i="1"/>
  <c r="L204" i="1"/>
  <c r="N203" i="1"/>
  <c r="M203" i="1"/>
  <c r="L203" i="1"/>
  <c r="N202" i="1"/>
  <c r="M202" i="1"/>
  <c r="L202" i="1"/>
  <c r="N201" i="1"/>
  <c r="M201" i="1"/>
  <c r="L201" i="1"/>
  <c r="N200" i="1"/>
  <c r="M200" i="1"/>
  <c r="L200" i="1"/>
  <c r="J200" i="1"/>
  <c r="N199" i="1"/>
  <c r="M199" i="1"/>
  <c r="L199" i="1"/>
  <c r="N198" i="1"/>
  <c r="M198" i="1"/>
  <c r="L198" i="1"/>
  <c r="N197" i="1"/>
  <c r="M197" i="1"/>
  <c r="L197" i="1"/>
  <c r="N196" i="1"/>
  <c r="M196" i="1"/>
  <c r="L196" i="1"/>
  <c r="N195" i="1"/>
  <c r="M195" i="1"/>
  <c r="L195" i="1"/>
  <c r="N194" i="1"/>
  <c r="M194" i="1"/>
  <c r="L194" i="1"/>
  <c r="N193" i="1"/>
  <c r="M193" i="1"/>
  <c r="L193" i="1"/>
  <c r="N192" i="1"/>
  <c r="M192" i="1"/>
  <c r="L192" i="1"/>
  <c r="N191" i="1"/>
  <c r="M191" i="1"/>
  <c r="L191" i="1"/>
  <c r="N190" i="1"/>
  <c r="M190" i="1"/>
  <c r="L190" i="1"/>
  <c r="N189" i="1"/>
  <c r="M189" i="1"/>
  <c r="L189" i="1"/>
  <c r="N188" i="1"/>
  <c r="M188" i="1"/>
  <c r="L188" i="1"/>
  <c r="N187" i="1"/>
  <c r="M187" i="1"/>
  <c r="L187" i="1"/>
  <c r="N186" i="1"/>
  <c r="M186" i="1"/>
  <c r="L186" i="1"/>
  <c r="N185" i="1"/>
  <c r="M185" i="1"/>
  <c r="L185" i="1"/>
  <c r="N184" i="1"/>
  <c r="M184" i="1"/>
  <c r="L184" i="1"/>
  <c r="N183" i="1"/>
  <c r="M183" i="1"/>
  <c r="L183" i="1"/>
  <c r="N182" i="1"/>
  <c r="M182" i="1"/>
  <c r="L182" i="1"/>
  <c r="N181" i="1"/>
  <c r="M181" i="1"/>
  <c r="L181" i="1"/>
  <c r="N180" i="1"/>
  <c r="M180" i="1"/>
  <c r="L180" i="1"/>
  <c r="N179" i="1"/>
  <c r="M179" i="1"/>
  <c r="L179" i="1"/>
  <c r="N178" i="1"/>
  <c r="M178" i="1"/>
  <c r="L178" i="1"/>
  <c r="N177" i="1"/>
  <c r="M177" i="1"/>
  <c r="L177" i="1"/>
  <c r="N176" i="1"/>
  <c r="M176" i="1"/>
  <c r="L176" i="1"/>
  <c r="N175" i="1"/>
  <c r="M175" i="1"/>
  <c r="L175" i="1"/>
  <c r="N174" i="1"/>
  <c r="M174" i="1"/>
  <c r="L174" i="1"/>
  <c r="N173" i="1"/>
  <c r="M173" i="1"/>
  <c r="L173" i="1"/>
  <c r="N172" i="1"/>
  <c r="M172" i="1"/>
  <c r="L172" i="1"/>
  <c r="N171" i="1"/>
  <c r="M171" i="1"/>
  <c r="L171" i="1"/>
  <c r="N170" i="1"/>
  <c r="M170" i="1"/>
  <c r="L170" i="1"/>
  <c r="N169" i="1"/>
  <c r="M169" i="1"/>
  <c r="L169" i="1"/>
  <c r="N168" i="1"/>
  <c r="M168" i="1"/>
  <c r="L168" i="1"/>
  <c r="N167" i="1"/>
  <c r="M167" i="1"/>
  <c r="L167" i="1"/>
  <c r="N166" i="1"/>
  <c r="M166" i="1"/>
  <c r="L166" i="1"/>
  <c r="N165" i="1"/>
  <c r="M165" i="1"/>
  <c r="L165" i="1"/>
  <c r="N164" i="1"/>
  <c r="M164" i="1"/>
  <c r="L164" i="1"/>
  <c r="N163" i="1"/>
  <c r="M163" i="1"/>
  <c r="L163" i="1"/>
  <c r="N162" i="1"/>
  <c r="M162" i="1"/>
  <c r="L162" i="1"/>
  <c r="N161" i="1"/>
  <c r="M161" i="1"/>
  <c r="L161" i="1"/>
  <c r="N160" i="1"/>
  <c r="M160" i="1"/>
  <c r="L160" i="1"/>
  <c r="N159" i="1"/>
  <c r="M159" i="1"/>
  <c r="L159" i="1"/>
  <c r="N158" i="1"/>
  <c r="M158" i="1"/>
  <c r="L158" i="1"/>
  <c r="N157" i="1"/>
  <c r="M157" i="1"/>
  <c r="L157" i="1"/>
  <c r="N156" i="1"/>
  <c r="M156" i="1"/>
  <c r="L156" i="1"/>
  <c r="N155" i="1"/>
  <c r="M155" i="1"/>
  <c r="L155" i="1"/>
  <c r="N154" i="1"/>
  <c r="M154" i="1"/>
  <c r="L154" i="1"/>
  <c r="N153" i="1"/>
  <c r="M153" i="1"/>
  <c r="L153" i="1"/>
  <c r="N152" i="1"/>
  <c r="M152" i="1"/>
  <c r="L152" i="1"/>
  <c r="N151" i="1"/>
  <c r="M151" i="1"/>
  <c r="L151" i="1"/>
  <c r="N150" i="1"/>
  <c r="M150" i="1"/>
  <c r="L150" i="1"/>
  <c r="N149" i="1"/>
  <c r="M149" i="1"/>
  <c r="L149" i="1"/>
  <c r="N148" i="1"/>
  <c r="M148" i="1"/>
  <c r="L148" i="1"/>
  <c r="J148" i="1"/>
  <c r="N147" i="1"/>
  <c r="M147" i="1"/>
  <c r="L147" i="1"/>
  <c r="N146" i="1"/>
  <c r="M146" i="1"/>
  <c r="L146" i="1"/>
  <c r="N145" i="1"/>
  <c r="M145" i="1"/>
  <c r="L145" i="1"/>
  <c r="N144" i="1"/>
  <c r="M144" i="1"/>
  <c r="L144" i="1"/>
  <c r="N143" i="1"/>
  <c r="M143" i="1"/>
  <c r="L143" i="1"/>
  <c r="N142" i="1"/>
  <c r="M142" i="1"/>
  <c r="L142" i="1"/>
  <c r="N141" i="1"/>
  <c r="M141" i="1"/>
  <c r="L141" i="1"/>
  <c r="N140" i="1"/>
  <c r="M140" i="1"/>
  <c r="L140" i="1"/>
  <c r="N139" i="1"/>
  <c r="M139" i="1"/>
  <c r="L139" i="1"/>
  <c r="N138" i="1"/>
  <c r="M138" i="1"/>
  <c r="L138" i="1"/>
  <c r="N137" i="1"/>
  <c r="M137" i="1"/>
  <c r="L137" i="1"/>
  <c r="N136" i="1"/>
  <c r="M136" i="1"/>
  <c r="L136" i="1"/>
  <c r="N135" i="1"/>
  <c r="M135" i="1"/>
  <c r="L135" i="1"/>
  <c r="N134" i="1"/>
  <c r="M134" i="1"/>
  <c r="L134" i="1"/>
  <c r="N133" i="1"/>
  <c r="M133" i="1"/>
  <c r="L133" i="1"/>
  <c r="N132" i="1"/>
  <c r="M132" i="1"/>
  <c r="L132" i="1"/>
  <c r="N131" i="1"/>
  <c r="M131" i="1"/>
  <c r="L131" i="1"/>
  <c r="N130" i="1"/>
  <c r="M130" i="1"/>
  <c r="L130" i="1"/>
  <c r="N129" i="1"/>
  <c r="M129" i="1"/>
  <c r="L129" i="1"/>
  <c r="N128" i="1"/>
  <c r="M128" i="1"/>
  <c r="L128" i="1"/>
  <c r="N127" i="1"/>
  <c r="M127" i="1"/>
  <c r="L127" i="1"/>
  <c r="N126" i="1"/>
  <c r="M126" i="1"/>
  <c r="L126" i="1"/>
  <c r="N125" i="1"/>
  <c r="M125" i="1"/>
  <c r="L125" i="1"/>
  <c r="N124" i="1"/>
  <c r="M124" i="1"/>
  <c r="L124" i="1"/>
  <c r="N123" i="1"/>
  <c r="M123" i="1"/>
  <c r="L123" i="1"/>
  <c r="N122" i="1"/>
  <c r="M122" i="1"/>
  <c r="L122" i="1"/>
  <c r="N121" i="1"/>
  <c r="M121" i="1"/>
  <c r="L121" i="1"/>
  <c r="N120" i="1"/>
  <c r="M120" i="1"/>
  <c r="L120" i="1"/>
  <c r="N119" i="1"/>
  <c r="M119" i="1"/>
  <c r="L119" i="1"/>
  <c r="N118" i="1"/>
  <c r="M118" i="1"/>
  <c r="L118" i="1"/>
  <c r="N117" i="1"/>
  <c r="M117" i="1"/>
  <c r="L117" i="1"/>
  <c r="N116" i="1"/>
  <c r="M116" i="1"/>
  <c r="L116" i="1"/>
  <c r="N115" i="1"/>
  <c r="M115" i="1"/>
  <c r="L115" i="1"/>
  <c r="N114" i="1"/>
  <c r="M114" i="1"/>
  <c r="L114" i="1"/>
  <c r="N113" i="1"/>
  <c r="M113" i="1"/>
  <c r="L113" i="1"/>
  <c r="N112" i="1"/>
  <c r="M112" i="1"/>
  <c r="L112" i="1"/>
  <c r="N111" i="1"/>
  <c r="M111" i="1"/>
  <c r="L111" i="1"/>
  <c r="N110" i="1"/>
  <c r="M110" i="1"/>
  <c r="L110" i="1"/>
  <c r="N109" i="1"/>
  <c r="M109" i="1"/>
  <c r="L109" i="1"/>
  <c r="N108" i="1"/>
  <c r="M108" i="1"/>
  <c r="L108" i="1"/>
  <c r="N107" i="1"/>
  <c r="M107" i="1"/>
  <c r="L107" i="1"/>
  <c r="N106" i="1"/>
  <c r="M106" i="1"/>
  <c r="L106" i="1"/>
  <c r="N105" i="1"/>
  <c r="M105" i="1"/>
  <c r="L105" i="1"/>
  <c r="N104" i="1"/>
  <c r="M104" i="1"/>
  <c r="L104" i="1"/>
  <c r="N103" i="1"/>
  <c r="M103" i="1"/>
  <c r="L103" i="1"/>
  <c r="N102" i="1"/>
  <c r="M102" i="1"/>
  <c r="L102" i="1"/>
  <c r="N101" i="1"/>
  <c r="M101" i="1"/>
  <c r="L101" i="1"/>
  <c r="N100" i="1"/>
  <c r="M100" i="1"/>
  <c r="L100" i="1"/>
  <c r="N99" i="1"/>
  <c r="M99" i="1"/>
  <c r="L99" i="1"/>
  <c r="N98" i="1"/>
  <c r="M98" i="1"/>
  <c r="L98" i="1"/>
  <c r="N97" i="1"/>
  <c r="M97" i="1"/>
  <c r="L97" i="1"/>
  <c r="N96" i="1"/>
  <c r="M96" i="1"/>
  <c r="L96" i="1"/>
  <c r="N95" i="1"/>
  <c r="M95" i="1"/>
  <c r="L95" i="1"/>
  <c r="N94" i="1"/>
  <c r="M94" i="1"/>
  <c r="L94" i="1"/>
  <c r="N93" i="1"/>
  <c r="M93" i="1"/>
  <c r="L93" i="1"/>
  <c r="N92" i="1"/>
  <c r="M92" i="1"/>
  <c r="L92" i="1"/>
  <c r="N91" i="1"/>
  <c r="M91" i="1"/>
  <c r="L91" i="1"/>
  <c r="N90" i="1"/>
  <c r="M90" i="1"/>
  <c r="L90" i="1"/>
  <c r="N89" i="1"/>
  <c r="M89" i="1"/>
  <c r="L89" i="1"/>
  <c r="N88" i="1"/>
  <c r="M88" i="1"/>
  <c r="L88" i="1"/>
  <c r="N87" i="1"/>
  <c r="M87" i="1"/>
  <c r="L87" i="1"/>
  <c r="N86" i="1"/>
  <c r="M86" i="1"/>
  <c r="L86" i="1"/>
  <c r="N85" i="1"/>
  <c r="M85" i="1"/>
  <c r="L85" i="1"/>
  <c r="N84" i="1"/>
  <c r="M84" i="1"/>
  <c r="L84" i="1"/>
  <c r="N83" i="1"/>
  <c r="M83" i="1"/>
  <c r="L83" i="1"/>
  <c r="N82" i="1"/>
  <c r="M82" i="1"/>
  <c r="L82" i="1"/>
  <c r="N81" i="1"/>
  <c r="M81" i="1"/>
  <c r="L81" i="1"/>
  <c r="N80" i="1"/>
  <c r="M80" i="1"/>
  <c r="L80" i="1"/>
  <c r="N79" i="1"/>
  <c r="M79" i="1"/>
  <c r="L79" i="1"/>
  <c r="N78" i="1"/>
  <c r="M78" i="1"/>
  <c r="L78" i="1"/>
  <c r="N77" i="1"/>
  <c r="M77" i="1"/>
  <c r="L77" i="1"/>
  <c r="N76" i="1"/>
  <c r="M76" i="1"/>
  <c r="L76" i="1"/>
  <c r="N75" i="1"/>
  <c r="M75" i="1"/>
  <c r="L75" i="1"/>
  <c r="N74" i="1"/>
  <c r="M74" i="1"/>
  <c r="L74" i="1"/>
  <c r="N73" i="1"/>
  <c r="M73" i="1"/>
  <c r="L73" i="1"/>
  <c r="N72" i="1"/>
  <c r="M72" i="1"/>
  <c r="L72" i="1"/>
  <c r="N71" i="1"/>
  <c r="M71" i="1"/>
  <c r="L71" i="1"/>
  <c r="N70" i="1"/>
  <c r="M70" i="1"/>
  <c r="L70" i="1"/>
  <c r="N69" i="1"/>
  <c r="M69" i="1"/>
  <c r="L69" i="1"/>
  <c r="N68" i="1"/>
  <c r="M68" i="1"/>
  <c r="L68" i="1"/>
  <c r="N67" i="1"/>
  <c r="M67" i="1"/>
  <c r="L67" i="1"/>
  <c r="N66" i="1"/>
  <c r="M66" i="1"/>
  <c r="L66" i="1"/>
  <c r="N65" i="1"/>
  <c r="M65" i="1"/>
  <c r="L65" i="1"/>
  <c r="N64" i="1"/>
  <c r="M64" i="1"/>
  <c r="L64" i="1"/>
  <c r="N63" i="1"/>
  <c r="M63" i="1"/>
  <c r="L63" i="1"/>
  <c r="N62" i="1"/>
  <c r="M62" i="1"/>
  <c r="L62" i="1"/>
  <c r="N61" i="1"/>
  <c r="M61" i="1"/>
  <c r="L61" i="1"/>
  <c r="N60" i="1"/>
  <c r="M60" i="1"/>
  <c r="L60" i="1"/>
  <c r="N59" i="1"/>
  <c r="M59" i="1"/>
  <c r="L59" i="1"/>
  <c r="N58" i="1"/>
  <c r="M58" i="1"/>
  <c r="L58" i="1"/>
  <c r="N57" i="1"/>
  <c r="M57" i="1"/>
  <c r="L57" i="1"/>
  <c r="N56" i="1"/>
  <c r="M56" i="1"/>
  <c r="L56" i="1"/>
  <c r="N55" i="1"/>
  <c r="M55" i="1"/>
  <c r="L55" i="1"/>
  <c r="N54" i="1"/>
  <c r="M54" i="1"/>
  <c r="L54" i="1"/>
  <c r="N53" i="1"/>
  <c r="M53" i="1"/>
  <c r="L53" i="1"/>
  <c r="N52" i="1"/>
  <c r="M52" i="1"/>
  <c r="L52" i="1"/>
  <c r="N51" i="1"/>
  <c r="M51" i="1"/>
  <c r="L51" i="1"/>
  <c r="N50" i="1"/>
  <c r="M50" i="1"/>
  <c r="L50" i="1"/>
  <c r="N49" i="1"/>
  <c r="M49" i="1"/>
  <c r="L49" i="1"/>
  <c r="N48" i="1"/>
  <c r="M48" i="1"/>
  <c r="L48" i="1"/>
  <c r="N47" i="1"/>
  <c r="M47" i="1"/>
  <c r="L47" i="1"/>
  <c r="N46" i="1"/>
  <c r="M46" i="1"/>
  <c r="L46" i="1"/>
  <c r="N45" i="1"/>
  <c r="M45" i="1"/>
  <c r="L45" i="1"/>
  <c r="N44" i="1"/>
  <c r="M44" i="1"/>
  <c r="L44" i="1"/>
  <c r="N43" i="1"/>
  <c r="M43" i="1"/>
  <c r="L43" i="1"/>
  <c r="N42" i="1"/>
  <c r="M42" i="1"/>
  <c r="L42" i="1"/>
  <c r="N41" i="1"/>
  <c r="M41" i="1"/>
  <c r="L41" i="1"/>
  <c r="N40" i="1"/>
  <c r="M40" i="1"/>
  <c r="L40" i="1"/>
  <c r="N39" i="1"/>
  <c r="M39" i="1"/>
  <c r="L39" i="1"/>
  <c r="N38" i="1"/>
  <c r="M38" i="1"/>
  <c r="L38" i="1"/>
  <c r="N37" i="1"/>
  <c r="M37" i="1"/>
  <c r="L37" i="1"/>
  <c r="N36" i="1"/>
  <c r="M36" i="1"/>
  <c r="L36" i="1"/>
  <c r="N35" i="1"/>
  <c r="M35" i="1"/>
  <c r="L35" i="1"/>
  <c r="N34" i="1"/>
  <c r="M34" i="1"/>
  <c r="L34" i="1"/>
  <c r="N33" i="1"/>
  <c r="M33" i="1"/>
  <c r="L33" i="1"/>
  <c r="N32" i="1"/>
  <c r="M32" i="1"/>
  <c r="L32" i="1"/>
  <c r="N31" i="1"/>
  <c r="M31" i="1"/>
  <c r="L31" i="1"/>
  <c r="N30" i="1"/>
  <c r="M30" i="1"/>
  <c r="L30" i="1"/>
  <c r="N29" i="1"/>
  <c r="M29" i="1"/>
  <c r="L29" i="1"/>
  <c r="N28" i="1"/>
  <c r="M28" i="1"/>
  <c r="L28" i="1"/>
  <c r="N27" i="1"/>
  <c r="M27" i="1"/>
  <c r="L27" i="1"/>
  <c r="N26" i="1"/>
  <c r="M26" i="1"/>
  <c r="L26" i="1"/>
  <c r="N25" i="1"/>
  <c r="M25" i="1"/>
  <c r="L25" i="1"/>
  <c r="N24" i="1"/>
  <c r="M24" i="1"/>
  <c r="L24" i="1"/>
  <c r="N23" i="1"/>
  <c r="M23" i="1"/>
  <c r="L23" i="1"/>
  <c r="N22" i="1"/>
  <c r="M22" i="1"/>
  <c r="L22" i="1"/>
  <c r="N21" i="1"/>
  <c r="M21" i="1"/>
  <c r="L21" i="1"/>
  <c r="N20" i="1"/>
  <c r="M20" i="1"/>
  <c r="L20" i="1"/>
  <c r="N19" i="1"/>
  <c r="M19" i="1"/>
  <c r="L19" i="1"/>
  <c r="N18" i="1"/>
  <c r="M18" i="1"/>
  <c r="L18" i="1"/>
  <c r="N17" i="1"/>
  <c r="M17" i="1"/>
  <c r="L17" i="1"/>
  <c r="N16" i="1"/>
  <c r="M16" i="1"/>
  <c r="L16" i="1"/>
  <c r="N15" i="1"/>
  <c r="M15" i="1"/>
  <c r="L15" i="1"/>
  <c r="N14" i="1"/>
  <c r="M14" i="1"/>
  <c r="L14" i="1"/>
  <c r="N13" i="1"/>
  <c r="M13" i="1"/>
  <c r="L13" i="1"/>
  <c r="N12" i="1"/>
  <c r="M12" i="1"/>
  <c r="L12" i="1"/>
  <c r="N11" i="1"/>
  <c r="M11" i="1"/>
  <c r="L11" i="1"/>
  <c r="N10" i="1"/>
  <c r="M10" i="1"/>
  <c r="L10" i="1"/>
  <c r="N9" i="1"/>
  <c r="M9" i="1"/>
  <c r="L9" i="1"/>
  <c r="N8" i="1"/>
  <c r="M8" i="1"/>
  <c r="L8" i="1"/>
  <c r="N7" i="1"/>
  <c r="M7" i="1"/>
  <c r="L7" i="1"/>
  <c r="N6" i="1"/>
  <c r="M6" i="1"/>
  <c r="L6" i="1"/>
  <c r="N5" i="1"/>
  <c r="M5" i="1"/>
  <c r="L5" i="1"/>
  <c r="N4" i="1"/>
  <c r="M4" i="1"/>
  <c r="L4" i="1"/>
  <c r="N3" i="1"/>
  <c r="M3" i="1"/>
  <c r="L3" i="1"/>
  <c r="N2" i="1"/>
  <c r="M2" i="1"/>
  <c r="L2" i="1"/>
  <c r="C68" i="3" l="1"/>
  <c r="G56" i="2"/>
  <c r="G57" i="2"/>
  <c r="D65" i="2"/>
  <c r="D58" i="2"/>
  <c r="J51" i="2"/>
  <c r="J59" i="2"/>
  <c r="J63" i="2"/>
  <c r="G68" i="2"/>
  <c r="G69" i="2"/>
  <c r="J68" i="2"/>
  <c r="N53" i="2"/>
  <c r="N54" i="2"/>
  <c r="N58" i="2"/>
  <c r="D53" i="2"/>
  <c r="N57" i="2"/>
  <c r="O56" i="2"/>
  <c r="P31" i="2"/>
  <c r="O60" i="2"/>
  <c r="N66" i="2"/>
  <c r="N69" i="2"/>
  <c r="N70" i="2"/>
  <c r="M58" i="2"/>
  <c r="P29" i="2"/>
  <c r="P32" i="2"/>
  <c r="D57" i="2" s="1"/>
  <c r="P35" i="2"/>
  <c r="G60" i="2" s="1"/>
  <c r="B63" i="2"/>
  <c r="P38" i="2"/>
  <c r="M63" i="2" s="1"/>
  <c r="O65" i="2"/>
  <c r="D61" i="2"/>
  <c r="M54" i="2"/>
  <c r="M66" i="2"/>
  <c r="O53" i="2"/>
  <c r="P25" i="2"/>
  <c r="J50" i="2" s="1"/>
  <c r="P26" i="2"/>
  <c r="P27" i="2"/>
  <c r="P28" i="2"/>
  <c r="O55" i="2"/>
  <c r="P33" i="2"/>
  <c r="N59" i="2"/>
  <c r="G59" i="2"/>
  <c r="D59" i="2"/>
  <c r="O59" i="2"/>
  <c r="P36" i="2"/>
  <c r="G61" i="2" s="1"/>
  <c r="G62" i="2"/>
  <c r="B62" i="2"/>
  <c r="P62" i="2" s="1"/>
  <c r="O62" i="2"/>
  <c r="J62" i="2"/>
  <c r="C53" i="2"/>
  <c r="C54" i="2"/>
  <c r="P30" i="2"/>
  <c r="B55" i="2"/>
  <c r="C58" i="2"/>
  <c r="C59" i="2"/>
  <c r="C62" i="2"/>
  <c r="C63" i="2"/>
  <c r="P40" i="2"/>
  <c r="P41" i="2"/>
  <c r="P42" i="2"/>
  <c r="B67" i="2" s="1"/>
  <c r="P43" i="2"/>
  <c r="P44" i="2"/>
  <c r="P45" i="2"/>
  <c r="D71" i="2"/>
  <c r="O71" i="2"/>
  <c r="N71" i="2"/>
  <c r="G71" i="2"/>
  <c r="C72" i="2"/>
  <c r="B72" i="2"/>
  <c r="N72" i="2"/>
  <c r="M72" i="2"/>
  <c r="D72" i="2"/>
  <c r="B51" i="2"/>
  <c r="B59" i="2"/>
  <c r="C3" i="5"/>
  <c r="I11" i="5"/>
  <c r="I12" i="5"/>
  <c r="I13" i="5"/>
  <c r="I18" i="5"/>
  <c r="I19" i="5"/>
  <c r="I20" i="5"/>
  <c r="B27" i="5"/>
  <c r="C28" i="5"/>
  <c r="D32" i="5"/>
  <c r="D33" i="5"/>
  <c r="E34" i="5"/>
  <c r="F35" i="5"/>
  <c r="G39" i="5"/>
  <c r="G40" i="5"/>
  <c r="G41" i="5"/>
  <c r="G46" i="5"/>
  <c r="G47" i="5"/>
  <c r="H48" i="5"/>
  <c r="B52" i="2"/>
  <c r="B60" i="2"/>
  <c r="B68" i="2"/>
  <c r="D3" i="5"/>
  <c r="F4" i="5"/>
  <c r="B11" i="5"/>
  <c r="B12" i="5"/>
  <c r="B13" i="5"/>
  <c r="B18" i="5"/>
  <c r="B19" i="5"/>
  <c r="B20" i="5"/>
  <c r="B25" i="5"/>
  <c r="B26" i="5"/>
  <c r="D28" i="5"/>
  <c r="E32" i="5"/>
  <c r="E33" i="5"/>
  <c r="G35" i="5"/>
  <c r="H39" i="5"/>
  <c r="H40" i="5"/>
  <c r="H41" i="5"/>
  <c r="H46" i="5"/>
  <c r="H47" i="5"/>
  <c r="B49" i="5"/>
  <c r="C11" i="5"/>
  <c r="C12" i="5"/>
  <c r="C13" i="5"/>
  <c r="C18" i="5"/>
  <c r="C19" i="5"/>
  <c r="C20" i="5"/>
  <c r="C25" i="5"/>
  <c r="D27" i="5"/>
  <c r="F32" i="5"/>
  <c r="G34" i="5"/>
  <c r="I39" i="5"/>
  <c r="I40" i="5"/>
  <c r="I41" i="5"/>
  <c r="B48" i="5"/>
  <c r="C49" i="5"/>
  <c r="F3" i="5"/>
  <c r="D11" i="5"/>
  <c r="D12" i="5"/>
  <c r="D13" i="5"/>
  <c r="D18" i="5"/>
  <c r="D19" i="5"/>
  <c r="D20" i="5"/>
  <c r="D25" i="5"/>
  <c r="F28" i="5"/>
  <c r="G32" i="5"/>
  <c r="B39" i="5"/>
  <c r="B40" i="5"/>
  <c r="B41" i="5"/>
  <c r="B46" i="5"/>
  <c r="C48" i="5"/>
  <c r="D49" i="5"/>
  <c r="P39" i="2"/>
  <c r="J64" i="2" s="1"/>
  <c r="B71" i="2"/>
  <c r="P71" i="2" s="1"/>
  <c r="C5" i="5"/>
  <c r="E11" i="5"/>
  <c r="E12" i="5"/>
  <c r="E13" i="5"/>
  <c r="E18" i="5"/>
  <c r="E19" i="5"/>
  <c r="E20" i="5"/>
  <c r="E25" i="5"/>
  <c r="F27" i="5"/>
  <c r="G28" i="5"/>
  <c r="H32" i="5"/>
  <c r="B35" i="5"/>
  <c r="C39" i="5"/>
  <c r="C40" i="5"/>
  <c r="C41" i="5"/>
  <c r="C46" i="5"/>
  <c r="D48" i="5"/>
  <c r="E49" i="5"/>
  <c r="F11" i="5"/>
  <c r="F12" i="5"/>
  <c r="F13" i="5"/>
  <c r="F18" i="5"/>
  <c r="F19" i="5"/>
  <c r="F20" i="5"/>
  <c r="F25" i="5"/>
  <c r="D39" i="5"/>
  <c r="D40" i="5"/>
  <c r="D41" i="5"/>
  <c r="D46" i="5"/>
  <c r="E48" i="5"/>
  <c r="F49" i="5"/>
  <c r="G11" i="5"/>
  <c r="G12" i="5"/>
  <c r="G13" i="5"/>
  <c r="G18" i="5"/>
  <c r="G19" i="5"/>
  <c r="G20" i="5"/>
  <c r="G25" i="5"/>
  <c r="H27" i="5"/>
  <c r="B32" i="5"/>
  <c r="C34" i="5"/>
  <c r="D35" i="5"/>
  <c r="E39" i="5"/>
  <c r="E40" i="5"/>
  <c r="E41" i="5"/>
  <c r="E46" i="5"/>
  <c r="F48" i="5"/>
  <c r="G49" i="5"/>
  <c r="H11" i="5"/>
  <c r="H12" i="5"/>
  <c r="H13" i="5"/>
  <c r="H18" i="5"/>
  <c r="H19" i="5"/>
  <c r="H20" i="5"/>
  <c r="H25" i="5"/>
  <c r="C32" i="5"/>
  <c r="F39" i="5"/>
  <c r="F40" i="5"/>
  <c r="F41" i="5"/>
  <c r="F46" i="5"/>
  <c r="O66" i="2" l="1"/>
  <c r="J66" i="2"/>
  <c r="G66" i="2"/>
  <c r="B66" i="2"/>
  <c r="D55" i="2"/>
  <c r="C55" i="2"/>
  <c r="P55" i="2" s="1"/>
  <c r="N55" i="2"/>
  <c r="G55" i="2"/>
  <c r="J53" i="2"/>
  <c r="G53" i="2"/>
  <c r="B53" i="2"/>
  <c r="M53" i="2"/>
  <c r="O64" i="2"/>
  <c r="C66" i="2"/>
  <c r="O57" i="2"/>
  <c r="M55" i="2"/>
  <c r="N67" i="2"/>
  <c r="G67" i="2"/>
  <c r="D67" i="2"/>
  <c r="O67" i="2"/>
  <c r="P59" i="2"/>
  <c r="B65" i="2"/>
  <c r="P65" i="2" s="1"/>
  <c r="M65" i="2"/>
  <c r="J65" i="2"/>
  <c r="C65" i="2"/>
  <c r="J61" i="2"/>
  <c r="C61" i="2"/>
  <c r="B61" i="2"/>
  <c r="M61" i="2"/>
  <c r="M52" i="2"/>
  <c r="P52" i="2" s="1"/>
  <c r="J52" i="2"/>
  <c r="C52" i="2"/>
  <c r="N52" i="2"/>
  <c r="J55" i="2"/>
  <c r="D63" i="2"/>
  <c r="O63" i="2"/>
  <c r="N63" i="2"/>
  <c r="G63" i="2"/>
  <c r="P63" i="2" s="1"/>
  <c r="C56" i="2"/>
  <c r="B56" i="2"/>
  <c r="N56" i="2"/>
  <c r="M56" i="2"/>
  <c r="D56" i="2"/>
  <c r="G65" i="2"/>
  <c r="C67" i="2"/>
  <c r="P67" i="2" s="1"/>
  <c r="B64" i="2"/>
  <c r="N51" i="2"/>
  <c r="M51" i="2"/>
  <c r="D51" i="2"/>
  <c r="O51" i="2"/>
  <c r="G64" i="2"/>
  <c r="C51" i="2"/>
  <c r="P51" i="2" s="1"/>
  <c r="O50" i="2"/>
  <c r="N50" i="2"/>
  <c r="G50" i="2"/>
  <c r="B50" i="2"/>
  <c r="M50" i="2"/>
  <c r="M60" i="2"/>
  <c r="D60" i="2"/>
  <c r="C60" i="2"/>
  <c r="P60" i="2" s="1"/>
  <c r="N60" i="2"/>
  <c r="D50" i="2"/>
  <c r="G70" i="2"/>
  <c r="B70" i="2"/>
  <c r="O70" i="2"/>
  <c r="J70" i="2"/>
  <c r="C50" i="2"/>
  <c r="B57" i="2"/>
  <c r="M57" i="2"/>
  <c r="J57" i="2"/>
  <c r="C57" i="2"/>
  <c r="J60" i="2"/>
  <c r="D70" i="2"/>
  <c r="G52" i="2"/>
  <c r="J69" i="2"/>
  <c r="C69" i="2"/>
  <c r="B69" i="2"/>
  <c r="M69" i="2"/>
  <c r="O52" i="2"/>
  <c r="O69" i="2"/>
  <c r="G54" i="2"/>
  <c r="D54" i="2"/>
  <c r="O54" i="2"/>
  <c r="J54" i="2"/>
  <c r="N65" i="2"/>
  <c r="M70" i="2"/>
  <c r="J67" i="2"/>
  <c r="D69" i="2"/>
  <c r="G51" i="2"/>
  <c r="C64" i="2"/>
  <c r="N64" i="2"/>
  <c r="M64" i="2"/>
  <c r="D64" i="2"/>
  <c r="P72" i="2"/>
  <c r="M68" i="2"/>
  <c r="D68" i="2"/>
  <c r="C68" i="2"/>
  <c r="P68" i="2" s="1"/>
  <c r="N68" i="2"/>
  <c r="O58" i="2"/>
  <c r="J58" i="2"/>
  <c r="G58" i="2"/>
  <c r="B58" i="2"/>
  <c r="P58" i="2" s="1"/>
  <c r="M67" i="2"/>
  <c r="O68" i="2"/>
  <c r="B54" i="2"/>
  <c r="P54" i="2" s="1"/>
  <c r="O61" i="2"/>
  <c r="N61" i="2"/>
  <c r="D52" i="2"/>
  <c r="J56" i="2"/>
  <c r="D66" i="2"/>
  <c r="C70" i="2"/>
  <c r="P70" i="2" l="1"/>
  <c r="P66" i="2"/>
  <c r="P57" i="2"/>
  <c r="P69" i="2"/>
  <c r="P64" i="2"/>
  <c r="P50" i="2"/>
  <c r="P61" i="2"/>
  <c r="P53" i="2"/>
  <c r="P56" i="2"/>
</calcChain>
</file>

<file path=xl/sharedStrings.xml><?xml version="1.0" encoding="utf-8"?>
<sst xmlns="http://schemas.openxmlformats.org/spreadsheetml/2006/main" count="13931" uniqueCount="1603">
  <si>
    <t>Name</t>
  </si>
  <si>
    <t>Gender</t>
  </si>
  <si>
    <t>Race/Ethnicity</t>
  </si>
  <si>
    <t>National Heritage</t>
  </si>
  <si>
    <t>Birth Date</t>
  </si>
  <si>
    <t>Highest Degree</t>
  </si>
  <si>
    <t>Year</t>
  </si>
  <si>
    <t>Group</t>
  </si>
  <si>
    <t>Announcement</t>
  </si>
  <si>
    <t>Career End</t>
  </si>
  <si>
    <t>Career End Type</t>
  </si>
  <si>
    <t>Career Length</t>
  </si>
  <si>
    <t>Selection to First Flight</t>
  </si>
  <si>
    <t>Last Flight to Career End</t>
  </si>
  <si>
    <t>Nationality_1</t>
  </si>
  <si>
    <t>Nationality_2</t>
  </si>
  <si>
    <t>Status</t>
  </si>
  <si>
    <t>Birth Place</t>
  </si>
  <si>
    <t>Alma Mater</t>
  </si>
  <si>
    <t>Undergraduate Major</t>
  </si>
  <si>
    <t>Graduate Major</t>
  </si>
  <si>
    <t>Military Rank</t>
  </si>
  <si>
    <t>Military Branch</t>
  </si>
  <si>
    <t>Space Flights</t>
  </si>
  <si>
    <t>First Flight Date</t>
  </si>
  <si>
    <t>Last Flight Date</t>
  </si>
  <si>
    <t>Space Flight (hr)</t>
  </si>
  <si>
    <t>Space Walks</t>
  </si>
  <si>
    <t>Space Walks (hr)</t>
  </si>
  <si>
    <t>Missions</t>
  </si>
  <si>
    <t>Death Date</t>
  </si>
  <si>
    <t>Death Mission</t>
  </si>
  <si>
    <t>Notes</t>
  </si>
  <si>
    <t>M. Scott Carpenter</t>
  </si>
  <si>
    <t>Male</t>
  </si>
  <si>
    <t>White</t>
  </si>
  <si>
    <t>Bachelor's</t>
  </si>
  <si>
    <t>R</t>
  </si>
  <si>
    <t>American</t>
  </si>
  <si>
    <t>Deceased</t>
  </si>
  <si>
    <t>Boulder, CO</t>
  </si>
  <si>
    <t>University of Colorado</t>
  </si>
  <si>
    <t>Aeronautical Engineering</t>
  </si>
  <si>
    <t>Commander</t>
  </si>
  <si>
    <t>US Navy (Retired)</t>
  </si>
  <si>
    <t>Mercury 7</t>
  </si>
  <si>
    <t>L. Gordon Cooper Jr.</t>
  </si>
  <si>
    <t>Shawnee, OK</t>
  </si>
  <si>
    <t>Air Force Institute of Technology</t>
  </si>
  <si>
    <t>Colonel</t>
  </si>
  <si>
    <t>US Air Force (Retired)</t>
  </si>
  <si>
    <t>Mercury 9, Gemini 5</t>
  </si>
  <si>
    <t>John H. Glenn Jr.</t>
  </si>
  <si>
    <t>Cambridge, OH</t>
  </si>
  <si>
    <t>Muskingum College</t>
  </si>
  <si>
    <t>Engineering</t>
  </si>
  <si>
    <t>US Marine Corps (Retired)</t>
  </si>
  <si>
    <t>Mercury 6, STS-95 (Discovery)</t>
  </si>
  <si>
    <t>Virgil I. Grissom</t>
  </si>
  <si>
    <t>D</t>
  </si>
  <si>
    <t>Mitchell, IN</t>
  </si>
  <si>
    <t>Purdue University</t>
  </si>
  <si>
    <t>Mechanical Engineering</t>
  </si>
  <si>
    <t>Lieutenant Colonel</t>
  </si>
  <si>
    <t>US Air Force</t>
  </si>
  <si>
    <t>Mercury 4, Gemini 3, Apollo 1</t>
  </si>
  <si>
    <t>Apollo 1</t>
  </si>
  <si>
    <t>Walter M. Schirra Jr.</t>
  </si>
  <si>
    <t>Hackensack, NJ</t>
  </si>
  <si>
    <t>US Naval Academy</t>
  </si>
  <si>
    <t>Naval Sciences</t>
  </si>
  <si>
    <t>Captain</t>
  </si>
  <si>
    <t>Mercury 8, Gemini 6, Apollo 7</t>
  </si>
  <si>
    <t>Alan B. Shepard Jr.</t>
  </si>
  <si>
    <t>East Derry, NH</t>
  </si>
  <si>
    <t>Rear Admiral</t>
  </si>
  <si>
    <t>Mercury 3, Apollo 14</t>
  </si>
  <si>
    <t>Donald K. Slayton</t>
  </si>
  <si>
    <t>Sparta, WI</t>
  </si>
  <si>
    <t>University of Minnesota</t>
  </si>
  <si>
    <t>Major</t>
  </si>
  <si>
    <t>US Air Force Reserves</t>
  </si>
  <si>
    <t>Apollo-Soyuz Test Project</t>
  </si>
  <si>
    <t>Neil A. Armstrong</t>
  </si>
  <si>
    <t>Master's</t>
  </si>
  <si>
    <t>Wapakoneta, OH</t>
  </si>
  <si>
    <t>Purdue University; University of Southern California</t>
  </si>
  <si>
    <t>Aerospace Engineering</t>
  </si>
  <si>
    <t>Gemini 8, Apollo 11</t>
  </si>
  <si>
    <t>Frank Borman</t>
  </si>
  <si>
    <t>Retired</t>
  </si>
  <si>
    <t>Gary, IN</t>
  </si>
  <si>
    <t>US Military Academy; California Institute of Technology</t>
  </si>
  <si>
    <t>Gemini 7, Apollo 8</t>
  </si>
  <si>
    <t>Charles Conrad Jr.</t>
  </si>
  <si>
    <t>Philadelphia, PA</t>
  </si>
  <si>
    <t>Princeton University</t>
  </si>
  <si>
    <t>Gemini 5, Gemini 11, Apollo 12, Skylab 2</t>
  </si>
  <si>
    <t>James A. Lovell Jr.</t>
  </si>
  <si>
    <t>Cleveland, OH</t>
  </si>
  <si>
    <t>Gemini 7, Gemini 12, Apollo 8, Apollo 13</t>
  </si>
  <si>
    <t>James A. McDivitt</t>
  </si>
  <si>
    <t>Chicago, IL</t>
  </si>
  <si>
    <t>University of Michigan</t>
  </si>
  <si>
    <t>Astronautical Engineering</t>
  </si>
  <si>
    <t>Brigadier General</t>
  </si>
  <si>
    <t>Gemini 4, Apollo 9</t>
  </si>
  <si>
    <t>Elliot M. See Jr.</t>
  </si>
  <si>
    <t>Dallas, TX</t>
  </si>
  <si>
    <t>US Merchant Marine Academy; University of California-Los Angeles</t>
  </si>
  <si>
    <t>Died during training</t>
  </si>
  <si>
    <t>Thomas P. Stafford</t>
  </si>
  <si>
    <t>Weatherford, OK</t>
  </si>
  <si>
    <t>Lieutenant General</t>
  </si>
  <si>
    <t>Gemini 6, Gemini 9, Apollo 10, Apollo-Soyuz Test Project</t>
  </si>
  <si>
    <t>Edward H. White II</t>
  </si>
  <si>
    <t>San Antonio, TX</t>
  </si>
  <si>
    <t>US Military Academy; University of Michigan</t>
  </si>
  <si>
    <t>Gemini 4, Apollo 1</t>
  </si>
  <si>
    <t>John W. Young</t>
  </si>
  <si>
    <t>San Francisco, CA</t>
  </si>
  <si>
    <t>Georgia Institute of Technology</t>
  </si>
  <si>
    <t>Gemini 3, Gemini 10, Apollo 10, Apollo 16, STS-1 (Columbia), STS-9 (Columbia)</t>
  </si>
  <si>
    <t>Buzz Aldrin</t>
  </si>
  <si>
    <t>Doctorate</t>
  </si>
  <si>
    <t>Montclair, NJ</t>
  </si>
  <si>
    <t>US Military Academy; MIT</t>
  </si>
  <si>
    <t>Astronautics</t>
  </si>
  <si>
    <t>Gemini 12, Apollo 11</t>
  </si>
  <si>
    <t>William A. Anders</t>
  </si>
  <si>
    <t>Hong Kong</t>
  </si>
  <si>
    <t>US Naval Academy; Air Force Institute of Technology</t>
  </si>
  <si>
    <t>Nuclear Engineering</t>
  </si>
  <si>
    <t>Major General</t>
  </si>
  <si>
    <t>US Air Force Reserves (Retired)</t>
  </si>
  <si>
    <t>Apollo 8</t>
  </si>
  <si>
    <t>Charles A. Bassett II</t>
  </si>
  <si>
    <t>Dayton, OH</t>
  </si>
  <si>
    <t>Texas Technological College</t>
  </si>
  <si>
    <t>Electrical Engineering</t>
  </si>
  <si>
    <t>Alan L. Bean</t>
  </si>
  <si>
    <t>Wheeler, TX</t>
  </si>
  <si>
    <t>University of Texas</t>
  </si>
  <si>
    <t>Apollo 12, Skylab 3</t>
  </si>
  <si>
    <t>Eugene A. Cernan</t>
  </si>
  <si>
    <t>Purdue University; US Naval Postgraduate School</t>
  </si>
  <si>
    <t>Gemini 9, Apollo 10, Apollo 17</t>
  </si>
  <si>
    <t>Roger B. Chaffee</t>
  </si>
  <si>
    <t>Grand Rapids, MI</t>
  </si>
  <si>
    <t>Lieutenant Commander</t>
  </si>
  <si>
    <t>US Navy</t>
  </si>
  <si>
    <t>Michael Collins</t>
  </si>
  <si>
    <t>Rome, Italy</t>
  </si>
  <si>
    <t>US Military Academy</t>
  </si>
  <si>
    <t>Gemini 10, Apollo 11</t>
  </si>
  <si>
    <t>Walter Cunningham</t>
  </si>
  <si>
    <t>Creston, IA</t>
  </si>
  <si>
    <t>University of California-Los Angeles</t>
  </si>
  <si>
    <t>Physics</t>
  </si>
  <si>
    <t>US Marine Corps Reserves</t>
  </si>
  <si>
    <t>Apollo 7</t>
  </si>
  <si>
    <t>Donn F. Eisele</t>
  </si>
  <si>
    <t>Columbus, OH</t>
  </si>
  <si>
    <t>US Naval Academy; US Air Force Institute of Technology</t>
  </si>
  <si>
    <t>Theodore C. Freeman</t>
  </si>
  <si>
    <t>Haversford, PA</t>
  </si>
  <si>
    <t>US Naval Academy; University of Michigan</t>
  </si>
  <si>
    <t>Richard F. Gordon Jr.</t>
  </si>
  <si>
    <t>Seattle, WA</t>
  </si>
  <si>
    <t>University of Washington</t>
  </si>
  <si>
    <t>Chemistry</t>
  </si>
  <si>
    <t>Gemini 11, Apollo 12</t>
  </si>
  <si>
    <t>Russell L. Schweickart</t>
  </si>
  <si>
    <t>Neptune, NJ</t>
  </si>
  <si>
    <t>MIT</t>
  </si>
  <si>
    <t>Aeronautics &amp; Astronautics</t>
  </si>
  <si>
    <t>Apollo 9</t>
  </si>
  <si>
    <t>David R. Scott</t>
  </si>
  <si>
    <t>Gemini 8, Apollo 9, Apollo 15</t>
  </si>
  <si>
    <t>Clifton C. Williams Jr.</t>
  </si>
  <si>
    <t>Mobile, AL</t>
  </si>
  <si>
    <t>Auburn University</t>
  </si>
  <si>
    <t>US Marine Corps</t>
  </si>
  <si>
    <t>Died prior to mission</t>
  </si>
  <si>
    <t>Owen K. Garriott</t>
  </si>
  <si>
    <t>Enid, OK</t>
  </si>
  <si>
    <t>University of Oklahoma; Stanford University</t>
  </si>
  <si>
    <t>Skylab 3, STS-9 (Columbia)</t>
  </si>
  <si>
    <t>Edward G. Gibson</t>
  </si>
  <si>
    <t>Buffalo, NY</t>
  </si>
  <si>
    <t>University of Rochester; California Institute of Technology</t>
  </si>
  <si>
    <t>Skylab 4</t>
  </si>
  <si>
    <t>Duane E. Graveline</t>
  </si>
  <si>
    <t>Newport, VT</t>
  </si>
  <si>
    <t>University of Vermont; Johns Hopkins University</t>
  </si>
  <si>
    <t>Public Health; Medicine</t>
  </si>
  <si>
    <t>Resigned due to divorce</t>
  </si>
  <si>
    <t>Joseph P. Kerwin</t>
  </si>
  <si>
    <t>Oak Park, IL</t>
  </si>
  <si>
    <t>College of the Holy Cross; Northwestern University</t>
  </si>
  <si>
    <t>Philosophy</t>
  </si>
  <si>
    <t>Medicine</t>
  </si>
  <si>
    <t>Skylab 2</t>
  </si>
  <si>
    <t>F. Curtis Michel</t>
  </si>
  <si>
    <t>LaCrosse, WI</t>
  </si>
  <si>
    <t>California Institute of Technology</t>
  </si>
  <si>
    <t>Resigned due to no flight assignment</t>
  </si>
  <si>
    <t>Harrison H. Schmitt</t>
  </si>
  <si>
    <t>Santa Rita, NM</t>
  </si>
  <si>
    <t>California Institute of Technology; Harvard University</t>
  </si>
  <si>
    <t>Geology</t>
  </si>
  <si>
    <t>Apollo 17</t>
  </si>
  <si>
    <t>Vance D. Brand</t>
  </si>
  <si>
    <t>Longmont, CA</t>
  </si>
  <si>
    <t>University of Colorado; University of California Los Angeles</t>
  </si>
  <si>
    <t>Business Management; Aeronautical Engineering</t>
  </si>
  <si>
    <t>Business Administration</t>
  </si>
  <si>
    <t>Apollo-Soyuz Test Project, STS-5 (Columbia), STS 41-B (Challenger), STS-35 (Columbia)</t>
  </si>
  <si>
    <t>John S. Bull</t>
  </si>
  <si>
    <t>Memphis, TN</t>
  </si>
  <si>
    <t>Rice University; Stanford University</t>
  </si>
  <si>
    <t>Resigned due to pulmonary disease</t>
  </si>
  <si>
    <t>Gerald P. Carr</t>
  </si>
  <si>
    <t>Denver, CO</t>
  </si>
  <si>
    <t>University of Southern California; US Naval Postgraduate School; Princeton University</t>
  </si>
  <si>
    <t>Charles M. Duke Jr.</t>
  </si>
  <si>
    <t>Charlotte, NC</t>
  </si>
  <si>
    <t>US Naval Academy; MIT</t>
  </si>
  <si>
    <t>Aeronautics</t>
  </si>
  <si>
    <t>Apollo 16</t>
  </si>
  <si>
    <t>Joe H. Engle</t>
  </si>
  <si>
    <t>Dickinson, KS</t>
  </si>
  <si>
    <t>University of Kansas</t>
  </si>
  <si>
    <t>STS-2 (Columbia), STS 51-I (Discovery)</t>
  </si>
  <si>
    <t>Ronald E. Evans Jr.</t>
  </si>
  <si>
    <t>St. Francis, KS</t>
  </si>
  <si>
    <t>University of Kansas; US Naval Postgraduate School</t>
  </si>
  <si>
    <t>Edward G. Givens Jr.</t>
  </si>
  <si>
    <t>Quanah, TX</t>
  </si>
  <si>
    <t>Died in a car accident</t>
  </si>
  <si>
    <t>Fred W. Haise Jr.</t>
  </si>
  <si>
    <t>Biloxi, MS</t>
  </si>
  <si>
    <t>University of Oklahoma</t>
  </si>
  <si>
    <t>Apollo 13</t>
  </si>
  <si>
    <t>James B. Irwin</t>
  </si>
  <si>
    <t>Pittsburgh, PA</t>
  </si>
  <si>
    <t>Apollo 15</t>
  </si>
  <si>
    <t>Don L. Lind</t>
  </si>
  <si>
    <t>Midvale, UT</t>
  </si>
  <si>
    <t>University of Utah; University of California-Berkley</t>
  </si>
  <si>
    <t>Nuclear Physics</t>
  </si>
  <si>
    <t>STS 51-B (Challenger)</t>
  </si>
  <si>
    <t>Jack R. Lousma</t>
  </si>
  <si>
    <t>University of Michigan; US Naval Postgraduate School</t>
  </si>
  <si>
    <t>Skylab 3, STS-3 (Columbia)</t>
  </si>
  <si>
    <t>Thomas K. Mattingly II</t>
  </si>
  <si>
    <t>Apollo 16, STS-4 (Columbia), STS 51-C (Discovery)</t>
  </si>
  <si>
    <t>Bruce McCandless II</t>
  </si>
  <si>
    <t>Boston, MA</t>
  </si>
  <si>
    <t>US Naval Academy; Stanford University; University of Houston-Clear Lake</t>
  </si>
  <si>
    <t>Electrical Engineering; Business Administration</t>
  </si>
  <si>
    <t>STS 41-B (Challenger), STS-31 (Discovery)</t>
  </si>
  <si>
    <t>Edgar D. Mitchell</t>
  </si>
  <si>
    <t>Hereford, TX</t>
  </si>
  <si>
    <t>Carnegie-Mellon University; US Naval Postgraduate School; MIT</t>
  </si>
  <si>
    <t>Industrial Management</t>
  </si>
  <si>
    <t>Aeronautical Engineering; Aeronautics &amp; Astronautics</t>
  </si>
  <si>
    <t>Apollo 14</t>
  </si>
  <si>
    <t>William R. Pogue</t>
  </si>
  <si>
    <t>Okemah, OK</t>
  </si>
  <si>
    <t>Oklahoma Baptist University; Oklahoma State University</t>
  </si>
  <si>
    <t>Education</t>
  </si>
  <si>
    <t>Mathematics</t>
  </si>
  <si>
    <t>Stuart A. Roosa</t>
  </si>
  <si>
    <t>Durango, CO</t>
  </si>
  <si>
    <t>John L. Swigert Jr.</t>
  </si>
  <si>
    <t>University of Colorado; Rensselaer Polytechnic Institute; University of Hartford</t>
  </si>
  <si>
    <t>Aerospace Science; Business Administration</t>
  </si>
  <si>
    <t>Paul J. Weitz</t>
  </si>
  <si>
    <t>Erie, PA</t>
  </si>
  <si>
    <t>Pennsylvania State University; US Naval Postgraduate School</t>
  </si>
  <si>
    <t>Skylab 2, STS-6 (Challenger)</t>
  </si>
  <si>
    <t>Alfred M. Worden</t>
  </si>
  <si>
    <t>Jackson, MI</t>
  </si>
  <si>
    <t>Military Science</t>
  </si>
  <si>
    <t>Aeronautical &amp; Astronautical Engineering</t>
  </si>
  <si>
    <t>Joseph P. Allen</t>
  </si>
  <si>
    <t>Crawsfordsville, IN</t>
  </si>
  <si>
    <t>DePauw University; Yale University</t>
  </si>
  <si>
    <t>Mathematics &amp; Physics</t>
  </si>
  <si>
    <t>ST-5 (Columbia), STS 51-A (Discovery)</t>
  </si>
  <si>
    <t>Philip K. Chapman</t>
  </si>
  <si>
    <t>Australian</t>
  </si>
  <si>
    <t>Melbourne, Australia</t>
  </si>
  <si>
    <t>University of Sydney; MIT</t>
  </si>
  <si>
    <t>Physics &amp; Mathematics</t>
  </si>
  <si>
    <t>Aeronautics &amp; Astronautics; Instrumentation</t>
  </si>
  <si>
    <t>Resigned</t>
  </si>
  <si>
    <t>Anthony W. England</t>
  </si>
  <si>
    <t>Indianapolis, IN</t>
  </si>
  <si>
    <t>Geology; Geophysics</t>
  </si>
  <si>
    <t>STS 51-F (Challenger)</t>
  </si>
  <si>
    <t>Karl G. Henize</t>
  </si>
  <si>
    <t>Cincinnati, OH</t>
  </si>
  <si>
    <t>University of Virginia; University of Michigan</t>
  </si>
  <si>
    <t>Astronomy</t>
  </si>
  <si>
    <t>Donald L. Holmquest</t>
  </si>
  <si>
    <t>Southern Methodist University; Baylor University; University of Houston</t>
  </si>
  <si>
    <t>Physiology; Medicine; Law</t>
  </si>
  <si>
    <t>Leave of Absence in 1971</t>
  </si>
  <si>
    <t>William B. Lenoir</t>
  </si>
  <si>
    <t>Miami, FL</t>
  </si>
  <si>
    <t>STS-5 (Columbia)</t>
  </si>
  <si>
    <t>John A. Llewellyn</t>
  </si>
  <si>
    <t>Cardiff, Wales</t>
  </si>
  <si>
    <t>University College at Cardiff</t>
  </si>
  <si>
    <t>Dropped out of flight school</t>
  </si>
  <si>
    <t>Story Musgrave</t>
  </si>
  <si>
    <t>Syracuse University; Marietta College; University of California-Los Angeles; University of Kentucky; University of Houston; Columbia University</t>
  </si>
  <si>
    <t>Mathematics &amp; Statistics; Chemistry</t>
  </si>
  <si>
    <t>Business Administration; Physiology; Literature; Medicine</t>
  </si>
  <si>
    <t>STS-6 (Challenger), STS 51-F (Challenger), STS-33 (Discovery), STS-44 (Atlantis), STS-61 (Endeavor), STS-80 (Columbia)</t>
  </si>
  <si>
    <t>Brian T. O'Leary</t>
  </si>
  <si>
    <t>Williams College; Georgetown University; University of California-Berkeley</t>
  </si>
  <si>
    <t>Resigned during training</t>
  </si>
  <si>
    <t>Robert A. Parker</t>
  </si>
  <si>
    <t>New York, NY</t>
  </si>
  <si>
    <t>Amherst College; California Institute of Technology</t>
  </si>
  <si>
    <t>Physics &amp; Astronomy</t>
  </si>
  <si>
    <t>STS-9 (Columbia), STS-35 (Columbia)</t>
  </si>
  <si>
    <t>William E. Thornton</t>
  </si>
  <si>
    <t>Faison, NC</t>
  </si>
  <si>
    <t>University of North Carolina</t>
  </si>
  <si>
    <t>STS-8 (Challenger), STS 51-B (Challenger)</t>
  </si>
  <si>
    <t>Karol J. Bobko</t>
  </si>
  <si>
    <t>US Air Force Academy; University of Southern California</t>
  </si>
  <si>
    <t>STS-6 (Challenger), STS 51-D (Discovery), STS-51-J (Atlantis)</t>
  </si>
  <si>
    <t>Robert L. Crippen</t>
  </si>
  <si>
    <t>Beaumont, TX</t>
  </si>
  <si>
    <t>STS-1 (Columbia), STS-7 (Challenger), STS 41-C (Challenger), STS 41-G (Challenger)</t>
  </si>
  <si>
    <t>C. Gordon Fullerton</t>
  </si>
  <si>
    <t>Rochester, NY</t>
  </si>
  <si>
    <t>STS-3 (Columbia), STS 51-F (Challenger)</t>
  </si>
  <si>
    <t>Henry W. Hartsfield Jr.</t>
  </si>
  <si>
    <t>Birmingham, AL</t>
  </si>
  <si>
    <t>Auburn University; University of Tennessee</t>
  </si>
  <si>
    <t>Engineering Science</t>
  </si>
  <si>
    <t>STS-4 (Columbia), STS 41-D (Discovery), STS 61-A (Challenger)</t>
  </si>
  <si>
    <t>Robert F. Overmyer</t>
  </si>
  <si>
    <t>Lorain, OH</t>
  </si>
  <si>
    <t>Baldwin Wallace College; US Naval Postgraduate School</t>
  </si>
  <si>
    <t>STS-5 (Columbia), STS 51-B (Challenger)</t>
  </si>
  <si>
    <t>Donald H. Peterson</t>
  </si>
  <si>
    <t>Winona, MS</t>
  </si>
  <si>
    <t>US Military Academy; US Air Force Institute of Technology</t>
  </si>
  <si>
    <t>STS-6 (Challenger)</t>
  </si>
  <si>
    <t>Richard H. Truly</t>
  </si>
  <si>
    <t>Fayette, MS</t>
  </si>
  <si>
    <t>Vice Admiral</t>
  </si>
  <si>
    <t>STS-2 (Columbia), STS-8 (Challenger)</t>
  </si>
  <si>
    <t>Guion S. Bluford Jr.</t>
  </si>
  <si>
    <t>Black</t>
  </si>
  <si>
    <t>Pennsylvania State University; Air Force Institute of Technology; University of Houston-Clear Lake</t>
  </si>
  <si>
    <t>Aerospace Engineering; Business Administration</t>
  </si>
  <si>
    <t>STS-8 (Challenger), STS 61-A (Challenger), STS-39 (Discovery), STS-53 (Discovery)</t>
  </si>
  <si>
    <t>Daniel C. Brandenstein</t>
  </si>
  <si>
    <t>Watertown, WI</t>
  </si>
  <si>
    <t>University of Wisconsin</t>
  </si>
  <si>
    <t>STS-8 (Challenger), STS 51-G (Discovery), STS-32 (Columbia), STS-49 (Endeavor)</t>
  </si>
  <si>
    <t>James F. Buchli</t>
  </si>
  <si>
    <t>New Rockford, ND</t>
  </si>
  <si>
    <t>US Naval Academy; University of West Florida</t>
  </si>
  <si>
    <t>Aeronautical Engineering Systems</t>
  </si>
  <si>
    <t>STS 51-C (Discovery), STS 61-A (Challenger), STS-29 (Discovery), STS-48 (Discovery</t>
  </si>
  <si>
    <t>Michael L. Coats</t>
  </si>
  <si>
    <t>Sacramento, CA</t>
  </si>
  <si>
    <t>US Naval Academy; George Washington University; US Naval Postgraduate School</t>
  </si>
  <si>
    <t>Science &amp; Technology Administration; Aeronautical Engineering</t>
  </si>
  <si>
    <t>STS 41-D (Discovery), STS-29 (Discovery), STS-39 (Discovery)</t>
  </si>
  <si>
    <t>Richard O. Covey</t>
  </si>
  <si>
    <t>Fayetteville, AR</t>
  </si>
  <si>
    <t>US Air Force Academy; Purdue University</t>
  </si>
  <si>
    <t>STS 51-l (Discovery), STS-26 (Discovery), STS-38 (Atlantis), STS-61 (Endeavor)</t>
  </si>
  <si>
    <t>John O. Creighton</t>
  </si>
  <si>
    <t>Orange, TX</t>
  </si>
  <si>
    <t>US Naval Academy; George Washington University</t>
  </si>
  <si>
    <t>Science &amp; Technology Administration</t>
  </si>
  <si>
    <t>STS 51-G (Discovery), STS-36 (Atlantis), STS-48 (Discovery)</t>
  </si>
  <si>
    <t>John M. Fabian</t>
  </si>
  <si>
    <t>Goosecreek, TX</t>
  </si>
  <si>
    <t>Washington State University; US Air Force Institute of Technology; University of Washington</t>
  </si>
  <si>
    <t>Aerospace Engineering; Aeronautics &amp; Astronautics</t>
  </si>
  <si>
    <t>STS-7 (Challenger), STS 51-G (Discovery)</t>
  </si>
  <si>
    <t>Anna L. Fisher</t>
  </si>
  <si>
    <t>Female</t>
  </si>
  <si>
    <t>Chemistry; Medicine</t>
  </si>
  <si>
    <t>STS 51-A (Discovery)</t>
  </si>
  <si>
    <t>Dale A. Gardner</t>
  </si>
  <si>
    <t>Fairmont, MN</t>
  </si>
  <si>
    <t>University of Illinois</t>
  </si>
  <si>
    <t>Engineering Physics</t>
  </si>
  <si>
    <t>STS-8 (Challenger), STS 51-A (Discovery)</t>
  </si>
  <si>
    <t>Robert L. Gibson</t>
  </si>
  <si>
    <t>Cooperstown, NY</t>
  </si>
  <si>
    <t>California Polytechnic Institute</t>
  </si>
  <si>
    <t>STS 41-B (Challenger), STS 61-C (Columbia), STS-27 (Atlantis), STS-47 (Endeavor), STS-71 (Atlantis)</t>
  </si>
  <si>
    <t>Frederick D. Gregory</t>
  </si>
  <si>
    <t>Washington, DC</t>
  </si>
  <si>
    <t>US Air Force Academy; George Washington University</t>
  </si>
  <si>
    <t>Information Systems</t>
  </si>
  <si>
    <t>STS 51-B (Challenger), STS-33 (Discovery), STS-44 (Atlantis)</t>
  </si>
  <si>
    <t>S. David Griggs</t>
  </si>
  <si>
    <t>Portland, OR</t>
  </si>
  <si>
    <t>STS 51-D (Discovery)</t>
  </si>
  <si>
    <t>Terry J. Hart</t>
  </si>
  <si>
    <t>Lehigh University; MIT; Rutgers University</t>
  </si>
  <si>
    <t>Mechanical Engineering; Electrical Engineering</t>
  </si>
  <si>
    <t>STS 41-C (Challenger)</t>
  </si>
  <si>
    <t>Frederick H. Hauck</t>
  </si>
  <si>
    <t>Long Beach, CA</t>
  </si>
  <si>
    <t>Tufts University; MIT</t>
  </si>
  <si>
    <t>STS-7 (Challenger), STS 51-A (Discovery), STS-26 (Discovery)</t>
  </si>
  <si>
    <t>Steven A. Hawley</t>
  </si>
  <si>
    <t>Ottawa, KS</t>
  </si>
  <si>
    <t>University of Kansas; University of California</t>
  </si>
  <si>
    <t>Astronomy &amp; Astrophysics</t>
  </si>
  <si>
    <t>STS 41-D (Discovery), STS 61-C (Columbia), STS-31 (Discovery), STS-82 (Discovery), STS-93 (Columbia)</t>
  </si>
  <si>
    <t>Jeffrey A. Hoffman</t>
  </si>
  <si>
    <t>Brooklyn, NY</t>
  </si>
  <si>
    <t>Amherst College; Rice University; Harvard University</t>
  </si>
  <si>
    <t>Materials Science; Astrophysics</t>
  </si>
  <si>
    <t>STS 51-D (Discovery), STS-35 (Columbia), STS-46 (Atlantis), STS-61 (Endeavor), STS-75 (Columbia)</t>
  </si>
  <si>
    <t>Shannon W. Lucid</t>
  </si>
  <si>
    <t>Shanghai, China</t>
  </si>
  <si>
    <t>Biochemistry</t>
  </si>
  <si>
    <t>STS 51-G (Discovery), STS-34 (Atlantis), STS-43 (Atlantis), STS-58 (Columbia), STS-76/79 (Atlantis)</t>
  </si>
  <si>
    <t>Jon A. McBride</t>
  </si>
  <si>
    <t>Charleston, WV</t>
  </si>
  <si>
    <t>US Naval Postgraduate School</t>
  </si>
  <si>
    <t>STS 41-G (Challenger)</t>
  </si>
  <si>
    <t>Ronald E. McNair</t>
  </si>
  <si>
    <t>Lake City, SC</t>
  </si>
  <si>
    <t>North Carolina A&amp;T State College; MIT</t>
  </si>
  <si>
    <t>STS 41-B (Challenger), STS 51-L (Challenger)</t>
  </si>
  <si>
    <t>STS 51-L (Challenger)</t>
  </si>
  <si>
    <t>Richard M. Mullane</t>
  </si>
  <si>
    <t>Wichita Falls, TX</t>
  </si>
  <si>
    <t>Military Engineering</t>
  </si>
  <si>
    <t>STS 41-D (Discovery), STS-27 (Atlantis), STS-36 (Atlantis)</t>
  </si>
  <si>
    <t>Steven R. Nagel</t>
  </si>
  <si>
    <t>Canton, IL</t>
  </si>
  <si>
    <t>University of Illinois; California State University-Fresno</t>
  </si>
  <si>
    <t>Mechanical  Engineering</t>
  </si>
  <si>
    <t>STS 51-G (Discovery), STS 61-A (Challenger), STS-37 (Atlantis), STS-55 (Columbia)</t>
  </si>
  <si>
    <t>George D. Nelson</t>
  </si>
  <si>
    <t>Charles City, IA</t>
  </si>
  <si>
    <t>Harvey Mudd College; University of Washington</t>
  </si>
  <si>
    <t>STS 41-C (Challenger), STS 61-C (Columbia), STS-26 (Discovery)</t>
  </si>
  <si>
    <t>Ellison S. Onizuka</t>
  </si>
  <si>
    <t>Asian</t>
  </si>
  <si>
    <t>Japanese-American</t>
  </si>
  <si>
    <t>Kealakekua, HI</t>
  </si>
  <si>
    <t>STS 51-C (Discovery), STS 51-L (Challenger)</t>
  </si>
  <si>
    <t>Judith A. Resnik</t>
  </si>
  <si>
    <t>Akron, OH</t>
  </si>
  <si>
    <t>Carnegie-Mellon University; University of Maryland</t>
  </si>
  <si>
    <t>STS 41-D (Discovery), STS 51-L (Challenger)</t>
  </si>
  <si>
    <t>Sally K. Ride</t>
  </si>
  <si>
    <t>Los Angeles, CA</t>
  </si>
  <si>
    <t>Stanford University</t>
  </si>
  <si>
    <t>Physics; English</t>
  </si>
  <si>
    <t>STS-7 (Challenger), STS 41-G (Challenger)</t>
  </si>
  <si>
    <t>Francis R. Scobee</t>
  </si>
  <si>
    <t>Cle Elum, WA</t>
  </si>
  <si>
    <t>University of Arizona</t>
  </si>
  <si>
    <t>STS 41-C (Challenger), STS 51-L (Challenger)</t>
  </si>
  <si>
    <t>Margaret Rhea Seddon</t>
  </si>
  <si>
    <t>Murfreesboro, TN</t>
  </si>
  <si>
    <t>University of California-Berkeley; University of Tennessee</t>
  </si>
  <si>
    <t>Physiology</t>
  </si>
  <si>
    <t>STS 51-D (Discovery), STS-40 (Columbia), STS-58 (Columbia)</t>
  </si>
  <si>
    <t>Brewster H. Shaw Jr.</t>
  </si>
  <si>
    <t>Cass City, MI</t>
  </si>
  <si>
    <t>Engineering Mechanics</t>
  </si>
  <si>
    <t>STS-9 (Columbia), STS 61-B (Atlantis), STS-28 (Columbia)</t>
  </si>
  <si>
    <t>Loren J. Shriver</t>
  </si>
  <si>
    <t>Jefferson, IA</t>
  </si>
  <si>
    <t>STS 51-C (Discovery), STS-31 (Discovery), STS-46 (Atlantis)</t>
  </si>
  <si>
    <t>Robert L. Stewart</t>
  </si>
  <si>
    <t>University of Southern Mississippi; University of Texas-Arlington</t>
  </si>
  <si>
    <t>US Army (Retired)</t>
  </si>
  <si>
    <t>STS 41-B (Challenger), STS 51-J (Atlantis)</t>
  </si>
  <si>
    <t>Kathryn D. Sullivan</t>
  </si>
  <si>
    <t>Patterson, NJ</t>
  </si>
  <si>
    <t>University of California-Santa Cruz; Dalhousie University</t>
  </si>
  <si>
    <t>Earth Sciences</t>
  </si>
  <si>
    <t>Earth Sciences; Geology</t>
  </si>
  <si>
    <t>STS 41-G (Challenger), STS-31 (Discovery), STS-45 (Atlantis)</t>
  </si>
  <si>
    <t>Norman E. Thagard</t>
  </si>
  <si>
    <t>Marianna, FL</t>
  </si>
  <si>
    <t>Florida State University; University of Texas</t>
  </si>
  <si>
    <t>Engineering Science; Medicine</t>
  </si>
  <si>
    <t>STS-7 (Challenger), STS 51-B (Challenger), STS-30 (Atlantis), STS-42 (Discovery), STS-71 (Soyuz/Atlantis)</t>
  </si>
  <si>
    <t>James D. van Hoften</t>
  </si>
  <si>
    <t>Fresno, CA</t>
  </si>
  <si>
    <t>University of California-Berkeley; Colorado State University</t>
  </si>
  <si>
    <t>Civil Engineering</t>
  </si>
  <si>
    <t>Hydraulic Engineering; Fluid Mechanics</t>
  </si>
  <si>
    <t>STS 41-C (Challenger), STS 51-I (Discovery)</t>
  </si>
  <si>
    <t>David M. Walker</t>
  </si>
  <si>
    <t>Columbus, GA</t>
  </si>
  <si>
    <t>STS 51-A (Discovery), STS-30 (Atlantis), STS-53 (Discovery), STS-69 (Endeavor)</t>
  </si>
  <si>
    <t>Donald E. Williams</t>
  </si>
  <si>
    <t>Lafayette, IN</t>
  </si>
  <si>
    <t>STS 51-D (Discovery), STS-34 (Atlantis)</t>
  </si>
  <si>
    <t>James P. Bagian</t>
  </si>
  <si>
    <t>Drexel University; Thomas Jefferson University</t>
  </si>
  <si>
    <t>STS-29 (Discovery), STS-40 (Columbia)</t>
  </si>
  <si>
    <t>John E. Blaha</t>
  </si>
  <si>
    <t>STS-29 (Discovery), STS-33 (Discovery), STS-43 (Atlantis), STS-58 (Columbia), STS-79/81 (Atlantis/Atlantis)</t>
  </si>
  <si>
    <t>Charles F. Bolden Jr.</t>
  </si>
  <si>
    <t>Management</t>
  </si>
  <si>
    <t>Columbia, SC</t>
  </si>
  <si>
    <t>US Naval Academy; University of Southern California</t>
  </si>
  <si>
    <t>Electrical Science</t>
  </si>
  <si>
    <t>Systems Management</t>
  </si>
  <si>
    <t>STS-61C (Columbia), STS-31 (Discovery), STS-45 (Atlantis), STS-60 (Discovery)</t>
  </si>
  <si>
    <t>Roy D. Bridges Jr.</t>
  </si>
  <si>
    <t>Atlanta, GA</t>
  </si>
  <si>
    <t>Franklin R. Chang-Diaz</t>
  </si>
  <si>
    <t>Hispanic</t>
  </si>
  <si>
    <t>Costa Rican-American</t>
  </si>
  <si>
    <t>San Jose, Costa Rica</t>
  </si>
  <si>
    <t>University of Connecticut; MIT</t>
  </si>
  <si>
    <t>Applied Plasma Physics</t>
  </si>
  <si>
    <t>STS 61-C (Columbia), STS-34 (Atlantis), STS-46 (Atlantis), STS-60 (Discovery), STS-75 (Columbia), STS-91 (Discovery), STS-111 (Endeavor)</t>
  </si>
  <si>
    <t>Mary L. Cleave</t>
  </si>
  <si>
    <t>Southampton, NY</t>
  </si>
  <si>
    <t>Colorado State University; Utah State University</t>
  </si>
  <si>
    <t>Biological Science</t>
  </si>
  <si>
    <t>Microbial Ecology; Environmental Engineering</t>
  </si>
  <si>
    <t>STS 61-B (Atlantis), STS-30 (Atlantis)</t>
  </si>
  <si>
    <t>Bonnie J. Dunbar</t>
  </si>
  <si>
    <t>Sunnyside, WA</t>
  </si>
  <si>
    <t>University of Washington; University of Houston</t>
  </si>
  <si>
    <t>Ceramic Engineering</t>
  </si>
  <si>
    <t>Ceramic Engineering; Biomedical Engineering</t>
  </si>
  <si>
    <t>STS 61-A (Challenger), STS-32 (Columbia), STS-50 (Columbia), STS-71 (Atlantis), STS-89 (Endeavor)</t>
  </si>
  <si>
    <t>William F. Fisher</t>
  </si>
  <si>
    <t>Stanford University; University of Houston; University of Florida</t>
  </si>
  <si>
    <t>Engineering; Medicine</t>
  </si>
  <si>
    <t>STS 51-I (Discovery)</t>
  </si>
  <si>
    <t>Guy S. Gardner</t>
  </si>
  <si>
    <t>Alta Vista, VA</t>
  </si>
  <si>
    <t>Engineering Sciences; Astronautics &amp; Mathematics</t>
  </si>
  <si>
    <t>STS-27 (Atlantis), STS-35 (Columbia)</t>
  </si>
  <si>
    <t>Ronald J. Grabe</t>
  </si>
  <si>
    <t>US Air Force Academy</t>
  </si>
  <si>
    <t>STS 51-J (Atlantis), STS-30 (Atlantis), STS-42 (Discovery), STS-57 (Endeavor)</t>
  </si>
  <si>
    <t>David C. Hilmers</t>
  </si>
  <si>
    <t>Clinton, IA</t>
  </si>
  <si>
    <t>Cornell University; US Naval Postgraduate School</t>
  </si>
  <si>
    <t>ST 51-J (Atlantis), STS-26 (Discovery), STS-36 (Atlantis), STS-42 (Discovery)</t>
  </si>
  <si>
    <t>David C. Leestma</t>
  </si>
  <si>
    <t>Muskegon, MI</t>
  </si>
  <si>
    <t>US Naval Academy; US Naval Postgraduate School</t>
  </si>
  <si>
    <t>STS 41-G (Challenger), STS-28 (Columbia), STS-45 (Atlantis)</t>
  </si>
  <si>
    <t>J. Mike Lounge</t>
  </si>
  <si>
    <t>US Naval Academy; University of Colorado</t>
  </si>
  <si>
    <t>Astrogeophysics</t>
  </si>
  <si>
    <t>STS 51-I (Discovery), STS-26 (Discovery), STS-35 (Columbia)</t>
  </si>
  <si>
    <t>Bryan D. O'Connor</t>
  </si>
  <si>
    <t>Orange, CA</t>
  </si>
  <si>
    <t>US Naval Academy; West Florida University</t>
  </si>
  <si>
    <t>Aeronautical Systems</t>
  </si>
  <si>
    <t>STS 61-B (Atlantis), STS-40 (Columbia)</t>
  </si>
  <si>
    <t>Richard N. Richards</t>
  </si>
  <si>
    <t>Key West, FL</t>
  </si>
  <si>
    <t>University of Missouri; University of West Florida</t>
  </si>
  <si>
    <t>Chemical Engineering</t>
  </si>
  <si>
    <t>STS-28 (Columbia), STS-41 (Discovery), STS-50 (Columbia), STS-64 (Discovery)</t>
  </si>
  <si>
    <t>Jerry L. Ross</t>
  </si>
  <si>
    <t>Crown Point, IN</t>
  </si>
  <si>
    <t>ST 61-B (Atlantis), ST-27 (Atlantis), ST-37 (Atlantis), STS-55 (Columbia), STS-74 (Atlantis), STS-88 (Endeavor), STS-110 (Atlantis)</t>
  </si>
  <si>
    <t>Michael J. Smith</t>
  </si>
  <si>
    <t>Beaufort, NC</t>
  </si>
  <si>
    <t>Sherwood C. Spring</t>
  </si>
  <si>
    <t>Hartford, CT</t>
  </si>
  <si>
    <t>US Military Academy; University of Arizona</t>
  </si>
  <si>
    <t>STS 61-B (Atlantis)</t>
  </si>
  <si>
    <t>Robert C. Springer</t>
  </si>
  <si>
    <t>St. Louis, MO</t>
  </si>
  <si>
    <t>Operations Research</t>
  </si>
  <si>
    <t>STS-29 (Discovery), STS-38 (Atlantis)</t>
  </si>
  <si>
    <t>James C. Adamson</t>
  </si>
  <si>
    <t>Warsaw, NY</t>
  </si>
  <si>
    <t>US Military Academy; Princeton University</t>
  </si>
  <si>
    <t>STS-28 (Columbia), STS-43 (Atlantis)</t>
  </si>
  <si>
    <t>Ellen S. Baker</t>
  </si>
  <si>
    <t>Fayettesville, NC</t>
  </si>
  <si>
    <t>State University of New York-Buffalo; Cornell University; University of Texas</t>
  </si>
  <si>
    <t>Medicine; Public Health</t>
  </si>
  <si>
    <t>STS-34 (Atlantis), STS-50 (Columbia), STS-71 (Atlantis)</t>
  </si>
  <si>
    <t>Mark N. Brown</t>
  </si>
  <si>
    <t>Valparaiso, IN</t>
  </si>
  <si>
    <t>Purdue University; Air Force Institute of Technology</t>
  </si>
  <si>
    <t>STS 28 (Columbia), STS-48 (Discovery)</t>
  </si>
  <si>
    <t>Kenneth D. Cameron</t>
  </si>
  <si>
    <t>MIT; Michigan State University</t>
  </si>
  <si>
    <t>Aeronautics &amp; Astronautics; Business Administration</t>
  </si>
  <si>
    <t>STS-37 (Atlantis), STS-56 (Discovery), STS-74 (Atlantis)</t>
  </si>
  <si>
    <t>Manley Lanier Carter Jr.</t>
  </si>
  <si>
    <t>Macon, GA</t>
  </si>
  <si>
    <t>Emory University</t>
  </si>
  <si>
    <t>STS-33 (Discovery)</t>
  </si>
  <si>
    <t>John H. Casper</t>
  </si>
  <si>
    <t>Greenville, SC</t>
  </si>
  <si>
    <t>STS-36 (Atlantis), STS-54 (Endeavor), STS-62 (Columbia), STS-77 (Endeavor)</t>
  </si>
  <si>
    <t>Frank L. Culbertson Jr.</t>
  </si>
  <si>
    <t>Charleston, SC</t>
  </si>
  <si>
    <t>STS-38 (Atlantis), STS-51 (Discovery), STS-105/108 (Discovery/Endeavor)</t>
  </si>
  <si>
    <t>Sidney M. Gutierrez</t>
  </si>
  <si>
    <t>Albuquerque, NM</t>
  </si>
  <si>
    <t>US Air Force Academy; Webster College</t>
  </si>
  <si>
    <t>Business Management</t>
  </si>
  <si>
    <t>STS-40 (Columbia), STS-59 (Endeavor)</t>
  </si>
  <si>
    <t>L. Blaine Hammond Jr.</t>
  </si>
  <si>
    <t>Savannah, GA</t>
  </si>
  <si>
    <t>US Air Force Academy; Georgia Institute of Technology</t>
  </si>
  <si>
    <t>STS-39 (Discovery), STS-64 (Discovery)</t>
  </si>
  <si>
    <t>Marsha S. Ivins</t>
  </si>
  <si>
    <t>Baltimore, MD</t>
  </si>
  <si>
    <t>STS-32 (Columbia), STS-46 (Atlantis), STS-62 (Columbia), STS-81 (Atlantis), STS-98 (Atlantis)</t>
  </si>
  <si>
    <t>Mark C. Lee</t>
  </si>
  <si>
    <t>Viroqua, WI</t>
  </si>
  <si>
    <t>US Air Force Academy; MIT</t>
  </si>
  <si>
    <t>STS-30 (Atlantis), STS-47 (Endeavor), STS-64 (Discovery), STS-82 (Discovery)</t>
  </si>
  <si>
    <t>G. David Low</t>
  </si>
  <si>
    <t>Washington &amp; Lee University; Cornell University; Stanford University</t>
  </si>
  <si>
    <t>Physics &amp; Engineering</t>
  </si>
  <si>
    <t>Mechanical Engineering; Aeronautics &amp; Astronautics</t>
  </si>
  <si>
    <t>STS-32 (Columbia), STS-43 (Atlantis), STS-57 (Endeavor)</t>
  </si>
  <si>
    <t>Michael J. McCulley</t>
  </si>
  <si>
    <t>San Diego, CA</t>
  </si>
  <si>
    <t>Metallurgical Engineering</t>
  </si>
  <si>
    <t>STS-34 (Atlantis)</t>
  </si>
  <si>
    <t>William M. Shepherd</t>
  </si>
  <si>
    <t>Oak Ridge, TN</t>
  </si>
  <si>
    <t>STS-37 (Atlantis), STS-41 (Discovery), STS-52 (Columbia), ISS-01/STS-102 (Soyuz/Discovery)</t>
  </si>
  <si>
    <t>Kathryn C. Thornton</t>
  </si>
  <si>
    <t>Montgomery, AL</t>
  </si>
  <si>
    <t>Auburn University; University of Virginia</t>
  </si>
  <si>
    <t>STS-33 (Discovery), STS-49 (Endeavor), STS-61 (Endeavor), STS-73 (Columbia)</t>
  </si>
  <si>
    <t>Charles Lacy Veach</t>
  </si>
  <si>
    <t>Engineering Management</t>
  </si>
  <si>
    <t>STS-39 (Discovery), STS-52 (Columbia)</t>
  </si>
  <si>
    <t>James D. Wetherbee</t>
  </si>
  <si>
    <t>Flushing, NY</t>
  </si>
  <si>
    <t>University of Notre Dame</t>
  </si>
  <si>
    <t>STS-32 (Columbia), STS-52 (Columbia), STS-63 (Discovery), STS-86 (Atlantis), STS-102 (Discovery), STS-113 (Endeavor)</t>
  </si>
  <si>
    <t>Jerome Apt III</t>
  </si>
  <si>
    <t>Springfield, MA</t>
  </si>
  <si>
    <t>Harvard University; MIT</t>
  </si>
  <si>
    <t>STS-37 (Atlantis), STS-47 (Endeavor), STS-59 (Endeavor), STS-79 (Atlantis)</t>
  </si>
  <si>
    <t>Michael A. Baker</t>
  </si>
  <si>
    <t>STS-43 (Atlantis), STS-52 (Columbia), STS-68 (Endeavor), STS-81 (Atlantis)</t>
  </si>
  <si>
    <t>Robert D. Cabana</t>
  </si>
  <si>
    <t>M</t>
  </si>
  <si>
    <t>Minneapolis, MN</t>
  </si>
  <si>
    <t>STS-41 (Discovery), STS-53 (Discovery), STS-65 (Columbia), STS-88 (Endeavor)</t>
  </si>
  <si>
    <t>Brian Duffy</t>
  </si>
  <si>
    <t>STS-45 (Atlantis), STS-57 (Endeavor), STS-72 (Endeavor), STS-92 (Discovery)</t>
  </si>
  <si>
    <t>Charles D. Gemar</t>
  </si>
  <si>
    <t>Yanktown, SD</t>
  </si>
  <si>
    <t>US Army</t>
  </si>
  <si>
    <t>STS-38 (Atlantis), STS-48 (Discovery), STS-62 (Columbia)</t>
  </si>
  <si>
    <t>Linda M. Godwin</t>
  </si>
  <si>
    <t>Cape Girardeau, MO</t>
  </si>
  <si>
    <t>Southeast Missouri State; University of Missouri</t>
  </si>
  <si>
    <t>STS-37 (Atlantis), STS-59 (Endeavor), STS-76 (Atlantis), STS-108 (Endeavor)</t>
  </si>
  <si>
    <t>Terence T. Henricks</t>
  </si>
  <si>
    <t>Bryan, OH</t>
  </si>
  <si>
    <t>US Air Force Academy; Golden Gate University</t>
  </si>
  <si>
    <t>Public Administration</t>
  </si>
  <si>
    <t>STS-44 (Atlantis), STS-55 (Columbia), STS-70 (Discovery), STS-78 (Columbia)</t>
  </si>
  <si>
    <t>Richard J. Hieb</t>
  </si>
  <si>
    <t>Jamestown, ND</t>
  </si>
  <si>
    <t>Northwest Nazarene College; University of Colorado</t>
  </si>
  <si>
    <t>STS-39 (Discovery), STS-49 (Endeavor), STS-65 (Columbia)</t>
  </si>
  <si>
    <t>Tamara E. Jernigan</t>
  </si>
  <si>
    <t>Chattanooga, TN</t>
  </si>
  <si>
    <t>Stanford University; University of California-Berkeley; Rice University</t>
  </si>
  <si>
    <t>Engineering Science; Astronomy</t>
  </si>
  <si>
    <t>STS-40 (Columbia), STS-52 (Columbia), STS-67 (Endeavor), STS-80 (Columbia), STS-98 (Discovery)</t>
  </si>
  <si>
    <t>Carl J. Meade</t>
  </si>
  <si>
    <t>Chanute Air Force Base, IL</t>
  </si>
  <si>
    <t>University of Texas; California Institute of Technology</t>
  </si>
  <si>
    <t>Electronics Engineering</t>
  </si>
  <si>
    <t>STS-38 (Atlantis), STS-50 (Columbia), STS-64 (Discovery)</t>
  </si>
  <si>
    <t>Stephen S. Oswald</t>
  </si>
  <si>
    <t>STS-42 (Discovery), STS-56 (Discovery), STS-67 (Endeavor)</t>
  </si>
  <si>
    <t>Stephen D. Thorne</t>
  </si>
  <si>
    <t>Frankfurt, West Germany</t>
  </si>
  <si>
    <t>Died prior to mission assignment</t>
  </si>
  <si>
    <t>Pierre J. Thuot</t>
  </si>
  <si>
    <t>Groton, CT</t>
  </si>
  <si>
    <t>STS-36 (Atlantis), STS-49 (Endeavor), STS-62 (Columbia)</t>
  </si>
  <si>
    <t>Thomas D. Akers</t>
  </si>
  <si>
    <t>University of Missouri-Rolla</t>
  </si>
  <si>
    <t>Applied Mathematics</t>
  </si>
  <si>
    <t>STS-41 (Discovery), STS-49 (Endeavor), STS-61 (Endeavor), STS-79 (Atlantis)</t>
  </si>
  <si>
    <t>Andrew M. Allen</t>
  </si>
  <si>
    <t>Villanova University; University of Florida</t>
  </si>
  <si>
    <t>STS-46 (Atlantis), STS-62 (Columbia), STS-75 (Columbia)</t>
  </si>
  <si>
    <t>Kenneth D. Bowersox</t>
  </si>
  <si>
    <t>Portsmouth, VA</t>
  </si>
  <si>
    <t>US Naval Academy; Columbia University</t>
  </si>
  <si>
    <t>STS-50 (Columbia), STS-61 (Endeavor), STS-73 (Columbia), STS-82 (Discovery), STS-113 (Endeavor/Soyuz)</t>
  </si>
  <si>
    <t>Curtis L. Brown Jr.</t>
  </si>
  <si>
    <t>Elizabethtown, NC</t>
  </si>
  <si>
    <t>STS-47 (Endeavor), STS-66 (Atlantis), STS-77 (Endeavor), STS-85 (Discovery), STS-95 (Discovery), STS-103 (Discovery)</t>
  </si>
  <si>
    <t>Kevin P. Chilton</t>
  </si>
  <si>
    <t>US Air Force Academy; Columbia University</t>
  </si>
  <si>
    <t>STS-49 (Endeavor), STS-59 (Endeavor), STS-76 (Atlantis)</t>
  </si>
  <si>
    <t>N. Jan Davis</t>
  </si>
  <si>
    <t>Cocoa Beach, FL</t>
  </si>
  <si>
    <t>Georgia Institute of Technology; Auburn University; University of Alabama-Huntsville</t>
  </si>
  <si>
    <t>Applied Biology; Mechanical Engineering</t>
  </si>
  <si>
    <t>STS-47 (Endeavor), STS-60 (Discovery), STS-85 (Discovery)</t>
  </si>
  <si>
    <t>C. Michael Foale</t>
  </si>
  <si>
    <t>Louth, England</t>
  </si>
  <si>
    <t>Cambridge University</t>
  </si>
  <si>
    <t>Laboratory Astrophysics</t>
  </si>
  <si>
    <t>STS-45 (Atlantis), STS-56 (Discovery), STS-63 (Discovery), STS-84/86 (Atlantis), STS-103 (Discovery), ISS-08 (Soyuz)</t>
  </si>
  <si>
    <t>Gregory J. Harbaugh</t>
  </si>
  <si>
    <t>Purdue University; University of Houston-Clear Lake</t>
  </si>
  <si>
    <t>Physical Science</t>
  </si>
  <si>
    <t>STS-39 (Discovery), STS-54 (Endeavor), STS-71 (Atlantis), STS-82 (Discovery)</t>
  </si>
  <si>
    <t>Mae C. Jemison</t>
  </si>
  <si>
    <t>Decatur, AL</t>
  </si>
  <si>
    <t>Stanford University; Cornell University</t>
  </si>
  <si>
    <t>STS-47 (Endeavor)</t>
  </si>
  <si>
    <t>Donald R. McMonagle</t>
  </si>
  <si>
    <t>Flint, MI</t>
  </si>
  <si>
    <t>US Air Force Academy; California State University-Fresno</t>
  </si>
  <si>
    <t>STS-39 (Discovery), STS-54 (Endeavor), STS-66 (Atlantis)</t>
  </si>
  <si>
    <t>Bruce E. Melnick</t>
  </si>
  <si>
    <t>US Coast Guard Academy; West Florida University</t>
  </si>
  <si>
    <t>US Coast Guard (Retired)</t>
  </si>
  <si>
    <t>STS-41 (Discovery), STS-49 (Endeavor)</t>
  </si>
  <si>
    <t>William F. Readdy</t>
  </si>
  <si>
    <t>Quonset Point, RI</t>
  </si>
  <si>
    <t>STS-42 (Discovery), STS-51 (Discovery), STS-79 (Atlantis)</t>
  </si>
  <si>
    <t>Kenneth S. Reightler Jr.</t>
  </si>
  <si>
    <t>Patuxent River, MD</t>
  </si>
  <si>
    <t>US Naval Academy; US Naval Postgraduate School; University of Southern California</t>
  </si>
  <si>
    <t>Aeronautical Engineering; Systems Management</t>
  </si>
  <si>
    <t>STS-48 (Discovery), STS-60 (Discovery)</t>
  </si>
  <si>
    <t>Mario Runco Jr.</t>
  </si>
  <si>
    <t>Bronx, NY</t>
  </si>
  <si>
    <t>City College of New York; Rutgers University</t>
  </si>
  <si>
    <t>Earth &amp; Planetary Science</t>
  </si>
  <si>
    <t>Atmospheric Physics</t>
  </si>
  <si>
    <t>STS-44 (Atlantis), STS-54 (Endeavor), STS-77 (Endeavor)</t>
  </si>
  <si>
    <t>James S. Voss</t>
  </si>
  <si>
    <t>Cordova, AL</t>
  </si>
  <si>
    <t>Auburn University; University of Colorado</t>
  </si>
  <si>
    <t>Aerospace Engineering Sciences</t>
  </si>
  <si>
    <t>STS-44 (Atlantis), STS-53 (Discovery), STS-69 (Endeavor), STS-101 (Atlantis), STS-102/105 (Discovery)</t>
  </si>
  <si>
    <t>Daniel W. Bursch</t>
  </si>
  <si>
    <t>Bristol, PA</t>
  </si>
  <si>
    <t>STS-51 (Discovery), STS-68 (Endeavor), STS-77 (Endeavor), STS-108/111 (Endeavor)</t>
  </si>
  <si>
    <t>Leroy Chiao</t>
  </si>
  <si>
    <t>Chinese-American</t>
  </si>
  <si>
    <t>Milwaukee, WI</t>
  </si>
  <si>
    <t>University of California-Berkeley; University of California-Santa Barbara</t>
  </si>
  <si>
    <t>STS-65 (Columbia), STS-72 (Endeavor), STS-92 (Discovery), ISS-10 (Soyuz)</t>
  </si>
  <si>
    <t>Michael R. Clifford</t>
  </si>
  <si>
    <t>San Bernardino, CA</t>
  </si>
  <si>
    <t>US Military Academy; Georgia Institute of Technology</t>
  </si>
  <si>
    <t>STS-53 (Discovery), STS-59 (Endeavor), STS-76 (Atlantis)</t>
  </si>
  <si>
    <t>Kenneth D. Cockrell</t>
  </si>
  <si>
    <t>Austin, TX</t>
  </si>
  <si>
    <t>University of Texas; University of West Florida</t>
  </si>
  <si>
    <t>US Naval Reserves</t>
  </si>
  <si>
    <t>STS-56 (Discovery), STS-69 (Endeavor), STS-80 (Columbia), STS-98 (Atlantis), STS-111 (Endeavor)</t>
  </si>
  <si>
    <t>Eileen M. Collins</t>
  </si>
  <si>
    <t>Elmira, NY</t>
  </si>
  <si>
    <t>Syracuse University; Stanford University; Webster University</t>
  </si>
  <si>
    <t>Mathematics &amp; Economics</t>
  </si>
  <si>
    <t>Operations Research; Space Systems Management</t>
  </si>
  <si>
    <t>STS-63 (Discovery), STS-84 (Atlantis), STS-114 (Columbia), STS-93 (Discovery)</t>
  </si>
  <si>
    <t>Nancy J. Currie</t>
  </si>
  <si>
    <t>Wilmington, DE</t>
  </si>
  <si>
    <t>Ohio State University; University of Southern California; University of Houston</t>
  </si>
  <si>
    <t>Safety Engineering; Industrial Engineering</t>
  </si>
  <si>
    <t>STS-57 (Endeavor), STS-70 (Discovery), STS-88 (Endeavor), STS-109 (Columbia)</t>
  </si>
  <si>
    <t>William G. Gregory</t>
  </si>
  <si>
    <t>Lockport, NY</t>
  </si>
  <si>
    <t>US Air Force Academy; Columbia University; Troy State University</t>
  </si>
  <si>
    <t>Engineering Mechanics; Business Management</t>
  </si>
  <si>
    <t>STS-67 (Endeavor)</t>
  </si>
  <si>
    <t>James D. Halsell Jr.</t>
  </si>
  <si>
    <t>Monroe, LA</t>
  </si>
  <si>
    <t>US Air Force Academy; Troy State University; US Air Force Institute of Technology</t>
  </si>
  <si>
    <t>Business Management; Space Operations</t>
  </si>
  <si>
    <t>STS-65 (Columbia), STS-74 (Atlantis), STS-83 (Columbia), STS-94 (Columbia), STS-101 (Atlantis)</t>
  </si>
  <si>
    <t>Bernard A. Harris Jr.</t>
  </si>
  <si>
    <t>Temple, TX</t>
  </si>
  <si>
    <t>University of Houston; Texas Tech University</t>
  </si>
  <si>
    <t>Biology</t>
  </si>
  <si>
    <t>STS-55 (Columbia), STS-63 (Discovery)</t>
  </si>
  <si>
    <t>Susan J. Helms</t>
  </si>
  <si>
    <t>US Air Force Academy; Stanford University</t>
  </si>
  <si>
    <t>STS-54 (Endeavor), STS-64 (Discovery), STS-78 (Columbia), STS-101 (Atlantis), STS-102/105 (Discovery)</t>
  </si>
  <si>
    <t>Thomas D. Jones</t>
  </si>
  <si>
    <t>US Air Force Academy; University of Arizona</t>
  </si>
  <si>
    <t>Planetary Science</t>
  </si>
  <si>
    <t>STS-59 (Endeavor), STS-68 (Endeavor), STS-80 (Columbia), STS-98 (Atlantis)</t>
  </si>
  <si>
    <t>William S. McArthur Jr.</t>
  </si>
  <si>
    <t>Laurinburg, NC</t>
  </si>
  <si>
    <t>Applied Science &amp; Engineering</t>
  </si>
  <si>
    <t>STS-58 (Columbia), STS-74 (Atlantis), STS-92 (Discovery), ISS-12 (Soyuz)</t>
  </si>
  <si>
    <t>James H. Newman</t>
  </si>
  <si>
    <t>Dartmouth College; Rice University</t>
  </si>
  <si>
    <t>STS-51 (Discovery), STS-69 (Endeavor), STS-88 (Endeavor), STS- 109 (Columbia)</t>
  </si>
  <si>
    <t>Ellen Ochoa</t>
  </si>
  <si>
    <t>Mexican-American</t>
  </si>
  <si>
    <t>San Diego State University; Stanford University</t>
  </si>
  <si>
    <t>STS-56 (Discovery), STS-66 (Atlantis), STS-96 (Discovery), STS-110 (Atlantis)</t>
  </si>
  <si>
    <t>Charles J. Precourt</t>
  </si>
  <si>
    <t>Waltham, MA</t>
  </si>
  <si>
    <t>US Air Force Academy; Golden Gate University; US Naval War College</t>
  </si>
  <si>
    <t>Engineering Management; Strategic Studies</t>
  </si>
  <si>
    <t>STS-55 (Columbia), STS-71 (Atlantis), STS-84 (Atlantis), STS-91 (Discovery)</t>
  </si>
  <si>
    <t>Richard A. Searfoss</t>
  </si>
  <si>
    <t>Mount Clemens, MI</t>
  </si>
  <si>
    <t>US Air Force Academy; California Institute of Technology</t>
  </si>
  <si>
    <t>STS-58 (Columbia), STS-76 (Atlantis), STS-90 (Columbia)</t>
  </si>
  <si>
    <t>Ronald M. Sega</t>
  </si>
  <si>
    <t>US Air Force Academy; Ohio State University; University of Colorado</t>
  </si>
  <si>
    <t>Physics; Electrical Engineering</t>
  </si>
  <si>
    <t>STS-60 (Discovery), STS-76 (Atlantis)</t>
  </si>
  <si>
    <t>Donald A. Thomas</t>
  </si>
  <si>
    <t>Case Western Reserve University; Cornell University</t>
  </si>
  <si>
    <t>Materials Science</t>
  </si>
  <si>
    <t>STS-65 (Columbia), STS-70 (Discovery), STS-83 (Columbia), STS-94 (Columbia)</t>
  </si>
  <si>
    <t>Janice E. Voss</t>
  </si>
  <si>
    <t>South Bend, IN</t>
  </si>
  <si>
    <t>Purdue University; MIT</t>
  </si>
  <si>
    <t>Electrical Engineering; Aeronautics &amp; Astronautics</t>
  </si>
  <si>
    <t>STS-57 (Endeavor), STS-63 (Discovery), STS-83 (Columbia), STS-94 (Columbia), STS-99 (Endeavor)</t>
  </si>
  <si>
    <t>Carl E. Walz</t>
  </si>
  <si>
    <t>Kent State University; John Carroll University</t>
  </si>
  <si>
    <t>Solid State Physics</t>
  </si>
  <si>
    <t>STS-51 (Discovery), STS-65 (Columbia), STS-79 (Atlantis), STS-108/111 (Endeavor)</t>
  </si>
  <si>
    <t>Terrence W. Wilcutt</t>
  </si>
  <si>
    <t>Russellville, KY</t>
  </si>
  <si>
    <t>Western Kentucky University</t>
  </si>
  <si>
    <t>STS-68 (Endeavor), STS-79 (Atlantis), STS-89 (Endeavor), STS-106 (Atlantis)</t>
  </si>
  <si>
    <t>Peter J. K. Wisoff</t>
  </si>
  <si>
    <t>Norfolk, VA</t>
  </si>
  <si>
    <t>University of Virginia; Stanford University</t>
  </si>
  <si>
    <t>Applied Physics</t>
  </si>
  <si>
    <t>STS-57 (Endeavor), STS-68 (Endeavor), STS-81 (Atlantis), STS-92 (Discovery)</t>
  </si>
  <si>
    <t>David A. Wolf</t>
  </si>
  <si>
    <t>Purdue University; Indiana University</t>
  </si>
  <si>
    <t>STS-58 (Columbia). STS-86/89 (Atlantis/Endeavor), STS-112 (Atlantis), STS-127 (Endeavor)</t>
  </si>
  <si>
    <t>Daniel T. Barry</t>
  </si>
  <si>
    <t>Norwalk, CT</t>
  </si>
  <si>
    <t>Cornell University; Princeton University; University of Miami</t>
  </si>
  <si>
    <t>Electrical Engineering; Computer Science; Medicine</t>
  </si>
  <si>
    <t>STS-72 (Endeavor), STS-96 (Discovery), STS-105 (Discovery)</t>
  </si>
  <si>
    <t>Charles E. Brady Jr.</t>
  </si>
  <si>
    <t>Pinehurst, NC</t>
  </si>
  <si>
    <t>University of North Carolina at Chapel Hill; Duke University</t>
  </si>
  <si>
    <t>STS-78 (Columbia)</t>
  </si>
  <si>
    <t>Catherine G. Coleman</t>
  </si>
  <si>
    <t>MIT; University of Massachusetts</t>
  </si>
  <si>
    <t>Polymer Science &amp; Engineering</t>
  </si>
  <si>
    <t>STS-73 (Columbia), STS-93 (Columbia), ISS-26/27 (Soyuz)</t>
  </si>
  <si>
    <t>Michael L. Gernhardt</t>
  </si>
  <si>
    <t>Mansfield, OH</t>
  </si>
  <si>
    <t>Vanderbilt University; University of Pennsylvania</t>
  </si>
  <si>
    <t>Bioengineering</t>
  </si>
  <si>
    <t>STS-69 (Endeavor), STS-83 (Columbia), STS-94 (Columbia), STS-104 (Atlantis)</t>
  </si>
  <si>
    <t>John M. Grunsfeld</t>
  </si>
  <si>
    <t>MIT; University of Chicago</t>
  </si>
  <si>
    <t>STS-67 (Endeavor), STS-81 (Atlantis), STS-103 (Discovery), STS-125 (Atlantis), STS-109 (Columbia)</t>
  </si>
  <si>
    <t>Scott J. Horowitz</t>
  </si>
  <si>
    <t>California State University-Northridge; Georgia Institute of Technology</t>
  </si>
  <si>
    <t>STS-75 (Columbia), STS-82 (Discovery), STS-101 (Atlantis), STS-105 (Discovery)</t>
  </si>
  <si>
    <t>Brent W. Jett</t>
  </si>
  <si>
    <t>Pontiac, MI</t>
  </si>
  <si>
    <t>STS-72 (Endeavor), STS-81 (Atlantis), STS-97 (Endeavor), STS-115 (Atlantis)</t>
  </si>
  <si>
    <t>Kevin R. Kregel</t>
  </si>
  <si>
    <t>US Air Force Academy; Troy State University</t>
  </si>
  <si>
    <t>STS-70 (Discovery), STS-78 (Columbia), STS-87 (Columbia), STS-99 (Endeavor)</t>
  </si>
  <si>
    <t>Wendy B. Lawrence</t>
  </si>
  <si>
    <t>Jacksonville, FL</t>
  </si>
  <si>
    <t>Ocean Engineering</t>
  </si>
  <si>
    <t>STS-67 (Endeavor), STS-86 (Atlantis), STS-91 (Discovery), STS-114 (Discovery)</t>
  </si>
  <si>
    <t>Jerry M. Linenger</t>
  </si>
  <si>
    <t>US Naval Academy; University of Southern California; University of North Carolina; Wayne State University</t>
  </si>
  <si>
    <t>Bioscience</t>
  </si>
  <si>
    <t>Systems Management; Public Health; Medicine; Epidemiology</t>
  </si>
  <si>
    <t>STS-64 (Discovery), STS-81/84 (Atlantis)</t>
  </si>
  <si>
    <t>Richard M. Linnehan</t>
  </si>
  <si>
    <t>Lowell, MA</t>
  </si>
  <si>
    <t>University of New Hampshire; Ohio State University; Harvard University</t>
  </si>
  <si>
    <t>Animal Science</t>
  </si>
  <si>
    <t>Veterinary Medicine; Public Administration</t>
  </si>
  <si>
    <t>STS-78 (Columbia), STS-90 (Columbia), STS-109 (Columbia), STS-123 (Endeavor)</t>
  </si>
  <si>
    <t>Michael E. Lopez-Alegria</t>
  </si>
  <si>
    <t>Spanish-American</t>
  </si>
  <si>
    <t>Spanish</t>
  </si>
  <si>
    <t>Madrid, Spain</t>
  </si>
  <si>
    <t>Systems Engineering</t>
  </si>
  <si>
    <t>STS-73 (Columbia), STS-92 (Discovery), STS-113 (Endeavor), ISS-14 (Soyuz)</t>
  </si>
  <si>
    <t>Scott E. Parazynski</t>
  </si>
  <si>
    <t>Little Rock, AR</t>
  </si>
  <si>
    <t>STS-66 (Atlantis), STS-86 (Atlantis), STS-95 (Discovery), STS-100 (Endeavor), STS-120 (Discovery)</t>
  </si>
  <si>
    <t>Kent V. Rominger</t>
  </si>
  <si>
    <t>Del Norte, CO</t>
  </si>
  <si>
    <t>Colorado State University; US Naval Postgraduate School</t>
  </si>
  <si>
    <t>STS-73 (Columbia), STS-80 (Columbia), STS-85 (Discovery), STS-96 (Discovery), STS-100 (Endeavor)</t>
  </si>
  <si>
    <t>Winston E. Scott</t>
  </si>
  <si>
    <t>Florida State University; US Naval Postgraduate School</t>
  </si>
  <si>
    <t>Music</t>
  </si>
  <si>
    <t>STS-72 (Endeavor), STS-87 (Columbia)</t>
  </si>
  <si>
    <t>Steven L. Smith</t>
  </si>
  <si>
    <t>Phoenix, AZ</t>
  </si>
  <si>
    <t>STS-68 (Endeavor), STS-82 (Discovery), STS-103 (Discovery), STS-110 (Atlantis)</t>
  </si>
  <si>
    <t>Joseph R. Tanner</t>
  </si>
  <si>
    <t>Danville, IL</t>
  </si>
  <si>
    <t>STS-66 (Atlantis), STS-82 (Discovery), STS-97 (Endeavor), STS-115 (Discovery)</t>
  </si>
  <si>
    <t>Andrew S. W. Thomas</t>
  </si>
  <si>
    <t>Adelaide, Australia</t>
  </si>
  <si>
    <t>University of Adelaide</t>
  </si>
  <si>
    <t>STS-77 (Endeavor), STS-89/91 (Endeavor/Discovery), STS-102 (Discovery), STS-114 (Discovery)</t>
  </si>
  <si>
    <t>Mary E. Weber</t>
  </si>
  <si>
    <t>Purdue University; University of California-Berkeley</t>
  </si>
  <si>
    <t>Physical Chemistry</t>
  </si>
  <si>
    <t>STS-70 (Discovery), STS-101 (Atlantis)</t>
  </si>
  <si>
    <t>Scott D. Altman</t>
  </si>
  <si>
    <t>Lincoln, IL</t>
  </si>
  <si>
    <t>University of Illinois; US Naval Postgraduate School</t>
  </si>
  <si>
    <t>STS-90 (Columbia), STS-106 (Atlantis), STS-109 (Columbia), STS-125 (Atlantis)</t>
  </si>
  <si>
    <t>Michael P. Anderson</t>
  </si>
  <si>
    <t>Plattsburgh, NY</t>
  </si>
  <si>
    <t>University of Washington; Creighton University</t>
  </si>
  <si>
    <t>STS-89 (Endeavor), STS-107 (Columbia)</t>
  </si>
  <si>
    <t>STS-107 (Columbia)</t>
  </si>
  <si>
    <t>Jeffrey S. Ashby</t>
  </si>
  <si>
    <t>University of Idaho; University of Tennessee</t>
  </si>
  <si>
    <t>Aviation Systems</t>
  </si>
  <si>
    <t>STS-93 (Columbia), STS-100 (Endeavor), STS-112 (Atlantis)</t>
  </si>
  <si>
    <t>Michael J. Bloomfield</t>
  </si>
  <si>
    <t>US Air Force Academy; Old Dominion University</t>
  </si>
  <si>
    <t>STS-86 (Atlantis), STS-97 (Endeavor), STS-110 (Atlantis)</t>
  </si>
  <si>
    <t>Kalpana Chawla</t>
  </si>
  <si>
    <t>Indian-American</t>
  </si>
  <si>
    <t>Karnal, India</t>
  </si>
  <si>
    <t>Punjab Engineering College; University of Texas-Arlington; University of Colorado</t>
  </si>
  <si>
    <t>STS-87 (Columbia), STS-107 (Columbia)</t>
  </si>
  <si>
    <t>Robert L. Curbeam Jr.</t>
  </si>
  <si>
    <t>Aerospace Engineering; Aeronautical &amp; Astronautical Engineering</t>
  </si>
  <si>
    <t>STS-85 (Discovery), STS-98 (Atlantis), STS-116 (Discovery)</t>
  </si>
  <si>
    <t>Joe F. Edwards Jr.</t>
  </si>
  <si>
    <t>Richmond, VA</t>
  </si>
  <si>
    <t>US Naval Academy; University of Tennessee-Knoxville</t>
  </si>
  <si>
    <t>STS-89 (Endeavor)</t>
  </si>
  <si>
    <t>Dominic L. Gorie</t>
  </si>
  <si>
    <t>Lake Charles, LA</t>
  </si>
  <si>
    <t>US Naval Academy; University of Tennessee</t>
  </si>
  <si>
    <t>STS-91 (Discovery), STS-99 (Endeavor), STS-123 (Endeavor), STS-108 (Endeavor)</t>
  </si>
  <si>
    <t>Kathryn P. Hire</t>
  </si>
  <si>
    <t>US Naval Academy; Florida State Institute of Technology</t>
  </si>
  <si>
    <t>Space Technology</t>
  </si>
  <si>
    <t>STS-90 (Columbia), STS-130 (Endeavor)</t>
  </si>
  <si>
    <t>Rick D. Husband</t>
  </si>
  <si>
    <t>Amarillo, TX</t>
  </si>
  <si>
    <t>Texas Tech University; California State University</t>
  </si>
  <si>
    <t>STS-96 (Discovery), STS-107 (Columbia)</t>
  </si>
  <si>
    <t>Janet L. Kavandi</t>
  </si>
  <si>
    <t>Springfield, MO</t>
  </si>
  <si>
    <t>Missouri Southern State College; University of Missouri; University of Washington</t>
  </si>
  <si>
    <t>STS-91 (Discovery), STS-99 (Endeavor), STS-104 (Atlantis)</t>
  </si>
  <si>
    <t>Susan L. Kilrain (Still)</t>
  </si>
  <si>
    <t>Augusta, GA</t>
  </si>
  <si>
    <t>Embry-Riddle University; Georgia Institute of Technology</t>
  </si>
  <si>
    <t>STS-83 (Columbia), STS-94 (Columbia)</t>
  </si>
  <si>
    <t>Steven W. Lindsey</t>
  </si>
  <si>
    <t>Arcadia, CA</t>
  </si>
  <si>
    <t>US Air Force Academy; US Air Force Institute of Technology</t>
  </si>
  <si>
    <t>STS-87 (Columbia), STS-95 (Discovery), STS-104 (Atlantis), STS-121 (Discovery), STS-133 (Discovery)</t>
  </si>
  <si>
    <t>Edward T. Lu</t>
  </si>
  <si>
    <t>Cornell University; Stanford University</t>
  </si>
  <si>
    <t>STS-84 (Atlantis), STS-106 (Atlantis), ISS-07 (Soyuz)</t>
  </si>
  <si>
    <t>Pamela A. Melroy</t>
  </si>
  <si>
    <t>Palo Alto, CA</t>
  </si>
  <si>
    <t>Wellesley College; MIT</t>
  </si>
  <si>
    <t>Earth &amp; Planetary Sciences</t>
  </si>
  <si>
    <t>STS-92 (Discovery), STS-112 (Atlantis), STS-120 (Discovery)</t>
  </si>
  <si>
    <t>Carlos I. Noriega</t>
  </si>
  <si>
    <t>Peruvian-American</t>
  </si>
  <si>
    <t>Lima, Peru</t>
  </si>
  <si>
    <t>University of Southern California; US Naval Postgraduate School</t>
  </si>
  <si>
    <t>Computer Science</t>
  </si>
  <si>
    <t>Computer Science; Space Systems Operations</t>
  </si>
  <si>
    <t>STS-84 (Atlantis), STS-97 (Endeavor)</t>
  </si>
  <si>
    <t>James F. Reilly II</t>
  </si>
  <si>
    <t>Mountain Home Air Force Base, ID</t>
  </si>
  <si>
    <t>University of Texas-Dallas</t>
  </si>
  <si>
    <t>Geosciences</t>
  </si>
  <si>
    <t>STS-89 (Endeavor), STS-104 (Atlantis), STS-117 (Atlantis)</t>
  </si>
  <si>
    <t>Stephen K. Robinson</t>
  </si>
  <si>
    <t>University of California-Davis; Stanford University</t>
  </si>
  <si>
    <t>Mechanical &amp; Aeronautical Engineering</t>
  </si>
  <si>
    <t>STS-85 (Discovery), STS-95 (Discovery), STS-114 (Discovery), STS-130 (Endeavor)</t>
  </si>
  <si>
    <t>Frederick W. Sturckow</t>
  </si>
  <si>
    <t>La Mesa, CA</t>
  </si>
  <si>
    <t>California Polytechnic State University</t>
  </si>
  <si>
    <t>STS-88 (Endeavor), STS-105 (Discovery), STS-117 (Atlantis), STS-128 (Discovery)</t>
  </si>
  <si>
    <t>David M. Brown</t>
  </si>
  <si>
    <t>Arlington, VA</t>
  </si>
  <si>
    <t>College of William &amp; Mary; Eastern Virginia Medical School</t>
  </si>
  <si>
    <t>Daniel C. Burbank</t>
  </si>
  <si>
    <t>Machester, CT</t>
  </si>
  <si>
    <t>US Coast Guard Academy; Embry-Riddle Aeronautical University</t>
  </si>
  <si>
    <t>Aeronautical Science</t>
  </si>
  <si>
    <t>STS-106 (Atlantis), STS-115 (Atlantis), ISS-29/30 (Soyuz)</t>
  </si>
  <si>
    <t>Yvonne D. Cagle</t>
  </si>
  <si>
    <t>West Point, NY</t>
  </si>
  <si>
    <t>San Francisco State University</t>
  </si>
  <si>
    <t>Designated Management between Feb 22-April 13, 2006</t>
  </si>
  <si>
    <t>Fernando Caldeiro</t>
  </si>
  <si>
    <t>Argentinian-American</t>
  </si>
  <si>
    <t>Buenos Aires, Argentina</t>
  </si>
  <si>
    <t>University of Arizona; University of Central Florida</t>
  </si>
  <si>
    <t>Designated Management between Jan 4-Feb 9, 2006</t>
  </si>
  <si>
    <t>Charles J. Camarda</t>
  </si>
  <si>
    <t>Queens, NY</t>
  </si>
  <si>
    <t>Polytechnic Institute of Brooklyn; George Washington University; Virginia Polytechnic Institute</t>
  </si>
  <si>
    <t>Engineering Science; Aerospace Engineering</t>
  </si>
  <si>
    <t>STS-114 (Discovery)</t>
  </si>
  <si>
    <t>Duane G. Carey</t>
  </si>
  <si>
    <t>St. Paul, MN</t>
  </si>
  <si>
    <t>University of Minnesota-Minneapolis</t>
  </si>
  <si>
    <t>Aerospace Engineering &amp; Mechanics</t>
  </si>
  <si>
    <t>STS-109 (Columbia)</t>
  </si>
  <si>
    <t>Laurel B. Clark</t>
  </si>
  <si>
    <t>Ames, IA</t>
  </si>
  <si>
    <t>University of Wisconsin-Madison</t>
  </si>
  <si>
    <t>Zoology</t>
  </si>
  <si>
    <t>E. Michael Fincke</t>
  </si>
  <si>
    <t>A</t>
  </si>
  <si>
    <t>Active</t>
  </si>
  <si>
    <t>MIT; Stanford University; University of Houston-Clear Lake</t>
  </si>
  <si>
    <t>Aeronautics &amp; Astronautics; Earth, Atmospheric &amp; Planetary Sciences</t>
  </si>
  <si>
    <t>Aeronautics &amp; Astronautics; Physical Sciences</t>
  </si>
  <si>
    <t>ISS-09 (Soyuz), ISS-18 (Soyuz), STS-134 (Endeavor)</t>
  </si>
  <si>
    <t>Patrick G. Forrester</t>
  </si>
  <si>
    <t>El Paso, TX</t>
  </si>
  <si>
    <t>US Military Academy; University of Virginia</t>
  </si>
  <si>
    <t>Mechanical &amp; Aerospace Engineering</t>
  </si>
  <si>
    <t>STS-105 (Discovery), STS-117 (Atlantis), STS-128 (Discovery)</t>
  </si>
  <si>
    <t>Stephen N. Frick</t>
  </si>
  <si>
    <t>STS-110 (Atlantis), STS-122 (Atlantis)</t>
  </si>
  <si>
    <t>John B. Herrington</t>
  </si>
  <si>
    <t>Wetumka, OK</t>
  </si>
  <si>
    <t>University of Colorado; US Naval Postgraduate School</t>
  </si>
  <si>
    <t>STS-113 (Endeavor)</t>
  </si>
  <si>
    <t>Joan E. Higginbotham</t>
  </si>
  <si>
    <t>Southern Illinois University-Carbondale; Florida Institute of Technology</t>
  </si>
  <si>
    <t>Business Management; Space Systems</t>
  </si>
  <si>
    <t>STS-116 (Discovery)</t>
  </si>
  <si>
    <t>Charles O. Hobaugh</t>
  </si>
  <si>
    <t>Bar Harbor, ME</t>
  </si>
  <si>
    <t>STS-104 (Atlantis), STS-118 (Endeavor), ST-129 (Atlantis)</t>
  </si>
  <si>
    <t>James M. Kelly</t>
  </si>
  <si>
    <t>Burlington, IA</t>
  </si>
  <si>
    <t>US Air Force Academy; University of Alabama</t>
  </si>
  <si>
    <t>STS-102 (Discovery), STS-114 (Discovery)</t>
  </si>
  <si>
    <t>Mark E. Kelly</t>
  </si>
  <si>
    <t>Orange, NJ</t>
  </si>
  <si>
    <t>US Merchant Marine Academy; US Naval Postgraduate School</t>
  </si>
  <si>
    <t>Marine Engineering &amp; Nautical Science</t>
  </si>
  <si>
    <t>STS-108 (Endeavor), STS-121 (Discovery), STS-124 (Discovery), STS-134 (Endeavor)</t>
  </si>
  <si>
    <t>Scott J. Kelly</t>
  </si>
  <si>
    <t>State University of New York Maritime College; University of Tennessee-Knoxville</t>
  </si>
  <si>
    <t>STS-103 (Discovery), STS-118 (Endeavor), ISS-25/26 (Soyuz), ISS-43/44/45/46 (Soyuz)</t>
  </si>
  <si>
    <t>Paul S. Lockhart</t>
  </si>
  <si>
    <t>Texas Tech University; University of Texas</t>
  </si>
  <si>
    <t>STS-111 (Endeavor), STS-113 (Endeavor)</t>
  </si>
  <si>
    <t>Christopher Loria</t>
  </si>
  <si>
    <t>Belmont, MA</t>
  </si>
  <si>
    <t>US Naval Academy; Harvard University</t>
  </si>
  <si>
    <t>Grounded due to back injury</t>
  </si>
  <si>
    <t>Sandra H. Magnus</t>
  </si>
  <si>
    <t>Belleville, IL</t>
  </si>
  <si>
    <t>University of Missouri-Rolla; Georgia Institute of Technology</t>
  </si>
  <si>
    <t>Electrical Engineering; Materials Science &amp; Engineering</t>
  </si>
  <si>
    <t>STS-112 (Atlantis), STS-126/119 (Endeavor/Discovery), STS-135 (Atlantis)</t>
  </si>
  <si>
    <t>Michael J. Massimino</t>
  </si>
  <si>
    <t>Oceanside, NY</t>
  </si>
  <si>
    <t>Columbia University; MIT</t>
  </si>
  <si>
    <t>Industrial Engineering</t>
  </si>
  <si>
    <t>Technology &amp; Policy; Mechanical Engineering</t>
  </si>
  <si>
    <t>STS-109 (Columbia), STS-125 (Atlantis)</t>
  </si>
  <si>
    <t>Richard A. Mastracchio</t>
  </si>
  <si>
    <t>Retirement</t>
  </si>
  <si>
    <t>Waterbury, CT</t>
  </si>
  <si>
    <t>University of Connecticut; Rensselaer Polytechnic Institute; University of Houston-Clear Lake</t>
  </si>
  <si>
    <t>Electrical Engineering; Computer Science</t>
  </si>
  <si>
    <t>Electrical Engineering; Physical Sciences</t>
  </si>
  <si>
    <t>STS-106 (Atlantis), STS-118 (Endeavor), STS-131 (Discovery), ISS-38/39 (Soyuz)</t>
  </si>
  <si>
    <t>William C. McCool</t>
  </si>
  <si>
    <t>US Naval Academy; University of Maryland; US Naval Postgraduate School</t>
  </si>
  <si>
    <t>Computer Science; Aeronautical Engineering</t>
  </si>
  <si>
    <t>Lee M. Morin</t>
  </si>
  <si>
    <t>Manchester, NH</t>
  </si>
  <si>
    <t>University of New Hampshire; University of Alabama-Birmingham; New York University</t>
  </si>
  <si>
    <t>Mathematical &amp; Electrical Science</t>
  </si>
  <si>
    <t>Public Health; Biochemistry; Medicine; Microbiology</t>
  </si>
  <si>
    <t>STS-110 (Atlantis)</t>
  </si>
  <si>
    <t>Lisa M. Nowak</t>
  </si>
  <si>
    <t>T</t>
  </si>
  <si>
    <t>STS-121 (Discovery)</t>
  </si>
  <si>
    <t>Donald R. Pettit</t>
  </si>
  <si>
    <t>Silverton, OR</t>
  </si>
  <si>
    <t>Oregon State University; University of Arizona</t>
  </si>
  <si>
    <t>ISS-6 (Soyuz), STS-126 (Endeavor), ISS-30/31 (Soyuz)</t>
  </si>
  <si>
    <t>John L. Phillips</t>
  </si>
  <si>
    <t>Ft. Belvoir, VA</t>
  </si>
  <si>
    <t>US Naval Academy; University of West Florida; University of California-Los Angeles</t>
  </si>
  <si>
    <t>Mathematics; Russian</t>
  </si>
  <si>
    <t>Aeronautical Systems; Geophysics &amp; Space Physics</t>
  </si>
  <si>
    <t>US Naval Reserves (Retired)</t>
  </si>
  <si>
    <t>STS-100 (Endeavor), ISS-11 (Soyuz), STS-119 (Discovery)</t>
  </si>
  <si>
    <t>Mark L. Polansky</t>
  </si>
  <si>
    <t>Paterson, NJ</t>
  </si>
  <si>
    <t>STS-98 (Atlantis), ST-116 (Discovery), STS-127 (Endeavor)</t>
  </si>
  <si>
    <t>Paul W. Richards</t>
  </si>
  <si>
    <t>Scranton, PA</t>
  </si>
  <si>
    <t>Drexel University; University of Maryland</t>
  </si>
  <si>
    <t>STS-102 (Discovery)</t>
  </si>
  <si>
    <t>Piers J. Sellers</t>
  </si>
  <si>
    <t>Crowborough, England</t>
  </si>
  <si>
    <t>University of Edinburgh; Leeds University</t>
  </si>
  <si>
    <t>Ecological Science</t>
  </si>
  <si>
    <t>Biometeorology</t>
  </si>
  <si>
    <t>STS-112 (Atlantis), STS-121 (Discovery), STS-132 (Atlantis)</t>
  </si>
  <si>
    <t>Heidemarie M. Stefanyshyn-Piper</t>
  </si>
  <si>
    <t>STS-115 (Atlantis), STS-126 (Endeavor)</t>
  </si>
  <si>
    <t>Daniel M. Tani</t>
  </si>
  <si>
    <t>Ridley Park, PA</t>
  </si>
  <si>
    <t>STS-108 (Endeavor), STS-120/122 (Discovery/Atlantis)</t>
  </si>
  <si>
    <t>Rex J. Walheim</t>
  </si>
  <si>
    <t>Redwood, CA</t>
  </si>
  <si>
    <t>University of California-Berkeley; University of Houston</t>
  </si>
  <si>
    <t>STS-110 (Atlantis), STS-122 (Atlantis), STS-135 (Atlantis)</t>
  </si>
  <si>
    <t>Peggy A. Whitson</t>
  </si>
  <si>
    <t>Mt. Ayr, IA</t>
  </si>
  <si>
    <t>Iowa Wesleyan College; Rice University</t>
  </si>
  <si>
    <t>Chemistry &amp; Biology</t>
  </si>
  <si>
    <t>STS-111/113 (Endeavor), ISS-16 (Soyuz), ISS-50/51 (Soyuz)</t>
  </si>
  <si>
    <t>Jeffrey N. Williams</t>
  </si>
  <si>
    <t>Superior, WI</t>
  </si>
  <si>
    <t>US Military Academy; US Naval Postgraduate School; US Naval War College</t>
  </si>
  <si>
    <t>Aeronautical Engineering; National Security &amp; Strategic Studies</t>
  </si>
  <si>
    <t>STS-101 (Atlantis), ISS-13 (Soyuz), ISS-21/22 (Soyuz), ISS-47/48 (Soyuz)</t>
  </si>
  <si>
    <t>Stephanie D. Wilson</t>
  </si>
  <si>
    <t>Harvard University; University of Texas</t>
  </si>
  <si>
    <t>STS-121 (Discovery), STS-120 (Discovery), STS-131 (Discovery)</t>
  </si>
  <si>
    <t>Clayton C. Anderson</t>
  </si>
  <si>
    <t>Omaha, NE</t>
  </si>
  <si>
    <t>Hastings College; Iowa State University</t>
  </si>
  <si>
    <t>STS-117/120 (Atlantis/Discovery), STS-131 (Discovery)</t>
  </si>
  <si>
    <t>Lee J. Archambault</t>
  </si>
  <si>
    <t>University of Illinois-Urbana</t>
  </si>
  <si>
    <t>STS-117 (Atlantis), STS-119 (Discovery)</t>
  </si>
  <si>
    <t>Tracy E. Caldwell (Dyson)</t>
  </si>
  <si>
    <t>California State University-Fullerton; University of California-Davis</t>
  </si>
  <si>
    <t>STS-118 (Endeavor), ISS-23/24 (Soyuz)</t>
  </si>
  <si>
    <t>Gregory E. Chamitoff</t>
  </si>
  <si>
    <t>Montreal, Canada</t>
  </si>
  <si>
    <t>California Polytechnic State University; California Institute of Technology; MIT</t>
  </si>
  <si>
    <t>STS-124/126 (Discovery/Endeavor), STS-134 (Endeavor)</t>
  </si>
  <si>
    <t>Timothy J. Creamer</t>
  </si>
  <si>
    <t>Ft. Huachuca, AZ</t>
  </si>
  <si>
    <t>Loyola College; MIT</t>
  </si>
  <si>
    <t>ISS-22/23 (Soyuz)</t>
  </si>
  <si>
    <t>Christopher J. Ferguson</t>
  </si>
  <si>
    <t>Drexel University; US Naval Postgraduate School</t>
  </si>
  <si>
    <t>STS-115 (Atlantis), STS-126 (Endeavor), STS-135 (Atlantis)</t>
  </si>
  <si>
    <t>Michael J. Foreman</t>
  </si>
  <si>
    <t>STS-123 (Endeavor), STS-129 (Atlantis)</t>
  </si>
  <si>
    <t>Michael E. Fossum</t>
  </si>
  <si>
    <t>Sioux Falls, SD</t>
  </si>
  <si>
    <t>Texas A&amp;M University; Air Force Institute of Technology; University of Houston-Clear Lake</t>
  </si>
  <si>
    <t>Systems Engineering; Physical Science (Space Science)</t>
  </si>
  <si>
    <t>STS-121 (Discovery), STS-124 (Discovery), ISS-28/29 (Soyuz)</t>
  </si>
  <si>
    <t>Kenneth T. Ham</t>
  </si>
  <si>
    <t>Plainfield, NJ</t>
  </si>
  <si>
    <t>STS-124 (Discovery), STS-132 (Atlantis)</t>
  </si>
  <si>
    <t>Gregory C. Johnson</t>
  </si>
  <si>
    <t>STS-125 (Atlantis)</t>
  </si>
  <si>
    <t>Gregory H. Johnson</t>
  </si>
  <si>
    <t>London, England</t>
  </si>
  <si>
    <t>US Air Force Academy; Columbia University; University of Texas</t>
  </si>
  <si>
    <t>Flight Structures Engineering; Business Administration</t>
  </si>
  <si>
    <t>STS-123 (Endeavor), STS-134 (Endeavor)</t>
  </si>
  <si>
    <t>Stanley G. Love</t>
  </si>
  <si>
    <t>STS-122 (Atlantis)</t>
  </si>
  <si>
    <t>Leland D. Melvin</t>
  </si>
  <si>
    <t>Lynchburg, VA</t>
  </si>
  <si>
    <t>University of Richmond; University of Virginia</t>
  </si>
  <si>
    <t>Materials Science Engineering</t>
  </si>
  <si>
    <t>STS-122 (Atlantis), STS-129 (Atlantis)</t>
  </si>
  <si>
    <t>Barbara R. Morgan</t>
  </si>
  <si>
    <t>Human Biology</t>
  </si>
  <si>
    <t>STS-118 (Endeavor)</t>
  </si>
  <si>
    <t>William A. Oefelein</t>
  </si>
  <si>
    <t>Oregon State University; University of Tennessee</t>
  </si>
  <si>
    <t>John D. Olivas</t>
  </si>
  <si>
    <t>North Hollywood, CA</t>
  </si>
  <si>
    <t>University of Texas-El Paso; University of Houston; Rice University</t>
  </si>
  <si>
    <t>Mechanical  Engineering; Mechanical  Engineering &amp; Materials Science</t>
  </si>
  <si>
    <t>STS-117 (Atlantis), STS-128 (Discovery)</t>
  </si>
  <si>
    <t>Niclolas J. M. Patrick</t>
  </si>
  <si>
    <t>North Yorkshire, England</t>
  </si>
  <si>
    <t>University of Cambridge; MIT</t>
  </si>
  <si>
    <t>Engineering; Mechanical Engineering</t>
  </si>
  <si>
    <t>STS-116 (Discovery), STS-130 (Endeavor)</t>
  </si>
  <si>
    <t>Alan G. Poindexter</t>
  </si>
  <si>
    <t>Pasadena, CA</t>
  </si>
  <si>
    <t>Georgia Institute of Technology; US Naval Postgraduate School</t>
  </si>
  <si>
    <t>STS-122 (Atlantis), STS-131 (Discovery)</t>
  </si>
  <si>
    <t>Garrett E. Reisman</t>
  </si>
  <si>
    <t>Morristown, NJ</t>
  </si>
  <si>
    <t>University of Pennsylvania; California Institute of Technology</t>
  </si>
  <si>
    <t>Economics</t>
  </si>
  <si>
    <t>STS-123/124 (Endeavor/Discovery), STS-132 (Atlantis)</t>
  </si>
  <si>
    <t>Patricia Hilliard Robertson</t>
  </si>
  <si>
    <t>Indiana, PA</t>
  </si>
  <si>
    <t>Indiana University of Pennsylvania; Medical College of Pennsylvania</t>
  </si>
  <si>
    <t>Steven R. Swanson</t>
  </si>
  <si>
    <t>Syracuse, NY</t>
  </si>
  <si>
    <t>University of Colorado; Florida Atlantic University; Texas A&amp;M University</t>
  </si>
  <si>
    <t>Computer Systems; Computer Science</t>
  </si>
  <si>
    <t>STS-117 (Atlantis), STS-119 (Discovery), ISS-39/40 (Soyuz)</t>
  </si>
  <si>
    <t>Douglas H. Wheelock</t>
  </si>
  <si>
    <t>Binghamton, NY</t>
  </si>
  <si>
    <t>STS-120 (Discovery), ISS-24/25 (Soyuz)</t>
  </si>
  <si>
    <t>Sunita L. Williams</t>
  </si>
  <si>
    <t>Euclid, OH</t>
  </si>
  <si>
    <t>US Naval Academy; Florida Institute of Technology</t>
  </si>
  <si>
    <t>STS-116/117 (Discovery/Atlantis), ISS-32/33 (Soyuz)</t>
  </si>
  <si>
    <t>Neil W. Woodward III</t>
  </si>
  <si>
    <t>MIT; University of Texas-Austin; George Washington University</t>
  </si>
  <si>
    <t>Physics; Business Management</t>
  </si>
  <si>
    <t>Designated Management between Jun 12-Aug 8, 2004</t>
  </si>
  <si>
    <t>George D. Zamka</t>
  </si>
  <si>
    <t>Colombian-American</t>
  </si>
  <si>
    <t>Jersey City, NJ</t>
  </si>
  <si>
    <t>STS-120 (Discovery), STS-130 (Endeavor)</t>
  </si>
  <si>
    <t>Dominic A. Antonelli</t>
  </si>
  <si>
    <t>Detroit, MI</t>
  </si>
  <si>
    <t>MIT; University of Washington</t>
  </si>
  <si>
    <t>STS-119 (Discovery), STS-132 (Atlantis)</t>
  </si>
  <si>
    <t>Michael R. Barratt</t>
  </si>
  <si>
    <t>Vancouver, WA</t>
  </si>
  <si>
    <t>University of Washington; Northwestern University; Wright State University</t>
  </si>
  <si>
    <t>Medicine; Aerospace Medicine</t>
  </si>
  <si>
    <t>ISS-19/20 (Soyuz), STS-133 (Discovery)</t>
  </si>
  <si>
    <t>Robert L. Behnken</t>
  </si>
  <si>
    <t>Creve Couer, MO</t>
  </si>
  <si>
    <t>Washington University; California Institute of Technology</t>
  </si>
  <si>
    <t>Physics &amp; Mechanical Engineering</t>
  </si>
  <si>
    <t>93d 11h 42min</t>
  </si>
  <si>
    <t>61 hours, 10 minutes</t>
  </si>
  <si>
    <t>STS-123 (Endeavor), STS-130 (Endeavor), SpX-DM2</t>
  </si>
  <si>
    <t>Eric A. Boe</t>
  </si>
  <si>
    <t>STS-126 (Endeavor), STS-133 (Discovery)</t>
  </si>
  <si>
    <t>Stephen G. Bowen</t>
  </si>
  <si>
    <t>Cohasset, MA</t>
  </si>
  <si>
    <t>STS-126 (Endeavor), STS-132 (Atlantis), STS-133 (Discovery)</t>
  </si>
  <si>
    <t>Alvin B. Drew Jr.</t>
  </si>
  <si>
    <t>US Air Force Academy; Embry-Riddle Aeronautical University</t>
  </si>
  <si>
    <t>Physics &amp; Astronautical Engineering</t>
  </si>
  <si>
    <t>Aerospace Science; Political Science</t>
  </si>
  <si>
    <t>STS-118 (Endeavor), STS-133 (Discovery)</t>
  </si>
  <si>
    <t>Andrew J. Feustel</t>
  </si>
  <si>
    <t>Lancaster, PA</t>
  </si>
  <si>
    <t>Purdue University; Queen’s University-Canada</t>
  </si>
  <si>
    <t>Solid Earth Sciences</t>
  </si>
  <si>
    <t>Geophysics; Seismology</t>
  </si>
  <si>
    <t>225 days 9 hours 15 minutes</t>
  </si>
  <si>
    <t>61 hours, 48 minutes</t>
  </si>
  <si>
    <t>STS-125 (Atlantis), STS-134 (Endeavor), Soyuz MS-08</t>
  </si>
  <si>
    <t>Kevin A. Ford</t>
  </si>
  <si>
    <t>Portland, IN</t>
  </si>
  <si>
    <t>University of Notre Dame; Troy State University; University of Florida; Air Force Institute of Technology</t>
  </si>
  <si>
    <t>International Relations; Aerospace Engineering; Astronautical Engineering</t>
  </si>
  <si>
    <t>STS-128 (Discovery), ISS-33/34 (Soyuz)</t>
  </si>
  <si>
    <t>Ronald J. Garan Jr.</t>
  </si>
  <si>
    <t>Yonkers, NY</t>
  </si>
  <si>
    <t>State University of New York; Embry-Riddle Aeronautical University; University of Florida</t>
  </si>
  <si>
    <t>Business Economics</t>
  </si>
  <si>
    <t>Aeronautics; Aerospace Engineering</t>
  </si>
  <si>
    <t>STS-124 (Discovery), ISS-27/28 (Soyuz)</t>
  </si>
  <si>
    <t>Michael T. Good</t>
  </si>
  <si>
    <t>Parma, OH</t>
  </si>
  <si>
    <t>STS-125 (Atlantis), STS-132 (Atlantis)</t>
  </si>
  <si>
    <t>Douglas G. Hurley</t>
  </si>
  <si>
    <t>Endicott, NY</t>
  </si>
  <si>
    <t>Tulane University</t>
  </si>
  <si>
    <t>STS-127 (Endeavor), STS-135 (Atlantis)</t>
  </si>
  <si>
    <t>Timothy L. Kopra</t>
  </si>
  <si>
    <t>US Military Academy; Georgia Institute of Technology; US Army War College</t>
  </si>
  <si>
    <t>Aerospace Engineering; Strategic Studies</t>
  </si>
  <si>
    <t>STS-127/128 (Endeavor/Discovery), ISS-46/47 (Soyuz)</t>
  </si>
  <si>
    <t>K. Megan McArthur</t>
  </si>
  <si>
    <t>Honolulu, HI</t>
  </si>
  <si>
    <t>University of California-Los Angeles; University of California-San Diego</t>
  </si>
  <si>
    <t>Oceanography</t>
  </si>
  <si>
    <t>212 days 15 hours 21 minutes</t>
  </si>
  <si>
    <t>STS-125 (Atlantis), SpaceX Crew-2</t>
  </si>
  <si>
    <t>Karen L. Nyberg</t>
  </si>
  <si>
    <t>Parker’s Prairie, MN</t>
  </si>
  <si>
    <t>University of North Dakota; University of Texas</t>
  </si>
  <si>
    <t>STS-124 (Discovery), ISS-36/37 (Soyuz)</t>
  </si>
  <si>
    <t>Nicole P. Stott</t>
  </si>
  <si>
    <t>Albany, NY</t>
  </si>
  <si>
    <t>Embry-Riddle Aeronautical University; University of Central Florida</t>
  </si>
  <si>
    <t>STS-128/129 (Discovery/Atlantis), STS-133 (Discovery)</t>
  </si>
  <si>
    <t>Terry W. Virts Jr.</t>
  </si>
  <si>
    <t>STS-130 (Endeavor), ISS-42/43 (Soyuz)</t>
  </si>
  <si>
    <t>Barry E. Wilmore</t>
  </si>
  <si>
    <t>Tennessee Technological University; University of Tennessee</t>
  </si>
  <si>
    <t>Electrical Engineering; Aviation Systems</t>
  </si>
  <si>
    <t>STS-129 (Atlantis), ISS-41/42 (Soyuz)</t>
  </si>
  <si>
    <t>Joseph M. Acaba</t>
  </si>
  <si>
    <t>Puerto Rican-American</t>
  </si>
  <si>
    <t>Inglewood, CA</t>
  </si>
  <si>
    <t>University of California-Santa Barbara; University of Arizona</t>
  </si>
  <si>
    <t>306 days 34 minutes</t>
  </si>
  <si>
    <t>19 hours 46 minutes</t>
  </si>
  <si>
    <t>STS-119 (Discovery), ISS-31/32 (Soyuz), Soyuz MS-06</t>
  </si>
  <si>
    <t>Richard R. Arnold II</t>
  </si>
  <si>
    <t>Cheverly, MD</t>
  </si>
  <si>
    <t>Frostburg State University; University of Maryland</t>
  </si>
  <si>
    <t>Accounting</t>
  </si>
  <si>
    <t>Environmental Science</t>
  </si>
  <si>
    <t>209 days 13 hours 29 minutes</t>
  </si>
  <si>
    <t xml:space="preserve">32 hours,4 minutes </t>
  </si>
  <si>
    <t>STS-119 (Discovery), Soyuz MS-08</t>
  </si>
  <si>
    <t>Randolph J. Bresnik</t>
  </si>
  <si>
    <t>Fort Knox, KY</t>
  </si>
  <si>
    <t>The Citadel; University of Tennessee-Knoxville</t>
  </si>
  <si>
    <t>149 days 12 hours 12 minutes</t>
  </si>
  <si>
    <t>32 hours</t>
  </si>
  <si>
    <t>STS-129 (Atlantis), Soyuz MS-05</t>
  </si>
  <si>
    <t>Christopher J. Cassidy</t>
  </si>
  <si>
    <t>Salem, MA</t>
  </si>
  <si>
    <t>377d 17h 49m</t>
  </si>
  <si>
    <t>54 hours and 51 minutes</t>
  </si>
  <si>
    <t>STS-127 (Endeavor); ISS-35/36 (Soyuz), Soyuz MS-16</t>
  </si>
  <si>
    <t>James P. Dutton Jr.</t>
  </si>
  <si>
    <t>Eugene, OR</t>
  </si>
  <si>
    <t>US Air Force Academy; University of Washington</t>
  </si>
  <si>
    <t>STS-131 (Discovery)</t>
  </si>
  <si>
    <t>Jose M. Hernandez</t>
  </si>
  <si>
    <t>French Camp, CA</t>
  </si>
  <si>
    <t>University of the Pacific; University of California-Santa Barbara</t>
  </si>
  <si>
    <t>Electrical &amp; Computer Engineering</t>
  </si>
  <si>
    <t>STS-128 (Discovery)</t>
  </si>
  <si>
    <t>Robert Shane Kimbrough</t>
  </si>
  <si>
    <t>Killeen, TX</t>
  </si>
  <si>
    <t>388 days 17 hours 28 minutes</t>
  </si>
  <si>
    <t>59 hours and 28 minutes</t>
  </si>
  <si>
    <t>STS-126 (Endeavor), ISS-49/50 (Soyuz), SpaceX Crew-2</t>
  </si>
  <si>
    <t>Thomas H. Marshburn</t>
  </si>
  <si>
    <t>Statesville, NC</t>
  </si>
  <si>
    <t>Davidson College; University of Virginia; Wake Forest University; University of Texas Medical Branch-Galveston</t>
  </si>
  <si>
    <t>Engineering Physics; Medicine; Medical Science</t>
  </si>
  <si>
    <t>31 hours and 1 minutes</t>
  </si>
  <si>
    <t>STS-127 (Endeavor), ISS-34/35 (Soyuz)</t>
  </si>
  <si>
    <t>Currently in space</t>
  </si>
  <si>
    <t>Dorothy M. Metcalf-Lindenberger</t>
  </si>
  <si>
    <t>Colorado Springs, CO</t>
  </si>
  <si>
    <t>Whitman College</t>
  </si>
  <si>
    <t>Robert L. Satcher Jr.</t>
  </si>
  <si>
    <t>Hampton, VA</t>
  </si>
  <si>
    <t>MIT; Harvard University</t>
  </si>
  <si>
    <t>Chemical Engineering; Medicine</t>
  </si>
  <si>
    <t>STS-129 (Atlantis)</t>
  </si>
  <si>
    <t>Shannon Walker</t>
  </si>
  <si>
    <t>Houston, TX</t>
  </si>
  <si>
    <t>Rice University</t>
  </si>
  <si>
    <t>Space Physics</t>
  </si>
  <si>
    <t>330 days 13 hours 40 minutes</t>
  </si>
  <si>
    <t>ISS-24/25 (Soyuz), SpaceX Crew-1</t>
  </si>
  <si>
    <t>Serena M. Aunon</t>
  </si>
  <si>
    <t>Cuban-American</t>
  </si>
  <si>
    <t>George Washington University; University of Texas</t>
  </si>
  <si>
    <t>196 days 17 hours 49 mins</t>
  </si>
  <si>
    <t>Soyuz MS-09</t>
  </si>
  <si>
    <t>Jeanette J. Epps</t>
  </si>
  <si>
    <t>LeMoyne College; University of Maryland</t>
  </si>
  <si>
    <t>Yanked from assigned mission with no explanation, reassigned to Starliner in 2020</t>
  </si>
  <si>
    <t>Jack D. Fischer</t>
  </si>
  <si>
    <t>Louisville, CO</t>
  </si>
  <si>
    <t>135 days 18 hours 8 minutes</t>
  </si>
  <si>
    <t>Soyuz MS-04</t>
  </si>
  <si>
    <t>Michael S. Hopkins</t>
  </si>
  <si>
    <t>Lebanon, MO</t>
  </si>
  <si>
    <t>University of Illinois; Stanford University</t>
  </si>
  <si>
    <t>333 days 12 hours 54 minutes</t>
  </si>
  <si>
    <t>32 hours 1 minute</t>
  </si>
  <si>
    <t>ISS-37/38 (Soyuz), SpaceX Crew-1</t>
  </si>
  <si>
    <t>Kjell N. Lindgren</t>
  </si>
  <si>
    <t>Taiwanese-American</t>
  </si>
  <si>
    <t>Taipei, Taiwan</t>
  </si>
  <si>
    <t>US Air Force Academy; University of Colorado; Colorado State University; University of Minnesota; University of Texas Medical Branch-Galveston</t>
  </si>
  <si>
    <t>Medicine; Cardiovascular Physiology; Health Informatics; Public Health</t>
  </si>
  <si>
    <t>ISS-44/45 (Soyuz)</t>
  </si>
  <si>
    <t>Kathleen Rubins</t>
  </si>
  <si>
    <t>Farmington, CT</t>
  </si>
  <si>
    <t>University of California-San Diego; Stanford University</t>
  </si>
  <si>
    <t>Molecular Biology</t>
  </si>
  <si>
    <t>Cancer Biology</t>
  </si>
  <si>
    <t>300 days 1 hour 31 minutes</t>
  </si>
  <si>
    <t>26 hours 46 mins</t>
  </si>
  <si>
    <t>ISS-48/49 (Soyuz), Soyuz MS-17</t>
  </si>
  <si>
    <t>Scott D. Tingle</t>
  </si>
  <si>
    <t>Attleboro, MA</t>
  </si>
  <si>
    <t>Southeastern Massachusetts University; Purdue University</t>
  </si>
  <si>
    <t>168 days 5 hours 18 minutes</t>
  </si>
  <si>
    <t>7 hours 24 minutes</t>
  </si>
  <si>
    <t>Soyuz MS-07</t>
  </si>
  <si>
    <t>Mark T. Vande Hei</t>
  </si>
  <si>
    <t>Falls Church, VA</t>
  </si>
  <si>
    <t>Saint John’s University; Stanford University</t>
  </si>
  <si>
    <t>26 hours 42 minutes</t>
  </si>
  <si>
    <t>Soyuz MS-06, Soyuz MS-18/Soyuz MS-19</t>
  </si>
  <si>
    <t>G. Reid Wiseman</t>
  </si>
  <si>
    <t>Rensselaer Polytechnic Institute; Johns Hopkins University</t>
  </si>
  <si>
    <t>Computer &amp; Systems Engineering</t>
  </si>
  <si>
    <t>ISS-40/41 (Soyuz)</t>
  </si>
  <si>
    <t>Josh A. Cassada</t>
  </si>
  <si>
    <t>Albion College, University of Rochester</t>
  </si>
  <si>
    <t>High Energy Particle Physics</t>
  </si>
  <si>
    <t>Victor J. Glover</t>
  </si>
  <si>
    <t>Pomona, CA</t>
  </si>
  <si>
    <t>167d 06h 29m</t>
  </si>
  <si>
    <t>26h 07m</t>
  </si>
  <si>
    <t>SpaceX Crew-1</t>
  </si>
  <si>
    <t>Tyler N. Hague</t>
  </si>
  <si>
    <t>Belleville, KS</t>
  </si>
  <si>
    <t>202d 15h 44m</t>
  </si>
  <si>
    <t>19h 56m</t>
  </si>
  <si>
    <t>Soyuz MS-10, Soyuz MS-12</t>
  </si>
  <si>
    <t>Christina H. Koch</t>
  </si>
  <si>
    <t>328 days 13 hours 58 minutes</t>
  </si>
  <si>
    <t>42h 15min</t>
  </si>
  <si>
    <t>Soyuz MS-12/Soyuz MS-13</t>
  </si>
  <si>
    <t>Nicole Mann</t>
  </si>
  <si>
    <t>Native</t>
  </si>
  <si>
    <t>Petaluma, CA</t>
  </si>
  <si>
    <t>Anne C. McClain</t>
  </si>
  <si>
    <t>Spokane, WA</t>
  </si>
  <si>
    <t>203 days 15 hours 16 minutes</t>
  </si>
  <si>
    <t>13h 09m</t>
  </si>
  <si>
    <t>Soyuz MS-11</t>
  </si>
  <si>
    <t>Jessica U. Meir</t>
  </si>
  <si>
    <t>Caribou, ME</t>
  </si>
  <si>
    <t>204d 15h 19m 00s</t>
  </si>
  <si>
    <t>21h 44m</t>
  </si>
  <si>
    <t>Soyuz MS-15</t>
  </si>
  <si>
    <t>Andrew R. Morgan</t>
  </si>
  <si>
    <t>Morgantown, WV</t>
  </si>
  <si>
    <t>271d 12h 48m</t>
  </si>
  <si>
    <t>45h48m</t>
  </si>
  <si>
    <t>Soyuz MS-13/Soyuz MS-15</t>
  </si>
  <si>
    <t>Kayla J. Barron</t>
  </si>
  <si>
    <t>Pocatello, ID</t>
  </si>
  <si>
    <t>6 hours and 32 minutes</t>
  </si>
  <si>
    <t>SpaceX Crew-3</t>
  </si>
  <si>
    <t>Zena M. Cardman</t>
  </si>
  <si>
    <t>Urbana, IL</t>
  </si>
  <si>
    <t>Raja J. Chari</t>
  </si>
  <si>
    <t>Matthew S. Dominick</t>
  </si>
  <si>
    <t>Wheat Ridge, CO</t>
  </si>
  <si>
    <t>Bob T. Hines</t>
  </si>
  <si>
    <t>Fayetteville, NC</t>
  </si>
  <si>
    <t>Warren W. Hoburg</t>
  </si>
  <si>
    <t>Jonathan Kim</t>
  </si>
  <si>
    <t>Korean-American</t>
  </si>
  <si>
    <t>Robb M. Kulin</t>
  </si>
  <si>
    <t>RG</t>
  </si>
  <si>
    <t>Anchorage, AK</t>
  </si>
  <si>
    <t>Jasmin Moghbeli</t>
  </si>
  <si>
    <t>Iranian-American</t>
  </si>
  <si>
    <t>Bad Nauheim, West Germany</t>
  </si>
  <si>
    <t>Loral A. O'Hara</t>
  </si>
  <si>
    <t>Francisco C. Rubio</t>
  </si>
  <si>
    <t>Salvadoreno-American</t>
  </si>
  <si>
    <t>Jessica A. Watkins</t>
  </si>
  <si>
    <t>Gaithersberg, MD</t>
  </si>
  <si>
    <t>Nichole Ayers</t>
  </si>
  <si>
    <t>I</t>
  </si>
  <si>
    <t>Training</t>
  </si>
  <si>
    <t>US Air Force Academy, Rice University</t>
  </si>
  <si>
    <t>Computational and Applied Mathematics</t>
  </si>
  <si>
    <t>Marcos Berrios</t>
  </si>
  <si>
    <t>Fort Campbell, TN</t>
  </si>
  <si>
    <t>MIT, Stanford University</t>
  </si>
  <si>
    <t>Aeronautics and Astronautics</t>
  </si>
  <si>
    <t>Christina Birch</t>
  </si>
  <si>
    <t>Mesa, AZ</t>
  </si>
  <si>
    <t>University of Arizona, MIT</t>
  </si>
  <si>
    <t>Mathematics, Biochemistry</t>
  </si>
  <si>
    <t>Biological Engineering</t>
  </si>
  <si>
    <t>Deniz Burnham</t>
  </si>
  <si>
    <t>Adana, Turkey</t>
  </si>
  <si>
    <t>UC San Diego, USC</t>
  </si>
  <si>
    <t>Lieutenant</t>
  </si>
  <si>
    <t>Luke Delaney</t>
  </si>
  <si>
    <t>University of North Florida, Naval Postgraduate School</t>
  </si>
  <si>
    <t>Andre Douglas</t>
  </si>
  <si>
    <t>US Coast Guard Academy, University of Michigan, Johns Hopkins University</t>
  </si>
  <si>
    <t>Marine Engineering, Electrical and Computer Engineering</t>
  </si>
  <si>
    <t>Jack Hathaway</t>
  </si>
  <si>
    <t>South Windsor, CT</t>
  </si>
  <si>
    <t>US Naval Academy, Cranfield University</t>
  </si>
  <si>
    <t>Flight Dynamics</t>
  </si>
  <si>
    <t>Anil Menon</t>
  </si>
  <si>
    <t>Harvard University, Stanford University</t>
  </si>
  <si>
    <t>Neurobiology</t>
  </si>
  <si>
    <t>Christopher Williams</t>
  </si>
  <si>
    <t>New York City, NY</t>
  </si>
  <si>
    <t>Stanford University, MIT</t>
  </si>
  <si>
    <t>Jessica Wittner</t>
  </si>
  <si>
    <t>Lieutenenant Commander</t>
  </si>
  <si>
    <t>white male</t>
  </si>
  <si>
    <t>white female</t>
  </si>
  <si>
    <t>black male</t>
  </si>
  <si>
    <t>black female</t>
  </si>
  <si>
    <t>hispanic male</t>
  </si>
  <si>
    <t>hispanic female</t>
  </si>
  <si>
    <t>asian male</t>
  </si>
  <si>
    <t>asian female</t>
  </si>
  <si>
    <t xml:space="preserve">native </t>
  </si>
  <si>
    <t>native male</t>
  </si>
  <si>
    <t>native female</t>
  </si>
  <si>
    <t>US Population</t>
  </si>
  <si>
    <t>Astronauts</t>
  </si>
  <si>
    <t>White Men</t>
  </si>
  <si>
    <t>White Women</t>
  </si>
  <si>
    <t>Black Men</t>
  </si>
  <si>
    <t>Black Women</t>
  </si>
  <si>
    <t>Hispanic Men</t>
  </si>
  <si>
    <t>Hispanic Women</t>
  </si>
  <si>
    <t>Asian Men</t>
  </si>
  <si>
    <t>Asian Women</t>
  </si>
  <si>
    <t>Total</t>
  </si>
  <si>
    <t>American Indian/Alaska Native</t>
  </si>
  <si>
    <t>Other</t>
  </si>
  <si>
    <t>POC Totals</t>
  </si>
  <si>
    <t>AVG Career Length (Non-Active):</t>
  </si>
  <si>
    <t>AVG Career Length (Active):</t>
  </si>
  <si>
    <t>AVG Years to First Flight (All):</t>
  </si>
  <si>
    <t>Last Flight to Career End (All):</t>
  </si>
  <si>
    <t>POC Men</t>
  </si>
  <si>
    <t>POC Women</t>
  </si>
  <si>
    <t>Totals</t>
  </si>
  <si>
    <t>Men</t>
  </si>
  <si>
    <t>Women</t>
  </si>
  <si>
    <t>Number</t>
  </si>
  <si>
    <t>Share of Total</t>
  </si>
  <si>
    <t>After 1987</t>
  </si>
  <si>
    <t>After 2000</t>
  </si>
  <si>
    <t>1959-1979</t>
  </si>
  <si>
    <t>1980-1999</t>
  </si>
  <si>
    <t>2001-2021</t>
  </si>
  <si>
    <t>Designated Management no later than 2017</t>
  </si>
  <si>
    <t>ISS-24/25 (Soyuz)</t>
  </si>
  <si>
    <t>ISS-48/49 (Soyuz)</t>
  </si>
  <si>
    <t>Soyuz MS-12, Soyuz MS-13</t>
  </si>
  <si>
    <t>Never assigned a flight</t>
  </si>
  <si>
    <t>Never assigned a flight, resigned in 2008</t>
  </si>
  <si>
    <t>STS-123 (Endeavor), STS-130 (Endeavor)</t>
  </si>
  <si>
    <t>STS-125 (Atlantis), STS-134 (Endeavor)</t>
  </si>
  <si>
    <t>STS-119 (Discovery), ISS-31/32 (Soyuz)</t>
  </si>
  <si>
    <t>STS-119 (Discovery)</t>
  </si>
  <si>
    <t>STS-127 (Endeavor); ISS-35/36 (Soyuz)</t>
  </si>
  <si>
    <t>STS-126 (Endeavor), ISS-49/50 (Soyuz)</t>
  </si>
  <si>
    <t>ISS-37/38 (Soyuz)</t>
  </si>
  <si>
    <t>Soyuz MS-06, Soyuz MS-18, Soyuz MS-19</t>
  </si>
  <si>
    <t>Soyuz MS-13, Soyuz MS-15</t>
  </si>
  <si>
    <t>#ERROR!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</si>
</sst>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"/>
    <numFmt numFmtId="165" formatCode="mm/dd/yyyy"/>
    <numFmt numFmtId="166" formatCode="mm/dd/yy"/>
  </numFmts>
  <fonts count="9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</font>
    <font>
      <sz val="9"/>
      <color rgb="FF000000"/>
      <name val="Sans-serif"/>
    </font>
    <font>
      <sz val="12"/>
      <color rgb="FF000000"/>
      <name val="Calibri"/>
    </font>
    <font>
      <sz val="11"/>
      <color theme="1"/>
      <name val="Arial"/>
    </font>
    <font>
      <b/>
      <sz val="10"/>
      <color theme="1"/>
      <name val="Arial"/>
    </font>
    <font>
      <b/>
      <sz val="10"/>
      <color theme="1"/>
      <name val="Arial"/>
    </font>
    <font>
      <sz val="11"/>
      <color rgb="FF000000"/>
      <name val="Inconsolata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8F9FA"/>
        <bgColor rgb="FFF8F9F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0" borderId="0" xfId="0" applyFont="1" applyAlignment="1"/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left"/>
    </xf>
    <xf numFmtId="164" fontId="1" fillId="0" borderId="0" xfId="0" applyNumberFormat="1" applyFont="1" applyAlignment="1"/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2" fontId="0" fillId="0" borderId="0" xfId="0" applyNumberFormat="1" applyFont="1"/>
    <xf numFmtId="165" fontId="1" fillId="0" borderId="0" xfId="0" applyNumberFormat="1" applyFont="1" applyAlignment="1"/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1" fillId="2" borderId="0" xfId="0" applyFont="1" applyFill="1" applyAlignment="1"/>
    <xf numFmtId="164" fontId="1" fillId="2" borderId="0" xfId="0" applyNumberFormat="1" applyFont="1" applyFill="1" applyAlignment="1"/>
    <xf numFmtId="164" fontId="2" fillId="0" borderId="0" xfId="0" applyNumberFormat="1" applyFont="1" applyAlignment="1">
      <alignment horizontal="left"/>
    </xf>
    <xf numFmtId="0" fontId="1" fillId="2" borderId="0" xfId="0" applyFont="1" applyFill="1"/>
    <xf numFmtId="164" fontId="2" fillId="2" borderId="0" xfId="0" applyNumberFormat="1" applyFont="1" applyFill="1" applyAlignment="1">
      <alignment horizontal="left"/>
    </xf>
    <xf numFmtId="164" fontId="2" fillId="3" borderId="0" xfId="0" applyNumberFormat="1" applyFont="1" applyFill="1" applyAlignment="1">
      <alignment horizontal="left"/>
    </xf>
    <xf numFmtId="166" fontId="1" fillId="0" borderId="0" xfId="0" applyNumberFormat="1" applyFont="1" applyAlignment="1"/>
    <xf numFmtId="16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1" fillId="3" borderId="0" xfId="0" applyFont="1" applyFill="1" applyAlignment="1"/>
    <xf numFmtId="0" fontId="2" fillId="4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left"/>
    </xf>
    <xf numFmtId="10" fontId="4" fillId="0" borderId="0" xfId="0" applyNumberFormat="1" applyFont="1" applyAlignment="1">
      <alignment horizontal="right"/>
    </xf>
    <xf numFmtId="10" fontId="1" fillId="0" borderId="0" xfId="0" applyNumberFormat="1" applyFont="1"/>
    <xf numFmtId="10" fontId="2" fillId="0" borderId="0" xfId="0" applyNumberFormat="1" applyFont="1"/>
    <xf numFmtId="10" fontId="5" fillId="0" borderId="0" xfId="0" applyNumberFormat="1" applyFont="1"/>
    <xf numFmtId="0" fontId="1" fillId="0" borderId="0" xfId="0" applyFont="1" applyAlignment="1"/>
    <xf numFmtId="3" fontId="1" fillId="0" borderId="0" xfId="0" applyNumberFormat="1" applyFont="1" applyAlignment="1"/>
    <xf numFmtId="3" fontId="1" fillId="0" borderId="0" xfId="0" applyNumberFormat="1" applyFont="1" applyAlignment="1">
      <alignment horizontal="right"/>
    </xf>
    <xf numFmtId="0" fontId="1" fillId="0" borderId="0" xfId="0" applyFont="1"/>
    <xf numFmtId="3" fontId="1" fillId="0" borderId="0" xfId="0" applyNumberFormat="1" applyFont="1"/>
    <xf numFmtId="10" fontId="1" fillId="0" borderId="0" xfId="0" applyNumberFormat="1" applyFont="1" applyAlignment="1"/>
    <xf numFmtId="3" fontId="1" fillId="2" borderId="0" xfId="0" applyNumberFormat="1" applyFont="1" applyFill="1"/>
    <xf numFmtId="0" fontId="6" fillId="0" borderId="0" xfId="0" applyFont="1" applyAlignment="1"/>
    <xf numFmtId="164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2" fontId="6" fillId="0" borderId="0" xfId="0" applyNumberFormat="1" applyFont="1" applyAlignment="1">
      <alignment horizontal="left"/>
    </xf>
    <xf numFmtId="2" fontId="7" fillId="0" borderId="0" xfId="0" applyNumberFormat="1" applyFont="1" applyAlignment="1">
      <alignment horizontal="left"/>
    </xf>
    <xf numFmtId="0" fontId="6" fillId="0" borderId="0" xfId="0" applyFont="1"/>
    <xf numFmtId="2" fontId="1" fillId="0" borderId="0" xfId="0" applyNumberFormat="1" applyFont="1"/>
    <xf numFmtId="10" fontId="1" fillId="0" borderId="0" xfId="0" applyNumberFormat="1" applyFont="1" applyAlignment="1">
      <alignment horizontal="right"/>
    </xf>
    <xf numFmtId="10" fontId="1" fillId="0" borderId="0" xfId="0" applyNumberFormat="1" applyFont="1" applyAlignment="1">
      <alignment horizontal="right"/>
    </xf>
    <xf numFmtId="0" fontId="8" fillId="0" borderId="0" xfId="0" applyFont="1"/>
    <xf numFmtId="0" fontId="1" fillId="0" borderId="0" xfId="0" applyFont="1" applyAlignment="1">
      <alignment horizontal="right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US Population vs. Astronaut Selectees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demographics!$A$2</c:f>
              <c:strCache>
                <c:ptCount val="1"/>
                <c:pt idx="0">
                  <c:v>US Population</c:v>
                </c:pt>
              </c:strCache>
            </c:strRef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invertIfNegative val="1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>
                    <a:latin typeface="sans-serif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demographics!$B$1:$M$1</c:f>
              <c:strCache>
                <c:ptCount val="12"/>
                <c:pt idx="0">
                  <c:v>Male</c:v>
                </c:pt>
                <c:pt idx="1">
                  <c:v>Female</c:v>
                </c:pt>
                <c:pt idx="2">
                  <c:v>White</c:v>
                </c:pt>
                <c:pt idx="3">
                  <c:v>white male</c:v>
                </c:pt>
                <c:pt idx="4">
                  <c:v>white female</c:v>
                </c:pt>
                <c:pt idx="5">
                  <c:v>Black</c:v>
                </c:pt>
                <c:pt idx="6">
                  <c:v>black male</c:v>
                </c:pt>
                <c:pt idx="7">
                  <c:v>black female</c:v>
                </c:pt>
                <c:pt idx="8">
                  <c:v>Hispanic</c:v>
                </c:pt>
                <c:pt idx="9">
                  <c:v>hispanic male</c:v>
                </c:pt>
                <c:pt idx="10">
                  <c:v>hispanic female</c:v>
                </c:pt>
                <c:pt idx="11">
                  <c:v>Asian</c:v>
                </c:pt>
              </c:strCache>
            </c:strRef>
          </c:cat>
          <c:val>
            <c:numRef>
              <c:f>demographics!$B$2:$M$2</c:f>
              <c:numCache>
                <c:formatCode>0.00%</c:formatCode>
                <c:ptCount val="12"/>
                <c:pt idx="0">
                  <c:v>0.49249999999999999</c:v>
                </c:pt>
                <c:pt idx="1">
                  <c:v>0.50749999999999995</c:v>
                </c:pt>
                <c:pt idx="2">
                  <c:v>0.73799999999999999</c:v>
                </c:pt>
                <c:pt idx="3">
                  <c:v>0.37840000000000001</c:v>
                </c:pt>
                <c:pt idx="4">
                  <c:v>0.30459999999999998</c:v>
                </c:pt>
                <c:pt idx="5">
                  <c:v>0.1343</c:v>
                </c:pt>
                <c:pt idx="6">
                  <c:v>6.4299999999999996E-2</c:v>
                </c:pt>
                <c:pt idx="7">
                  <c:v>7.0000000000000007E-2</c:v>
                </c:pt>
                <c:pt idx="8">
                  <c:v>0.1845</c:v>
                </c:pt>
                <c:pt idx="9">
                  <c:v>9.3100000000000002E-2</c:v>
                </c:pt>
                <c:pt idx="10">
                  <c:v>9.1399999999999995E-2</c:v>
                </c:pt>
                <c:pt idx="11">
                  <c:v>6.1899999999999997E-2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BF0-E74D-933D-C2351B190EA7}"/>
            </c:ext>
          </c:extLst>
        </c:ser>
        <c:ser>
          <c:idx val="1"/>
          <c:order val="1"/>
          <c:tx>
            <c:strRef>
              <c:f>demographics!$A$3</c:f>
              <c:strCache>
                <c:ptCount val="1"/>
                <c:pt idx="0">
                  <c:v>Astronauts</c:v>
                </c:pt>
              </c:strCache>
            </c:strRef>
          </c:tx>
          <c:spPr>
            <a:solidFill>
              <a:srgbClr val="666666"/>
            </a:solidFill>
            <a:ln cmpd="sng">
              <a:solidFill>
                <a:srgbClr val="000000"/>
              </a:solidFill>
            </a:ln>
          </c:spPr>
          <c:invertIfNegative val="1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>
                    <a:latin typeface="sans-serif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demographics!$B$1:$M$1</c:f>
              <c:strCache>
                <c:ptCount val="12"/>
                <c:pt idx="0">
                  <c:v>Male</c:v>
                </c:pt>
                <c:pt idx="1">
                  <c:v>Female</c:v>
                </c:pt>
                <c:pt idx="2">
                  <c:v>White</c:v>
                </c:pt>
                <c:pt idx="3">
                  <c:v>white male</c:v>
                </c:pt>
                <c:pt idx="4">
                  <c:v>white female</c:v>
                </c:pt>
                <c:pt idx="5">
                  <c:v>Black</c:v>
                </c:pt>
                <c:pt idx="6">
                  <c:v>black male</c:v>
                </c:pt>
                <c:pt idx="7">
                  <c:v>black female</c:v>
                </c:pt>
                <c:pt idx="8">
                  <c:v>Hispanic</c:v>
                </c:pt>
                <c:pt idx="9">
                  <c:v>hispanic male</c:v>
                </c:pt>
                <c:pt idx="10">
                  <c:v>hispanic female</c:v>
                </c:pt>
                <c:pt idx="11">
                  <c:v>Asian</c:v>
                </c:pt>
              </c:strCache>
            </c:strRef>
          </c:cat>
          <c:val>
            <c:numRef>
              <c:f>demographics!$B$3:$M$3</c:f>
              <c:numCache>
                <c:formatCode>0.00%</c:formatCode>
                <c:ptCount val="12"/>
                <c:pt idx="0">
                  <c:v>0.8305555555555556</c:v>
                </c:pt>
                <c:pt idx="1">
                  <c:v>0.16944444444444445</c:v>
                </c:pt>
                <c:pt idx="2">
                  <c:v>0.87777777777777777</c:v>
                </c:pt>
                <c:pt idx="3">
                  <c:v>0.73888888888888893</c:v>
                </c:pt>
                <c:pt idx="4">
                  <c:v>0.1388888888888889</c:v>
                </c:pt>
                <c:pt idx="5">
                  <c:v>5.2777777777777778E-2</c:v>
                </c:pt>
                <c:pt idx="6">
                  <c:v>3.6111111111111108E-2</c:v>
                </c:pt>
                <c:pt idx="7">
                  <c:v>1.6666666666666666E-2</c:v>
                </c:pt>
                <c:pt idx="8">
                  <c:v>3.888888888888889E-2</c:v>
                </c:pt>
                <c:pt idx="9">
                  <c:v>3.3333333333333333E-2</c:v>
                </c:pt>
                <c:pt idx="10">
                  <c:v>5.5555555555555558E-3</c:v>
                </c:pt>
                <c:pt idx="11">
                  <c:v>2.7777777777777776E-2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BF0-E74D-933D-C2351B190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8840799"/>
        <c:axId val="1659606310"/>
      </c:barChart>
      <c:catAx>
        <c:axId val="1758840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59606310"/>
        <c:crosses val="autoZero"/>
        <c:auto val="1"/>
        <c:lblAlgn val="ctr"/>
        <c:lblOffset val="100"/>
        <c:noMultiLvlLbl val="1"/>
      </c:catAx>
      <c:valAx>
        <c:axId val="16596063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5884079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Male, Female, White, Black, Hispanic…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education!$A$3</c:f>
              <c:strCache>
                <c:ptCount val="1"/>
                <c:pt idx="0">
                  <c:v>Bachelor's</c:v>
                </c:pt>
              </c:strCache>
            </c:strRef>
          </c:tx>
          <c:spPr>
            <a:solidFill>
              <a:srgbClr val="07376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education!$B$1:$G$1</c:f>
              <c:strCache>
                <c:ptCount val="6"/>
                <c:pt idx="0">
                  <c:v>Male</c:v>
                </c:pt>
                <c:pt idx="1">
                  <c:v>Female</c:v>
                </c:pt>
                <c:pt idx="2">
                  <c:v>White</c:v>
                </c:pt>
                <c:pt idx="3">
                  <c:v>Black</c:v>
                </c:pt>
                <c:pt idx="4">
                  <c:v>Hispanic</c:v>
                </c:pt>
                <c:pt idx="5">
                  <c:v>Asian</c:v>
                </c:pt>
              </c:strCache>
            </c:strRef>
          </c:cat>
          <c:val>
            <c:numRef>
              <c:f>education!$B$3:$G$3</c:f>
              <c:numCache>
                <c:formatCode>0.00%</c:formatCode>
                <c:ptCount val="6"/>
                <c:pt idx="0">
                  <c:v>0.1806020066889632</c:v>
                </c:pt>
                <c:pt idx="1">
                  <c:v>3.2786885245901641E-2</c:v>
                </c:pt>
                <c:pt idx="2">
                  <c:v>0.17405063291139242</c:v>
                </c:pt>
                <c:pt idx="3">
                  <c:v>5.2631578947368418E-2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009-4246-8746-D2F64E691040}"/>
            </c:ext>
          </c:extLst>
        </c:ser>
        <c:ser>
          <c:idx val="1"/>
          <c:order val="1"/>
          <c:tx>
            <c:strRef>
              <c:f>education!$A$4</c:f>
              <c:strCache>
                <c:ptCount val="1"/>
                <c:pt idx="0">
                  <c:v>Master's</c:v>
                </c:pt>
              </c:strCache>
            </c:strRef>
          </c:tx>
          <c:spPr>
            <a:solidFill>
              <a:srgbClr val="3D85C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education!$B$1:$G$1</c:f>
              <c:strCache>
                <c:ptCount val="6"/>
                <c:pt idx="0">
                  <c:v>Male</c:v>
                </c:pt>
                <c:pt idx="1">
                  <c:v>Female</c:v>
                </c:pt>
                <c:pt idx="2">
                  <c:v>White</c:v>
                </c:pt>
                <c:pt idx="3">
                  <c:v>Black</c:v>
                </c:pt>
                <c:pt idx="4">
                  <c:v>Hispanic</c:v>
                </c:pt>
                <c:pt idx="5">
                  <c:v>Asian</c:v>
                </c:pt>
              </c:strCache>
            </c:strRef>
          </c:cat>
          <c:val>
            <c:numRef>
              <c:f>education!$B$4:$G$4</c:f>
              <c:numCache>
                <c:formatCode>0.00%</c:formatCode>
                <c:ptCount val="6"/>
                <c:pt idx="0">
                  <c:v>0.54849498327759194</c:v>
                </c:pt>
                <c:pt idx="1">
                  <c:v>0.39344262295081966</c:v>
                </c:pt>
                <c:pt idx="2">
                  <c:v>0.52848101265822789</c:v>
                </c:pt>
                <c:pt idx="3">
                  <c:v>0.42105263157894735</c:v>
                </c:pt>
                <c:pt idx="4">
                  <c:v>0.5714285714285714</c:v>
                </c:pt>
                <c:pt idx="5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009-4246-8746-D2F64E691040}"/>
            </c:ext>
          </c:extLst>
        </c:ser>
        <c:ser>
          <c:idx val="2"/>
          <c:order val="2"/>
          <c:tx>
            <c:strRef>
              <c:f>education!$A$5</c:f>
              <c:strCache>
                <c:ptCount val="1"/>
                <c:pt idx="0">
                  <c:v>Doctorate</c:v>
                </c:pt>
              </c:strCache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education!$B$1:$G$1</c:f>
              <c:strCache>
                <c:ptCount val="6"/>
                <c:pt idx="0">
                  <c:v>Male</c:v>
                </c:pt>
                <c:pt idx="1">
                  <c:v>Female</c:v>
                </c:pt>
                <c:pt idx="2">
                  <c:v>White</c:v>
                </c:pt>
                <c:pt idx="3">
                  <c:v>Black</c:v>
                </c:pt>
                <c:pt idx="4">
                  <c:v>Hispanic</c:v>
                </c:pt>
                <c:pt idx="5">
                  <c:v>Asian</c:v>
                </c:pt>
              </c:strCache>
            </c:strRef>
          </c:cat>
          <c:val>
            <c:numRef>
              <c:f>education!$B$5:$G$5</c:f>
              <c:numCache>
                <c:formatCode>0.00%</c:formatCode>
                <c:ptCount val="6"/>
                <c:pt idx="0">
                  <c:v>0.2709030100334448</c:v>
                </c:pt>
                <c:pt idx="1">
                  <c:v>0.57377049180327866</c:v>
                </c:pt>
                <c:pt idx="2">
                  <c:v>0.29746835443037972</c:v>
                </c:pt>
                <c:pt idx="3">
                  <c:v>0.52631578947368418</c:v>
                </c:pt>
                <c:pt idx="4">
                  <c:v>0.42857142857142855</c:v>
                </c:pt>
                <c:pt idx="5">
                  <c:v>0.6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9009-4246-8746-D2F64E691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3304627"/>
        <c:axId val="1456150078"/>
      </c:barChart>
      <c:catAx>
        <c:axId val="4233046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56150078"/>
        <c:crosses val="autoZero"/>
        <c:auto val="1"/>
        <c:lblAlgn val="ctr"/>
        <c:lblOffset val="100"/>
        <c:noMultiLvlLbl val="1"/>
      </c:catAx>
      <c:valAx>
        <c:axId val="14561500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2330462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NASA Astronauts: Highest Degree Attained at Selection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education!$A$11</c:f>
              <c:strCache>
                <c:ptCount val="1"/>
                <c:pt idx="0">
                  <c:v>Share of Total</c:v>
                </c:pt>
              </c:strCache>
            </c:strRef>
          </c:tx>
          <c:spPr>
            <a:solidFill>
              <a:srgbClr val="07376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education!$B$9:$I$9</c:f>
              <c:strCache>
                <c:ptCount val="8"/>
                <c:pt idx="0">
                  <c:v>White Men</c:v>
                </c:pt>
                <c:pt idx="1">
                  <c:v>White Women</c:v>
                </c:pt>
                <c:pt idx="2">
                  <c:v>Black Men</c:v>
                </c:pt>
                <c:pt idx="3">
                  <c:v>Black Women</c:v>
                </c:pt>
                <c:pt idx="4">
                  <c:v>Hispanic Men</c:v>
                </c:pt>
                <c:pt idx="5">
                  <c:v>Hispanic Women</c:v>
                </c:pt>
                <c:pt idx="6">
                  <c:v>Asian Men</c:v>
                </c:pt>
                <c:pt idx="7">
                  <c:v>Asian Women</c:v>
                </c:pt>
              </c:strCache>
            </c:strRef>
          </c:cat>
          <c:val>
            <c:numRef>
              <c:f>education!$B$11:$I$11</c:f>
              <c:numCache>
                <c:formatCode>0.00%</c:formatCode>
                <c:ptCount val="8"/>
                <c:pt idx="0">
                  <c:v>0.74094707520891367</c:v>
                </c:pt>
                <c:pt idx="1">
                  <c:v>0.1392757660167131</c:v>
                </c:pt>
                <c:pt idx="2">
                  <c:v>3.6211699164345405E-2</c:v>
                </c:pt>
                <c:pt idx="3">
                  <c:v>1.6713091922005572E-2</c:v>
                </c:pt>
                <c:pt idx="4">
                  <c:v>3.3426183844011144E-2</c:v>
                </c:pt>
                <c:pt idx="5">
                  <c:v>5.5710306406685237E-3</c:v>
                </c:pt>
                <c:pt idx="6">
                  <c:v>2.2284122562674095E-2</c:v>
                </c:pt>
                <c:pt idx="7">
                  <c:v>5.5710306406685237E-3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B16-0B4E-AA55-068C40BA8951}"/>
            </c:ext>
          </c:extLst>
        </c:ser>
        <c:ser>
          <c:idx val="1"/>
          <c:order val="1"/>
          <c:tx>
            <c:strRef>
              <c:f>education!$A$12</c:f>
              <c:strCache>
                <c:ptCount val="1"/>
                <c:pt idx="0">
                  <c:v>Bachelor's</c:v>
                </c:pt>
              </c:strCache>
            </c:strRef>
          </c:tx>
          <c:spPr>
            <a:solidFill>
              <a:srgbClr val="3D85C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education!$B$9:$I$9</c:f>
              <c:strCache>
                <c:ptCount val="8"/>
                <c:pt idx="0">
                  <c:v>White Men</c:v>
                </c:pt>
                <c:pt idx="1">
                  <c:v>White Women</c:v>
                </c:pt>
                <c:pt idx="2">
                  <c:v>Black Men</c:v>
                </c:pt>
                <c:pt idx="3">
                  <c:v>Black Women</c:v>
                </c:pt>
                <c:pt idx="4">
                  <c:v>Hispanic Men</c:v>
                </c:pt>
                <c:pt idx="5">
                  <c:v>Hispanic Women</c:v>
                </c:pt>
                <c:pt idx="6">
                  <c:v>Asian Men</c:v>
                </c:pt>
                <c:pt idx="7">
                  <c:v>Asian Women</c:v>
                </c:pt>
              </c:strCache>
            </c:strRef>
          </c:cat>
          <c:val>
            <c:numRef>
              <c:f>education!$B$12:$I$12</c:f>
              <c:numCache>
                <c:formatCode>0.00%</c:formatCode>
                <c:ptCount val="8"/>
                <c:pt idx="0">
                  <c:v>0.19924812030075187</c:v>
                </c:pt>
                <c:pt idx="1">
                  <c:v>0.04</c:v>
                </c:pt>
                <c:pt idx="2">
                  <c:v>7.6923076923076927E-2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B16-0B4E-AA55-068C40BA8951}"/>
            </c:ext>
          </c:extLst>
        </c:ser>
        <c:ser>
          <c:idx val="2"/>
          <c:order val="2"/>
          <c:tx>
            <c:strRef>
              <c:f>education!$A$13</c:f>
              <c:strCache>
                <c:ptCount val="1"/>
                <c:pt idx="0">
                  <c:v>Master's</c:v>
                </c:pt>
              </c:strCache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education!$B$9:$I$9</c:f>
              <c:strCache>
                <c:ptCount val="8"/>
                <c:pt idx="0">
                  <c:v>White Men</c:v>
                </c:pt>
                <c:pt idx="1">
                  <c:v>White Women</c:v>
                </c:pt>
                <c:pt idx="2">
                  <c:v>Black Men</c:v>
                </c:pt>
                <c:pt idx="3">
                  <c:v>Black Women</c:v>
                </c:pt>
                <c:pt idx="4">
                  <c:v>Hispanic Men</c:v>
                </c:pt>
                <c:pt idx="5">
                  <c:v>Hispanic Women</c:v>
                </c:pt>
                <c:pt idx="6">
                  <c:v>Asian Men</c:v>
                </c:pt>
                <c:pt idx="7">
                  <c:v>Asian Women</c:v>
                </c:pt>
              </c:strCache>
            </c:strRef>
          </c:cat>
          <c:val>
            <c:numRef>
              <c:f>education!$B$13:$I$13</c:f>
              <c:numCache>
                <c:formatCode>0.00%</c:formatCode>
                <c:ptCount val="8"/>
                <c:pt idx="0">
                  <c:v>0.55263157894736847</c:v>
                </c:pt>
                <c:pt idx="1">
                  <c:v>0.4</c:v>
                </c:pt>
                <c:pt idx="2">
                  <c:v>0.46153846153846156</c:v>
                </c:pt>
                <c:pt idx="3">
                  <c:v>0.33333333333333331</c:v>
                </c:pt>
                <c:pt idx="4">
                  <c:v>0.66666666666666663</c:v>
                </c:pt>
                <c:pt idx="5">
                  <c:v>0</c:v>
                </c:pt>
                <c:pt idx="6">
                  <c:v>0.375</c:v>
                </c:pt>
                <c:pt idx="7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CB16-0B4E-AA55-068C40BA8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2085526"/>
        <c:axId val="1425487234"/>
      </c:barChart>
      <c:catAx>
        <c:axId val="4520855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25487234"/>
        <c:crosses val="autoZero"/>
        <c:auto val="1"/>
        <c:lblAlgn val="ctr"/>
        <c:lblOffset val="100"/>
        <c:noMultiLvlLbl val="1"/>
      </c:catAx>
      <c:valAx>
        <c:axId val="14254872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5208552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809625</xdr:colOff>
      <xdr:row>3</xdr:row>
      <xdr:rowOff>171450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247650</xdr:colOff>
      <xdr:row>63</xdr:row>
      <xdr:rowOff>104775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200025</xdr:colOff>
      <xdr:row>86</xdr:row>
      <xdr:rowOff>28575</xdr:rowOff>
    </xdr:from>
    <xdr:ext cx="5715000" cy="35337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M1003"/>
  <sheetViews>
    <sheetView workbookViewId="0">
      <pane xSplit="1" ySplit="1" topLeftCell="B9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5" defaultRowHeight="15.75" customHeight="1"/>
  <cols>
    <col min="4" max="4" width="10" customWidth="1"/>
    <col min="5" max="5" width="12.83203125" customWidth="1"/>
    <col min="7" max="7" width="5.83203125" customWidth="1"/>
    <col min="8" max="8" width="6.83203125" customWidth="1"/>
  </cols>
  <sheetData>
    <row r="1" spans="1:33" ht="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4" t="s">
        <v>12</v>
      </c>
      <c r="N1" s="5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2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spans="1:33" ht="13">
      <c r="A2" s="1" t="s">
        <v>33</v>
      </c>
      <c r="B2" s="1" t="s">
        <v>34</v>
      </c>
      <c r="C2" s="1" t="s">
        <v>35</v>
      </c>
      <c r="D2" s="1"/>
      <c r="E2" s="6">
        <v>9253</v>
      </c>
      <c r="F2" s="1" t="s">
        <v>36</v>
      </c>
      <c r="G2" s="1">
        <v>1959</v>
      </c>
      <c r="H2" s="1">
        <v>1</v>
      </c>
      <c r="I2" s="7">
        <v>21649</v>
      </c>
      <c r="J2" s="7">
        <v>24694</v>
      </c>
      <c r="K2" s="8" t="s">
        <v>37</v>
      </c>
      <c r="L2" s="9" t="e">
        <f t="shared" ref="L2:L361" ca="1" si="0">_xludf.DAYS(J2,I2)/365</f>
        <v>#NAME?</v>
      </c>
      <c r="M2" s="9" t="e">
        <f t="shared" ref="M2:M361" ca="1" si="1">IF(AND(Y2="",OR(K2="A", K2="M")), _xludf.DAYS(J2,I2)/365, IF(AND(Y2="",OR(K2="D", K2="R", K2="RG", K2="I")),"N/A", _xludf.DAYS(Y2,I2)/365))</f>
        <v>#NAME?</v>
      </c>
      <c r="N2" s="10" t="e">
        <f t="shared" ref="N2:N361" ca="1" si="2">IF(AND(Y2="",OR(K2="A", K2="M", K2="I")), "N/A", IF(AND(Y2="",OR(K2="D", K2="R", K2="RG")),"N/A", _xludf.DAYS(J2,Z2)/365))</f>
        <v>#NAME?</v>
      </c>
      <c r="O2" s="1" t="s">
        <v>38</v>
      </c>
      <c r="P2" s="1"/>
      <c r="Q2" s="1" t="s">
        <v>39</v>
      </c>
      <c r="R2" s="1" t="s">
        <v>40</v>
      </c>
      <c r="S2" s="1" t="s">
        <v>41</v>
      </c>
      <c r="T2" s="1" t="s">
        <v>42</v>
      </c>
      <c r="V2" s="1" t="s">
        <v>43</v>
      </c>
      <c r="W2" s="1" t="s">
        <v>44</v>
      </c>
      <c r="X2" s="1">
        <v>1</v>
      </c>
      <c r="Y2" s="7">
        <v>22790</v>
      </c>
      <c r="Z2" s="7">
        <v>22790</v>
      </c>
      <c r="AA2" s="1">
        <v>4</v>
      </c>
      <c r="AB2" s="1">
        <v>0</v>
      </c>
      <c r="AC2" s="1">
        <v>0</v>
      </c>
      <c r="AD2" s="1" t="s">
        <v>45</v>
      </c>
      <c r="AE2" s="6">
        <v>41557</v>
      </c>
    </row>
    <row r="3" spans="1:33" ht="13">
      <c r="A3" s="1" t="s">
        <v>46</v>
      </c>
      <c r="B3" s="1" t="s">
        <v>34</v>
      </c>
      <c r="C3" s="1" t="s">
        <v>35</v>
      </c>
      <c r="D3" s="1"/>
      <c r="E3" s="6">
        <v>9927</v>
      </c>
      <c r="F3" s="1" t="s">
        <v>36</v>
      </c>
      <c r="G3" s="1">
        <v>1959</v>
      </c>
      <c r="H3" s="1">
        <v>1</v>
      </c>
      <c r="I3" s="7">
        <v>21649</v>
      </c>
      <c r="J3" s="7">
        <v>25780</v>
      </c>
      <c r="K3" s="8" t="s">
        <v>37</v>
      </c>
      <c r="L3" s="9" t="e">
        <f t="shared" ca="1" si="0"/>
        <v>#NAME?</v>
      </c>
      <c r="M3" s="9" t="e">
        <f t="shared" ca="1" si="1"/>
        <v>#NAME?</v>
      </c>
      <c r="N3" s="10" t="e">
        <f t="shared" ca="1" si="2"/>
        <v>#NAME?</v>
      </c>
      <c r="O3" s="1" t="s">
        <v>38</v>
      </c>
      <c r="P3" s="1"/>
      <c r="Q3" s="1" t="s">
        <v>39</v>
      </c>
      <c r="R3" s="1" t="s">
        <v>47</v>
      </c>
      <c r="S3" s="1" t="s">
        <v>48</v>
      </c>
      <c r="T3" s="1" t="s">
        <v>42</v>
      </c>
      <c r="V3" s="1" t="s">
        <v>49</v>
      </c>
      <c r="W3" s="1" t="s">
        <v>50</v>
      </c>
      <c r="X3" s="1">
        <v>2</v>
      </c>
      <c r="Y3" s="7">
        <v>23146</v>
      </c>
      <c r="Z3" s="7">
        <v>23975</v>
      </c>
      <c r="AA3" s="1">
        <v>225</v>
      </c>
      <c r="AB3" s="1">
        <v>0</v>
      </c>
      <c r="AC3" s="1">
        <v>0</v>
      </c>
      <c r="AD3" s="1" t="s">
        <v>51</v>
      </c>
      <c r="AE3" s="6">
        <v>38264</v>
      </c>
    </row>
    <row r="4" spans="1:33" ht="13">
      <c r="A4" s="1" t="s">
        <v>52</v>
      </c>
      <c r="B4" s="1" t="s">
        <v>34</v>
      </c>
      <c r="C4" s="1" t="s">
        <v>35</v>
      </c>
      <c r="D4" s="1"/>
      <c r="E4" s="6">
        <v>7870</v>
      </c>
      <c r="F4" s="1" t="s">
        <v>36</v>
      </c>
      <c r="G4" s="1">
        <v>1959</v>
      </c>
      <c r="H4" s="1">
        <v>1</v>
      </c>
      <c r="I4" s="7">
        <v>21649</v>
      </c>
      <c r="J4" s="7">
        <v>23392</v>
      </c>
      <c r="K4" s="8" t="s">
        <v>37</v>
      </c>
      <c r="L4" s="9" t="e">
        <f t="shared" ca="1" si="0"/>
        <v>#NAME?</v>
      </c>
      <c r="M4" s="9" t="e">
        <f t="shared" ca="1" si="1"/>
        <v>#NAME?</v>
      </c>
      <c r="N4" s="10" t="e">
        <f t="shared" ca="1" si="2"/>
        <v>#NAME?</v>
      </c>
      <c r="O4" s="1" t="s">
        <v>38</v>
      </c>
      <c r="P4" s="1"/>
      <c r="Q4" s="1" t="s">
        <v>39</v>
      </c>
      <c r="R4" s="1" t="s">
        <v>53</v>
      </c>
      <c r="S4" s="1" t="s">
        <v>54</v>
      </c>
      <c r="T4" s="1" t="s">
        <v>55</v>
      </c>
      <c r="V4" s="1" t="s">
        <v>49</v>
      </c>
      <c r="W4" s="1" t="s">
        <v>56</v>
      </c>
      <c r="X4" s="1">
        <v>2</v>
      </c>
      <c r="Y4" s="7">
        <v>22697</v>
      </c>
      <c r="Z4" s="7">
        <v>22697</v>
      </c>
      <c r="AA4" s="1">
        <v>218</v>
      </c>
      <c r="AB4" s="1">
        <v>0</v>
      </c>
      <c r="AC4" s="1">
        <v>0</v>
      </c>
      <c r="AD4" s="1" t="s">
        <v>57</v>
      </c>
      <c r="AE4" s="11">
        <v>42712</v>
      </c>
    </row>
    <row r="5" spans="1:33" ht="13">
      <c r="A5" s="1" t="s">
        <v>58</v>
      </c>
      <c r="B5" s="1" t="s">
        <v>34</v>
      </c>
      <c r="C5" s="1" t="s">
        <v>35</v>
      </c>
      <c r="D5" s="1"/>
      <c r="E5" s="6">
        <v>9590</v>
      </c>
      <c r="F5" s="1" t="s">
        <v>36</v>
      </c>
      <c r="G5" s="1">
        <v>1959</v>
      </c>
      <c r="H5" s="1">
        <v>1</v>
      </c>
      <c r="I5" s="7">
        <v>21649</v>
      </c>
      <c r="J5" s="12">
        <v>24499</v>
      </c>
      <c r="K5" s="3" t="s">
        <v>59</v>
      </c>
      <c r="L5" s="9" t="e">
        <f t="shared" ca="1" si="0"/>
        <v>#NAME?</v>
      </c>
      <c r="M5" s="9" t="e">
        <f t="shared" ca="1" si="1"/>
        <v>#NAME?</v>
      </c>
      <c r="N5" s="10" t="e">
        <f t="shared" ca="1" si="2"/>
        <v>#NAME?</v>
      </c>
      <c r="O5" s="1" t="s">
        <v>38</v>
      </c>
      <c r="P5" s="1"/>
      <c r="Q5" s="1" t="s">
        <v>39</v>
      </c>
      <c r="R5" s="1" t="s">
        <v>60</v>
      </c>
      <c r="S5" s="1" t="s">
        <v>61</v>
      </c>
      <c r="T5" s="1" t="s">
        <v>62</v>
      </c>
      <c r="V5" s="1" t="s">
        <v>63</v>
      </c>
      <c r="W5" s="1" t="s">
        <v>64</v>
      </c>
      <c r="X5" s="1">
        <v>2</v>
      </c>
      <c r="Y5" s="7">
        <v>22483</v>
      </c>
      <c r="Z5" s="7">
        <v>23824</v>
      </c>
      <c r="AA5" s="1">
        <v>5</v>
      </c>
      <c r="AB5" s="1">
        <v>0</v>
      </c>
      <c r="AC5" s="1">
        <v>0</v>
      </c>
      <c r="AD5" s="1" t="s">
        <v>65</v>
      </c>
      <c r="AE5" s="6">
        <v>24499</v>
      </c>
      <c r="AF5" s="1" t="s">
        <v>66</v>
      </c>
    </row>
    <row r="6" spans="1:33" ht="13">
      <c r="A6" s="1" t="s">
        <v>67</v>
      </c>
      <c r="B6" s="1" t="s">
        <v>34</v>
      </c>
      <c r="C6" s="1" t="s">
        <v>35</v>
      </c>
      <c r="D6" s="1"/>
      <c r="E6" s="6">
        <v>8472</v>
      </c>
      <c r="F6" s="1" t="s">
        <v>36</v>
      </c>
      <c r="G6" s="1">
        <v>1959</v>
      </c>
      <c r="H6" s="1">
        <v>1</v>
      </c>
      <c r="I6" s="7">
        <v>21649</v>
      </c>
      <c r="J6" s="7">
        <v>25385</v>
      </c>
      <c r="K6" s="8" t="s">
        <v>37</v>
      </c>
      <c r="L6" s="9" t="e">
        <f t="shared" ca="1" si="0"/>
        <v>#NAME?</v>
      </c>
      <c r="M6" s="9" t="e">
        <f t="shared" ca="1" si="1"/>
        <v>#NAME?</v>
      </c>
      <c r="N6" s="10" t="e">
        <f t="shared" ca="1" si="2"/>
        <v>#NAME?</v>
      </c>
      <c r="O6" s="1" t="s">
        <v>38</v>
      </c>
      <c r="P6" s="1"/>
      <c r="Q6" s="1" t="s">
        <v>39</v>
      </c>
      <c r="R6" s="1" t="s">
        <v>68</v>
      </c>
      <c r="S6" s="1" t="s">
        <v>69</v>
      </c>
      <c r="T6" s="1" t="s">
        <v>70</v>
      </c>
      <c r="V6" s="1" t="s">
        <v>71</v>
      </c>
      <c r="W6" s="1" t="s">
        <v>44</v>
      </c>
      <c r="X6" s="1">
        <v>3</v>
      </c>
      <c r="Y6" s="7">
        <v>22922</v>
      </c>
      <c r="Z6" s="7">
        <v>25122</v>
      </c>
      <c r="AA6" s="1">
        <v>295</v>
      </c>
      <c r="AB6" s="1">
        <v>0</v>
      </c>
      <c r="AC6" s="1">
        <v>0</v>
      </c>
      <c r="AD6" s="1" t="s">
        <v>72</v>
      </c>
      <c r="AE6" s="6">
        <v>39204</v>
      </c>
    </row>
    <row r="7" spans="1:33" ht="13">
      <c r="A7" s="1" t="s">
        <v>73</v>
      </c>
      <c r="B7" s="1" t="s">
        <v>34</v>
      </c>
      <c r="C7" s="1" t="s">
        <v>35</v>
      </c>
      <c r="D7" s="1"/>
      <c r="E7" s="6">
        <v>8723</v>
      </c>
      <c r="F7" s="1" t="s">
        <v>36</v>
      </c>
      <c r="G7" s="1">
        <v>1959</v>
      </c>
      <c r="H7" s="1">
        <v>1</v>
      </c>
      <c r="I7" s="7">
        <v>21649</v>
      </c>
      <c r="J7" s="7">
        <v>27242</v>
      </c>
      <c r="K7" s="8" t="s">
        <v>37</v>
      </c>
      <c r="L7" s="9" t="e">
        <f t="shared" ca="1" si="0"/>
        <v>#NAME?</v>
      </c>
      <c r="M7" s="9" t="e">
        <f t="shared" ca="1" si="1"/>
        <v>#NAME?</v>
      </c>
      <c r="N7" s="10" t="e">
        <f t="shared" ca="1" si="2"/>
        <v>#NAME?</v>
      </c>
      <c r="O7" s="1" t="s">
        <v>38</v>
      </c>
      <c r="P7" s="1"/>
      <c r="Q7" s="1" t="s">
        <v>39</v>
      </c>
      <c r="R7" s="1" t="s">
        <v>74</v>
      </c>
      <c r="S7" s="1" t="s">
        <v>69</v>
      </c>
      <c r="T7" s="1" t="s">
        <v>70</v>
      </c>
      <c r="V7" s="1" t="s">
        <v>75</v>
      </c>
      <c r="W7" s="1" t="s">
        <v>44</v>
      </c>
      <c r="X7" s="1">
        <v>2</v>
      </c>
      <c r="Y7" s="7">
        <v>22406</v>
      </c>
      <c r="Z7" s="7">
        <v>25964</v>
      </c>
      <c r="AA7" s="1">
        <v>216</v>
      </c>
      <c r="AB7" s="1">
        <v>2</v>
      </c>
      <c r="AC7" s="1">
        <v>9</v>
      </c>
      <c r="AD7" s="1" t="s">
        <v>76</v>
      </c>
      <c r="AE7" s="6">
        <v>35997</v>
      </c>
    </row>
    <row r="8" spans="1:33" ht="13">
      <c r="A8" s="1" t="s">
        <v>77</v>
      </c>
      <c r="B8" s="1" t="s">
        <v>34</v>
      </c>
      <c r="C8" s="1" t="s">
        <v>35</v>
      </c>
      <c r="D8" s="1"/>
      <c r="E8" s="6">
        <v>8827</v>
      </c>
      <c r="F8" s="1" t="s">
        <v>36</v>
      </c>
      <c r="G8" s="1">
        <v>1959</v>
      </c>
      <c r="H8" s="1">
        <v>1</v>
      </c>
      <c r="I8" s="7">
        <v>21649</v>
      </c>
      <c r="J8" s="7">
        <v>30009</v>
      </c>
      <c r="K8" s="8" t="s">
        <v>37</v>
      </c>
      <c r="L8" s="9" t="e">
        <f t="shared" ca="1" si="0"/>
        <v>#NAME?</v>
      </c>
      <c r="M8" s="9" t="e">
        <f t="shared" ca="1" si="1"/>
        <v>#NAME?</v>
      </c>
      <c r="N8" s="10" t="e">
        <f t="shared" ca="1" si="2"/>
        <v>#NAME?</v>
      </c>
      <c r="O8" s="1" t="s">
        <v>38</v>
      </c>
      <c r="P8" s="1"/>
      <c r="Q8" s="1" t="s">
        <v>39</v>
      </c>
      <c r="R8" s="1" t="s">
        <v>78</v>
      </c>
      <c r="S8" s="1" t="s">
        <v>79</v>
      </c>
      <c r="T8" s="1" t="s">
        <v>42</v>
      </c>
      <c r="V8" s="1" t="s">
        <v>80</v>
      </c>
      <c r="W8" s="1" t="s">
        <v>81</v>
      </c>
      <c r="X8" s="1">
        <v>1</v>
      </c>
      <c r="Y8" s="7">
        <v>27590</v>
      </c>
      <c r="Z8" s="7">
        <v>27590</v>
      </c>
      <c r="AA8" s="1">
        <v>217</v>
      </c>
      <c r="AB8" s="1">
        <v>0</v>
      </c>
      <c r="AC8" s="1">
        <v>0</v>
      </c>
      <c r="AD8" s="1" t="s">
        <v>82</v>
      </c>
      <c r="AE8" s="6">
        <v>34133</v>
      </c>
    </row>
    <row r="9" spans="1:33" ht="13">
      <c r="A9" s="1" t="s">
        <v>83</v>
      </c>
      <c r="B9" s="1" t="s">
        <v>34</v>
      </c>
      <c r="C9" s="1" t="s">
        <v>35</v>
      </c>
      <c r="D9" s="1"/>
      <c r="E9" s="6">
        <v>11175</v>
      </c>
      <c r="F9" s="1" t="s">
        <v>84</v>
      </c>
      <c r="G9" s="1">
        <v>1962</v>
      </c>
      <c r="H9" s="1">
        <v>2</v>
      </c>
      <c r="I9" s="7">
        <v>22906</v>
      </c>
      <c r="J9" s="7">
        <v>26170</v>
      </c>
      <c r="K9" s="8" t="s">
        <v>37</v>
      </c>
      <c r="L9" s="9" t="e">
        <f t="shared" ca="1" si="0"/>
        <v>#NAME?</v>
      </c>
      <c r="M9" s="9" t="e">
        <f t="shared" ca="1" si="1"/>
        <v>#NAME?</v>
      </c>
      <c r="N9" s="10" t="e">
        <f t="shared" ca="1" si="2"/>
        <v>#NAME?</v>
      </c>
      <c r="O9" s="1" t="s">
        <v>38</v>
      </c>
      <c r="P9" s="1"/>
      <c r="Q9" s="1" t="s">
        <v>39</v>
      </c>
      <c r="R9" s="1" t="s">
        <v>85</v>
      </c>
      <c r="S9" s="1" t="s">
        <v>86</v>
      </c>
      <c r="T9" s="1" t="s">
        <v>42</v>
      </c>
      <c r="U9" s="1" t="s">
        <v>87</v>
      </c>
      <c r="X9" s="1">
        <v>2</v>
      </c>
      <c r="Y9" s="7">
        <v>24182</v>
      </c>
      <c r="Z9" s="7">
        <v>25400</v>
      </c>
      <c r="AA9" s="1">
        <v>205</v>
      </c>
      <c r="AB9" s="1">
        <v>1</v>
      </c>
      <c r="AC9" s="1">
        <v>2</v>
      </c>
      <c r="AD9" s="1" t="s">
        <v>88</v>
      </c>
      <c r="AE9" s="6">
        <v>41146</v>
      </c>
    </row>
    <row r="10" spans="1:33" ht="13">
      <c r="A10" s="1" t="s">
        <v>89</v>
      </c>
      <c r="B10" s="1" t="s">
        <v>34</v>
      </c>
      <c r="C10" s="1" t="s">
        <v>35</v>
      </c>
      <c r="D10" s="1"/>
      <c r="E10" s="6">
        <v>10301</v>
      </c>
      <c r="F10" s="1" t="s">
        <v>84</v>
      </c>
      <c r="G10" s="1">
        <v>1962</v>
      </c>
      <c r="H10" s="1">
        <v>2</v>
      </c>
      <c r="I10" s="7">
        <v>22906</v>
      </c>
      <c r="J10" s="7">
        <v>25750</v>
      </c>
      <c r="K10" s="8" t="s">
        <v>37</v>
      </c>
      <c r="L10" s="9" t="e">
        <f t="shared" ca="1" si="0"/>
        <v>#NAME?</v>
      </c>
      <c r="M10" s="9" t="e">
        <f t="shared" ca="1" si="1"/>
        <v>#NAME?</v>
      </c>
      <c r="N10" s="10" t="e">
        <f t="shared" ca="1" si="2"/>
        <v>#NAME?</v>
      </c>
      <c r="O10" s="1" t="s">
        <v>38</v>
      </c>
      <c r="P10" s="1"/>
      <c r="Q10" s="1" t="s">
        <v>90</v>
      </c>
      <c r="R10" s="1" t="s">
        <v>91</v>
      </c>
      <c r="S10" s="1" t="s">
        <v>92</v>
      </c>
      <c r="U10" s="1" t="s">
        <v>42</v>
      </c>
      <c r="V10" s="1" t="s">
        <v>49</v>
      </c>
      <c r="W10" s="1" t="s">
        <v>50</v>
      </c>
      <c r="X10" s="1">
        <v>2</v>
      </c>
      <c r="Y10" s="7">
        <v>24080</v>
      </c>
      <c r="Z10" s="7">
        <v>25193</v>
      </c>
      <c r="AA10" s="1">
        <v>477</v>
      </c>
      <c r="AB10" s="1">
        <v>0</v>
      </c>
      <c r="AC10" s="1">
        <v>0</v>
      </c>
      <c r="AD10" s="1" t="s">
        <v>93</v>
      </c>
    </row>
    <row r="11" spans="1:33" ht="13">
      <c r="A11" s="1" t="s">
        <v>94</v>
      </c>
      <c r="B11" s="1" t="s">
        <v>34</v>
      </c>
      <c r="C11" s="1" t="s">
        <v>35</v>
      </c>
      <c r="D11" s="1"/>
      <c r="E11" s="6">
        <v>11080</v>
      </c>
      <c r="F11" s="1" t="s">
        <v>36</v>
      </c>
      <c r="G11" s="1">
        <v>1962</v>
      </c>
      <c r="H11" s="1">
        <v>2</v>
      </c>
      <c r="I11" s="7">
        <v>22906</v>
      </c>
      <c r="J11" s="7">
        <v>27013</v>
      </c>
      <c r="K11" s="8" t="s">
        <v>37</v>
      </c>
      <c r="L11" s="9" t="e">
        <f t="shared" ca="1" si="0"/>
        <v>#NAME?</v>
      </c>
      <c r="M11" s="9" t="e">
        <f t="shared" ca="1" si="1"/>
        <v>#NAME?</v>
      </c>
      <c r="N11" s="10" t="e">
        <f t="shared" ca="1" si="2"/>
        <v>#NAME?</v>
      </c>
      <c r="O11" s="1" t="s">
        <v>38</v>
      </c>
      <c r="P11" s="1"/>
      <c r="Q11" s="1" t="s">
        <v>39</v>
      </c>
      <c r="R11" s="1" t="s">
        <v>95</v>
      </c>
      <c r="S11" s="1" t="s">
        <v>96</v>
      </c>
      <c r="T11" s="1" t="s">
        <v>42</v>
      </c>
      <c r="V11" s="1" t="s">
        <v>71</v>
      </c>
      <c r="W11" s="1" t="s">
        <v>44</v>
      </c>
      <c r="X11" s="1">
        <v>4</v>
      </c>
      <c r="Y11" s="7">
        <v>23975</v>
      </c>
      <c r="Z11" s="7">
        <v>26809</v>
      </c>
      <c r="AA11" s="1">
        <v>1179</v>
      </c>
      <c r="AB11" s="1">
        <v>4</v>
      </c>
      <c r="AC11" s="1">
        <v>12</v>
      </c>
      <c r="AD11" s="1" t="s">
        <v>97</v>
      </c>
      <c r="AE11" s="6">
        <v>36349</v>
      </c>
    </row>
    <row r="12" spans="1:33" ht="13">
      <c r="A12" s="1" t="s">
        <v>98</v>
      </c>
      <c r="B12" s="1" t="s">
        <v>34</v>
      </c>
      <c r="C12" s="1" t="s">
        <v>35</v>
      </c>
      <c r="D12" s="1"/>
      <c r="E12" s="6">
        <v>10312</v>
      </c>
      <c r="F12" s="1" t="s">
        <v>36</v>
      </c>
      <c r="G12" s="1">
        <v>1962</v>
      </c>
      <c r="H12" s="1">
        <v>2</v>
      </c>
      <c r="I12" s="7">
        <v>22906</v>
      </c>
      <c r="J12" s="7">
        <v>26724</v>
      </c>
      <c r="K12" s="8" t="s">
        <v>37</v>
      </c>
      <c r="L12" s="9" t="e">
        <f t="shared" ca="1" si="0"/>
        <v>#NAME?</v>
      </c>
      <c r="M12" s="9" t="e">
        <f t="shared" ca="1" si="1"/>
        <v>#NAME?</v>
      </c>
      <c r="N12" s="10" t="e">
        <f t="shared" ca="1" si="2"/>
        <v>#NAME?</v>
      </c>
      <c r="O12" s="1" t="s">
        <v>38</v>
      </c>
      <c r="P12" s="1"/>
      <c r="Q12" s="1" t="s">
        <v>90</v>
      </c>
      <c r="R12" s="1" t="s">
        <v>99</v>
      </c>
      <c r="S12" s="1" t="s">
        <v>69</v>
      </c>
      <c r="V12" s="1" t="s">
        <v>71</v>
      </c>
      <c r="W12" s="1" t="s">
        <v>44</v>
      </c>
      <c r="X12" s="1">
        <v>4</v>
      </c>
      <c r="Y12" s="7">
        <v>24080</v>
      </c>
      <c r="Z12" s="7">
        <v>25669</v>
      </c>
      <c r="AA12" s="1">
        <v>715</v>
      </c>
      <c r="AB12" s="1">
        <v>0</v>
      </c>
      <c r="AC12" s="1">
        <v>0</v>
      </c>
      <c r="AD12" s="1" t="s">
        <v>100</v>
      </c>
    </row>
    <row r="13" spans="1:33" ht="13">
      <c r="A13" s="1" t="s">
        <v>101</v>
      </c>
      <c r="B13" s="1" t="s">
        <v>34</v>
      </c>
      <c r="C13" s="1" t="s">
        <v>35</v>
      </c>
      <c r="D13" s="1"/>
      <c r="E13" s="6">
        <v>10754</v>
      </c>
      <c r="F13" s="1" t="s">
        <v>36</v>
      </c>
      <c r="G13" s="1">
        <v>1962</v>
      </c>
      <c r="H13" s="1">
        <v>2</v>
      </c>
      <c r="I13" s="7">
        <v>22906</v>
      </c>
      <c r="J13" s="7">
        <v>26465</v>
      </c>
      <c r="K13" s="8" t="s">
        <v>37</v>
      </c>
      <c r="L13" s="9" t="e">
        <f t="shared" ca="1" si="0"/>
        <v>#NAME?</v>
      </c>
      <c r="M13" s="9" t="e">
        <f t="shared" ca="1" si="1"/>
        <v>#NAME?</v>
      </c>
      <c r="N13" s="10" t="e">
        <f t="shared" ca="1" si="2"/>
        <v>#NAME?</v>
      </c>
      <c r="O13" s="1" t="s">
        <v>38</v>
      </c>
      <c r="P13" s="1"/>
      <c r="Q13" s="1" t="s">
        <v>90</v>
      </c>
      <c r="R13" s="1" t="s">
        <v>102</v>
      </c>
      <c r="S13" s="1" t="s">
        <v>103</v>
      </c>
      <c r="T13" s="1" t="s">
        <v>104</v>
      </c>
      <c r="V13" s="1" t="s">
        <v>105</v>
      </c>
      <c r="W13" s="1" t="s">
        <v>50</v>
      </c>
      <c r="X13" s="1">
        <v>2</v>
      </c>
      <c r="Y13" s="7">
        <v>23896</v>
      </c>
      <c r="Z13" s="7">
        <v>25265</v>
      </c>
      <c r="AA13" s="1">
        <v>338</v>
      </c>
      <c r="AB13" s="1">
        <v>0</v>
      </c>
      <c r="AC13" s="1">
        <v>0</v>
      </c>
      <c r="AD13" s="1" t="s">
        <v>106</v>
      </c>
    </row>
    <row r="14" spans="1:33" ht="13">
      <c r="A14" s="1" t="s">
        <v>107</v>
      </c>
      <c r="B14" s="1" t="s">
        <v>34</v>
      </c>
      <c r="C14" s="1" t="s">
        <v>35</v>
      </c>
      <c r="D14" s="1"/>
      <c r="E14" s="6">
        <v>10066</v>
      </c>
      <c r="F14" s="1" t="s">
        <v>84</v>
      </c>
      <c r="G14" s="1">
        <v>1962</v>
      </c>
      <c r="H14" s="1">
        <v>2</v>
      </c>
      <c r="I14" s="7">
        <v>22906</v>
      </c>
      <c r="J14" s="12">
        <v>24166</v>
      </c>
      <c r="K14" s="13" t="s">
        <v>59</v>
      </c>
      <c r="L14" s="9" t="e">
        <f t="shared" ca="1" si="0"/>
        <v>#NAME?</v>
      </c>
      <c r="M14" s="9" t="str">
        <f t="shared" si="1"/>
        <v>N/A</v>
      </c>
      <c r="N14" s="10" t="str">
        <f t="shared" si="2"/>
        <v>N/A</v>
      </c>
      <c r="O14" s="1" t="s">
        <v>38</v>
      </c>
      <c r="P14" s="1"/>
      <c r="Q14" s="1" t="s">
        <v>39</v>
      </c>
      <c r="R14" s="1" t="s">
        <v>108</v>
      </c>
      <c r="S14" s="1" t="s">
        <v>109</v>
      </c>
      <c r="U14" s="1" t="s">
        <v>55</v>
      </c>
      <c r="X14" s="1">
        <v>0</v>
      </c>
      <c r="Y14" s="7"/>
      <c r="Z14" s="7"/>
      <c r="AA14" s="1">
        <v>0</v>
      </c>
      <c r="AB14" s="1">
        <v>0</v>
      </c>
      <c r="AC14" s="1">
        <v>0</v>
      </c>
      <c r="AE14" s="6">
        <v>24166</v>
      </c>
      <c r="AG14" s="1" t="s">
        <v>110</v>
      </c>
    </row>
    <row r="15" spans="1:33" ht="13">
      <c r="A15" s="1" t="s">
        <v>111</v>
      </c>
      <c r="B15" s="1" t="s">
        <v>34</v>
      </c>
      <c r="C15" s="1" t="s">
        <v>35</v>
      </c>
      <c r="D15" s="1"/>
      <c r="E15" s="6">
        <v>11218</v>
      </c>
      <c r="F15" s="1" t="s">
        <v>36</v>
      </c>
      <c r="G15" s="1">
        <v>1962</v>
      </c>
      <c r="H15" s="1">
        <v>2</v>
      </c>
      <c r="I15" s="7">
        <v>22906</v>
      </c>
      <c r="J15" s="7">
        <v>27699</v>
      </c>
      <c r="K15" s="8" t="s">
        <v>37</v>
      </c>
      <c r="L15" s="9" t="e">
        <f t="shared" ca="1" si="0"/>
        <v>#NAME?</v>
      </c>
      <c r="M15" s="9" t="e">
        <f t="shared" ca="1" si="1"/>
        <v>#NAME?</v>
      </c>
      <c r="N15" s="10" t="e">
        <f t="shared" ca="1" si="2"/>
        <v>#NAME?</v>
      </c>
      <c r="O15" s="1" t="s">
        <v>38</v>
      </c>
      <c r="P15" s="1"/>
      <c r="Q15" s="1" t="s">
        <v>90</v>
      </c>
      <c r="R15" s="1" t="s">
        <v>112</v>
      </c>
      <c r="S15" s="1" t="s">
        <v>69</v>
      </c>
      <c r="V15" s="1" t="s">
        <v>113</v>
      </c>
      <c r="W15" s="1" t="s">
        <v>50</v>
      </c>
      <c r="X15" s="1">
        <v>4</v>
      </c>
      <c r="Y15" s="7">
        <v>24080</v>
      </c>
      <c r="Z15" s="7">
        <v>27590</v>
      </c>
      <c r="AA15" s="1">
        <v>507</v>
      </c>
      <c r="AB15" s="1">
        <v>0</v>
      </c>
      <c r="AC15" s="1">
        <v>0</v>
      </c>
      <c r="AD15" s="1" t="s">
        <v>114</v>
      </c>
    </row>
    <row r="16" spans="1:33" ht="13">
      <c r="A16" s="1" t="s">
        <v>115</v>
      </c>
      <c r="B16" s="1" t="s">
        <v>34</v>
      </c>
      <c r="C16" s="1" t="s">
        <v>35</v>
      </c>
      <c r="D16" s="1"/>
      <c r="E16" s="6">
        <v>11276</v>
      </c>
      <c r="F16" s="1" t="s">
        <v>84</v>
      </c>
      <c r="G16" s="1">
        <v>1962</v>
      </c>
      <c r="H16" s="1">
        <v>2</v>
      </c>
      <c r="I16" s="7">
        <v>22906</v>
      </c>
      <c r="J16" s="12">
        <v>24499</v>
      </c>
      <c r="K16" s="13" t="s">
        <v>59</v>
      </c>
      <c r="L16" s="9" t="e">
        <f t="shared" ca="1" si="0"/>
        <v>#NAME?</v>
      </c>
      <c r="M16" s="9" t="e">
        <f t="shared" ca="1" si="1"/>
        <v>#NAME?</v>
      </c>
      <c r="N16" s="10" t="e">
        <f t="shared" ca="1" si="2"/>
        <v>#NAME?</v>
      </c>
      <c r="O16" s="1" t="s">
        <v>38</v>
      </c>
      <c r="P16" s="1"/>
      <c r="Q16" s="1" t="s">
        <v>39</v>
      </c>
      <c r="R16" s="1" t="s">
        <v>116</v>
      </c>
      <c r="S16" s="1" t="s">
        <v>117</v>
      </c>
      <c r="U16" s="1" t="s">
        <v>42</v>
      </c>
      <c r="V16" s="1" t="s">
        <v>63</v>
      </c>
      <c r="W16" s="1" t="s">
        <v>64</v>
      </c>
      <c r="X16" s="1">
        <v>2</v>
      </c>
      <c r="Y16" s="7">
        <v>23896</v>
      </c>
      <c r="Z16" s="7">
        <v>23896</v>
      </c>
      <c r="AA16" s="1">
        <v>97</v>
      </c>
      <c r="AB16" s="1">
        <v>1</v>
      </c>
      <c r="AC16" s="1">
        <v>0.5</v>
      </c>
      <c r="AD16" s="1" t="s">
        <v>118</v>
      </c>
      <c r="AE16" s="6">
        <v>24499</v>
      </c>
      <c r="AF16" s="1" t="s">
        <v>66</v>
      </c>
    </row>
    <row r="17" spans="1:33" ht="13">
      <c r="A17" s="1" t="s">
        <v>119</v>
      </c>
      <c r="B17" s="1" t="s">
        <v>34</v>
      </c>
      <c r="C17" s="1" t="s">
        <v>35</v>
      </c>
      <c r="D17" s="1"/>
      <c r="E17" s="6">
        <v>11225</v>
      </c>
      <c r="F17" s="1" t="s">
        <v>36</v>
      </c>
      <c r="G17" s="1">
        <v>1962</v>
      </c>
      <c r="H17" s="1">
        <v>2</v>
      </c>
      <c r="I17" s="7">
        <v>22906</v>
      </c>
      <c r="J17" s="7">
        <v>38352</v>
      </c>
      <c r="K17" s="8" t="s">
        <v>37</v>
      </c>
      <c r="L17" s="9" t="e">
        <f t="shared" ca="1" si="0"/>
        <v>#NAME?</v>
      </c>
      <c r="M17" s="9" t="e">
        <f t="shared" ca="1" si="1"/>
        <v>#NAME?</v>
      </c>
      <c r="N17" s="10" t="e">
        <f t="shared" ca="1" si="2"/>
        <v>#NAME?</v>
      </c>
      <c r="O17" s="1" t="s">
        <v>38</v>
      </c>
      <c r="P17" s="1"/>
      <c r="Q17" s="1" t="s">
        <v>39</v>
      </c>
      <c r="R17" s="1" t="s">
        <v>120</v>
      </c>
      <c r="S17" s="1" t="s">
        <v>121</v>
      </c>
      <c r="T17" s="1" t="s">
        <v>42</v>
      </c>
      <c r="V17" s="1" t="s">
        <v>71</v>
      </c>
      <c r="W17" s="1" t="s">
        <v>44</v>
      </c>
      <c r="X17" s="1">
        <v>6</v>
      </c>
      <c r="Y17" s="7">
        <v>23824</v>
      </c>
      <c r="Z17" s="7">
        <v>30648</v>
      </c>
      <c r="AA17" s="1">
        <v>835</v>
      </c>
      <c r="AB17" s="1">
        <v>3</v>
      </c>
      <c r="AC17" s="1">
        <v>20</v>
      </c>
      <c r="AD17" s="1" t="s">
        <v>122</v>
      </c>
      <c r="AE17" s="6">
        <v>43105</v>
      </c>
    </row>
    <row r="18" spans="1:33" ht="13">
      <c r="A18" s="1" t="s">
        <v>123</v>
      </c>
      <c r="B18" s="1" t="s">
        <v>34</v>
      </c>
      <c r="C18" s="1" t="s">
        <v>35</v>
      </c>
      <c r="D18" s="1"/>
      <c r="E18" s="6">
        <v>10978</v>
      </c>
      <c r="F18" s="1" t="s">
        <v>124</v>
      </c>
      <c r="G18" s="1">
        <v>1963</v>
      </c>
      <c r="H18" s="1">
        <v>3</v>
      </c>
      <c r="I18" s="7">
        <v>23301</v>
      </c>
      <c r="J18" s="7">
        <v>26115</v>
      </c>
      <c r="K18" s="8" t="s">
        <v>37</v>
      </c>
      <c r="L18" s="9" t="e">
        <f t="shared" ca="1" si="0"/>
        <v>#NAME?</v>
      </c>
      <c r="M18" s="9" t="e">
        <f t="shared" ca="1" si="1"/>
        <v>#NAME?</v>
      </c>
      <c r="N18" s="10" t="e">
        <f t="shared" ca="1" si="2"/>
        <v>#NAME?</v>
      </c>
      <c r="O18" s="1" t="s">
        <v>38</v>
      </c>
      <c r="P18" s="1"/>
      <c r="Q18" s="1" t="s">
        <v>90</v>
      </c>
      <c r="R18" s="1" t="s">
        <v>125</v>
      </c>
      <c r="S18" s="1" t="s">
        <v>126</v>
      </c>
      <c r="T18" s="1" t="s">
        <v>62</v>
      </c>
      <c r="U18" s="1" t="s">
        <v>127</v>
      </c>
      <c r="V18" s="1" t="s">
        <v>49</v>
      </c>
      <c r="W18" s="1" t="s">
        <v>50</v>
      </c>
      <c r="X18" s="1">
        <v>2</v>
      </c>
      <c r="Y18" s="7">
        <v>24422</v>
      </c>
      <c r="Z18" s="7">
        <v>25400</v>
      </c>
      <c r="AA18" s="1">
        <v>289</v>
      </c>
      <c r="AB18" s="1">
        <v>2</v>
      </c>
      <c r="AC18" s="1">
        <v>8</v>
      </c>
      <c r="AD18" s="1" t="s">
        <v>128</v>
      </c>
    </row>
    <row r="19" spans="1:33" ht="13">
      <c r="A19" s="1" t="s">
        <v>129</v>
      </c>
      <c r="B19" s="1" t="s">
        <v>34</v>
      </c>
      <c r="C19" s="1" t="s">
        <v>35</v>
      </c>
      <c r="D19" s="1"/>
      <c r="E19" s="6">
        <v>12344</v>
      </c>
      <c r="F19" s="1" t="s">
        <v>36</v>
      </c>
      <c r="G19" s="1">
        <v>1963</v>
      </c>
      <c r="H19" s="1">
        <v>3</v>
      </c>
      <c r="I19" s="7">
        <v>23301</v>
      </c>
      <c r="J19" s="7">
        <v>25447</v>
      </c>
      <c r="K19" s="8" t="s">
        <v>37</v>
      </c>
      <c r="L19" s="9" t="e">
        <f t="shared" ca="1" si="0"/>
        <v>#NAME?</v>
      </c>
      <c r="M19" s="9" t="e">
        <f t="shared" ca="1" si="1"/>
        <v>#NAME?</v>
      </c>
      <c r="N19" s="10" t="e">
        <f t="shared" ca="1" si="2"/>
        <v>#NAME?</v>
      </c>
      <c r="O19" s="1" t="s">
        <v>38</v>
      </c>
      <c r="P19" s="1"/>
      <c r="Q19" s="1" t="s">
        <v>90</v>
      </c>
      <c r="R19" s="1" t="s">
        <v>130</v>
      </c>
      <c r="S19" s="1" t="s">
        <v>131</v>
      </c>
      <c r="T19" s="1" t="s">
        <v>132</v>
      </c>
      <c r="U19" s="1" t="s">
        <v>132</v>
      </c>
      <c r="V19" s="1" t="s">
        <v>133</v>
      </c>
      <c r="W19" s="1" t="s">
        <v>134</v>
      </c>
      <c r="X19" s="1">
        <v>1</v>
      </c>
      <c r="Y19" s="7">
        <v>25193</v>
      </c>
      <c r="Z19" s="7">
        <v>25193</v>
      </c>
      <c r="AA19" s="1">
        <v>147</v>
      </c>
      <c r="AB19" s="1">
        <v>0</v>
      </c>
      <c r="AC19" s="1">
        <v>0</v>
      </c>
      <c r="AD19" s="1" t="s">
        <v>135</v>
      </c>
    </row>
    <row r="20" spans="1:33" ht="13">
      <c r="A20" s="1" t="s">
        <v>136</v>
      </c>
      <c r="B20" s="1" t="s">
        <v>34</v>
      </c>
      <c r="C20" s="1" t="s">
        <v>35</v>
      </c>
      <c r="D20" s="1"/>
      <c r="E20" s="6">
        <v>11687</v>
      </c>
      <c r="F20" s="1" t="s">
        <v>84</v>
      </c>
      <c r="G20" s="1">
        <v>1963</v>
      </c>
      <c r="H20" s="1">
        <v>3</v>
      </c>
      <c r="I20" s="7">
        <v>23301</v>
      </c>
      <c r="J20" s="12">
        <v>24166</v>
      </c>
      <c r="K20" s="13" t="s">
        <v>59</v>
      </c>
      <c r="L20" s="9" t="e">
        <f t="shared" ca="1" si="0"/>
        <v>#NAME?</v>
      </c>
      <c r="M20" s="9" t="str">
        <f t="shared" si="1"/>
        <v>N/A</v>
      </c>
      <c r="N20" s="10" t="str">
        <f t="shared" si="2"/>
        <v>N/A</v>
      </c>
      <c r="O20" s="1" t="s">
        <v>38</v>
      </c>
      <c r="P20" s="1"/>
      <c r="Q20" s="1" t="s">
        <v>39</v>
      </c>
      <c r="R20" s="1" t="s">
        <v>137</v>
      </c>
      <c r="S20" s="1" t="s">
        <v>138</v>
      </c>
      <c r="T20" s="1" t="s">
        <v>139</v>
      </c>
      <c r="V20" s="1" t="s">
        <v>71</v>
      </c>
      <c r="W20" s="1" t="s">
        <v>64</v>
      </c>
      <c r="X20" s="1">
        <v>0</v>
      </c>
      <c r="Y20" s="7"/>
      <c r="Z20" s="7"/>
      <c r="AA20" s="1">
        <v>0</v>
      </c>
      <c r="AB20" s="1">
        <v>0</v>
      </c>
      <c r="AC20" s="1">
        <v>0</v>
      </c>
      <c r="AE20" s="6">
        <v>24166</v>
      </c>
      <c r="AG20" s="1" t="s">
        <v>110</v>
      </c>
    </row>
    <row r="21" spans="1:33" ht="13">
      <c r="A21" s="1" t="s">
        <v>140</v>
      </c>
      <c r="B21" s="1" t="s">
        <v>34</v>
      </c>
      <c r="C21" s="1" t="s">
        <v>35</v>
      </c>
      <c r="D21" s="1"/>
      <c r="E21" s="6">
        <v>11763</v>
      </c>
      <c r="F21" s="1" t="s">
        <v>36</v>
      </c>
      <c r="G21" s="1">
        <v>1963</v>
      </c>
      <c r="H21" s="1">
        <v>3</v>
      </c>
      <c r="I21" s="7">
        <v>23301</v>
      </c>
      <c r="J21" s="7">
        <v>29752</v>
      </c>
      <c r="K21" s="8" t="s">
        <v>37</v>
      </c>
      <c r="L21" s="9" t="e">
        <f t="shared" ca="1" si="0"/>
        <v>#NAME?</v>
      </c>
      <c r="M21" s="9" t="e">
        <f t="shared" ca="1" si="1"/>
        <v>#NAME?</v>
      </c>
      <c r="N21" s="10" t="e">
        <f t="shared" ca="1" si="2"/>
        <v>#NAME?</v>
      </c>
      <c r="O21" s="1" t="s">
        <v>38</v>
      </c>
      <c r="P21" s="1"/>
      <c r="Q21" s="1" t="s">
        <v>90</v>
      </c>
      <c r="R21" s="1" t="s">
        <v>141</v>
      </c>
      <c r="S21" s="1" t="s">
        <v>142</v>
      </c>
      <c r="T21" s="1" t="s">
        <v>42</v>
      </c>
      <c r="V21" s="1" t="s">
        <v>71</v>
      </c>
      <c r="W21" s="1" t="s">
        <v>44</v>
      </c>
      <c r="X21" s="1">
        <v>2</v>
      </c>
      <c r="Y21" s="7">
        <v>25521</v>
      </c>
      <c r="Z21" s="7">
        <v>25521</v>
      </c>
      <c r="AA21" s="1">
        <v>1671</v>
      </c>
      <c r="AB21" s="1">
        <v>3</v>
      </c>
      <c r="AC21" s="1">
        <v>10</v>
      </c>
      <c r="AD21" s="1" t="s">
        <v>143</v>
      </c>
    </row>
    <row r="22" spans="1:33" ht="13">
      <c r="A22" s="1" t="s">
        <v>144</v>
      </c>
      <c r="B22" s="1" t="s">
        <v>34</v>
      </c>
      <c r="C22" s="1" t="s">
        <v>35</v>
      </c>
      <c r="D22" s="1"/>
      <c r="E22" s="6">
        <v>12492</v>
      </c>
      <c r="F22" s="1" t="s">
        <v>84</v>
      </c>
      <c r="G22" s="1">
        <v>1963</v>
      </c>
      <c r="H22" s="1">
        <v>3</v>
      </c>
      <c r="I22" s="7">
        <v>23301</v>
      </c>
      <c r="J22" s="7">
        <v>27942</v>
      </c>
      <c r="K22" s="8" t="s">
        <v>37</v>
      </c>
      <c r="L22" s="9" t="e">
        <f t="shared" ca="1" si="0"/>
        <v>#NAME?</v>
      </c>
      <c r="M22" s="9" t="e">
        <f t="shared" ca="1" si="1"/>
        <v>#NAME?</v>
      </c>
      <c r="N22" s="10" t="e">
        <f t="shared" ca="1" si="2"/>
        <v>#NAME?</v>
      </c>
      <c r="O22" s="1" t="s">
        <v>38</v>
      </c>
      <c r="P22" s="1"/>
      <c r="Q22" s="1" t="s">
        <v>90</v>
      </c>
      <c r="R22" s="1" t="s">
        <v>102</v>
      </c>
      <c r="S22" s="1" t="s">
        <v>145</v>
      </c>
      <c r="T22" s="1" t="s">
        <v>139</v>
      </c>
      <c r="U22" s="1" t="s">
        <v>42</v>
      </c>
      <c r="V22" s="1" t="s">
        <v>71</v>
      </c>
      <c r="W22" s="1" t="s">
        <v>44</v>
      </c>
      <c r="X22" s="1">
        <v>3</v>
      </c>
      <c r="Y22" s="7">
        <v>24261</v>
      </c>
      <c r="Z22" s="7">
        <v>26640</v>
      </c>
      <c r="AA22" s="1">
        <v>566</v>
      </c>
      <c r="AB22" s="1">
        <v>4</v>
      </c>
      <c r="AC22" s="1">
        <v>24</v>
      </c>
      <c r="AD22" s="1" t="s">
        <v>146</v>
      </c>
    </row>
    <row r="23" spans="1:33" ht="13">
      <c r="A23" s="1" t="s">
        <v>147</v>
      </c>
      <c r="B23" s="1" t="s">
        <v>34</v>
      </c>
      <c r="C23" s="1" t="s">
        <v>35</v>
      </c>
      <c r="D23" s="1"/>
      <c r="E23" s="6">
        <v>12830</v>
      </c>
      <c r="F23" s="1" t="s">
        <v>36</v>
      </c>
      <c r="G23" s="1">
        <v>1963</v>
      </c>
      <c r="H23" s="1">
        <v>3</v>
      </c>
      <c r="I23" s="7">
        <v>23301</v>
      </c>
      <c r="J23" s="12">
        <v>24499</v>
      </c>
      <c r="K23" s="13" t="s">
        <v>59</v>
      </c>
      <c r="L23" s="9" t="e">
        <f t="shared" ca="1" si="0"/>
        <v>#NAME?</v>
      </c>
      <c r="M23" s="9" t="str">
        <f t="shared" si="1"/>
        <v>N/A</v>
      </c>
      <c r="N23" s="10" t="str">
        <f t="shared" si="2"/>
        <v>N/A</v>
      </c>
      <c r="O23" s="1" t="s">
        <v>38</v>
      </c>
      <c r="P23" s="1"/>
      <c r="Q23" s="1" t="s">
        <v>39</v>
      </c>
      <c r="R23" s="1" t="s">
        <v>148</v>
      </c>
      <c r="S23" s="1" t="s">
        <v>61</v>
      </c>
      <c r="T23" s="1" t="s">
        <v>42</v>
      </c>
      <c r="V23" s="1" t="s">
        <v>149</v>
      </c>
      <c r="W23" s="1" t="s">
        <v>150</v>
      </c>
      <c r="X23" s="1">
        <v>0</v>
      </c>
      <c r="Y23" s="7"/>
      <c r="Z23" s="7"/>
      <c r="AA23" s="1">
        <v>0</v>
      </c>
      <c r="AB23" s="1">
        <v>0</v>
      </c>
      <c r="AC23" s="1">
        <v>0</v>
      </c>
      <c r="AD23" s="1" t="s">
        <v>66</v>
      </c>
      <c r="AE23" s="6">
        <v>24499</v>
      </c>
      <c r="AF23" s="1" t="s">
        <v>66</v>
      </c>
      <c r="AG23" s="1" t="s">
        <v>110</v>
      </c>
    </row>
    <row r="24" spans="1:33" ht="13">
      <c r="A24" s="1" t="s">
        <v>151</v>
      </c>
      <c r="B24" s="1" t="s">
        <v>34</v>
      </c>
      <c r="C24" s="1" t="s">
        <v>35</v>
      </c>
      <c r="D24" s="1"/>
      <c r="E24" s="6">
        <v>11262</v>
      </c>
      <c r="F24" s="1" t="s">
        <v>36</v>
      </c>
      <c r="G24" s="1">
        <v>1963</v>
      </c>
      <c r="H24" s="1">
        <v>3</v>
      </c>
      <c r="I24" s="7">
        <v>23301</v>
      </c>
      <c r="J24" s="7">
        <v>25583</v>
      </c>
      <c r="K24" s="8" t="s">
        <v>37</v>
      </c>
      <c r="L24" s="9" t="e">
        <f t="shared" ca="1" si="0"/>
        <v>#NAME?</v>
      </c>
      <c r="M24" s="9" t="e">
        <f t="shared" ca="1" si="1"/>
        <v>#NAME?</v>
      </c>
      <c r="N24" s="10" t="e">
        <f t="shared" ca="1" si="2"/>
        <v>#NAME?</v>
      </c>
      <c r="O24" s="1" t="s">
        <v>38</v>
      </c>
      <c r="P24" s="1"/>
      <c r="Q24" s="1" t="s">
        <v>90</v>
      </c>
      <c r="R24" s="1" t="s">
        <v>152</v>
      </c>
      <c r="S24" s="1" t="s">
        <v>153</v>
      </c>
      <c r="W24" s="1" t="s">
        <v>81</v>
      </c>
      <c r="X24" s="1">
        <v>2</v>
      </c>
      <c r="Y24" s="7">
        <v>24306</v>
      </c>
      <c r="Z24" s="7">
        <v>25400</v>
      </c>
      <c r="AA24" s="1">
        <v>266</v>
      </c>
      <c r="AB24" s="1">
        <v>1</v>
      </c>
      <c r="AC24" s="1">
        <v>1</v>
      </c>
      <c r="AD24" s="1" t="s">
        <v>154</v>
      </c>
    </row>
    <row r="25" spans="1:33" ht="13">
      <c r="A25" s="1" t="s">
        <v>155</v>
      </c>
      <c r="B25" s="1" t="s">
        <v>34</v>
      </c>
      <c r="C25" s="1" t="s">
        <v>35</v>
      </c>
      <c r="D25" s="1"/>
      <c r="E25" s="6">
        <v>11764</v>
      </c>
      <c r="F25" s="1" t="s">
        <v>84</v>
      </c>
      <c r="G25" s="1">
        <v>1963</v>
      </c>
      <c r="H25" s="1">
        <v>3</v>
      </c>
      <c r="I25" s="7">
        <v>23301</v>
      </c>
      <c r="J25" s="7">
        <v>26146</v>
      </c>
      <c r="K25" s="8" t="s">
        <v>37</v>
      </c>
      <c r="L25" s="9" t="e">
        <f t="shared" ca="1" si="0"/>
        <v>#NAME?</v>
      </c>
      <c r="M25" s="9" t="e">
        <f t="shared" ca="1" si="1"/>
        <v>#NAME?</v>
      </c>
      <c r="N25" s="10" t="e">
        <f t="shared" ca="1" si="2"/>
        <v>#NAME?</v>
      </c>
      <c r="O25" s="1" t="s">
        <v>38</v>
      </c>
      <c r="P25" s="1"/>
      <c r="Q25" s="1" t="s">
        <v>90</v>
      </c>
      <c r="R25" s="1" t="s">
        <v>156</v>
      </c>
      <c r="S25" s="1" t="s">
        <v>157</v>
      </c>
      <c r="T25" s="1" t="s">
        <v>158</v>
      </c>
      <c r="U25" s="1" t="s">
        <v>158</v>
      </c>
      <c r="V25" s="1" t="s">
        <v>49</v>
      </c>
      <c r="W25" s="1" t="s">
        <v>159</v>
      </c>
      <c r="X25" s="1">
        <v>1</v>
      </c>
      <c r="Y25" s="7">
        <v>25122</v>
      </c>
      <c r="Z25" s="7">
        <v>25122</v>
      </c>
      <c r="AA25" s="1">
        <v>260</v>
      </c>
      <c r="AB25" s="1">
        <v>0</v>
      </c>
      <c r="AC25" s="1">
        <v>0</v>
      </c>
      <c r="AD25" s="1" t="s">
        <v>160</v>
      </c>
    </row>
    <row r="26" spans="1:33" ht="13">
      <c r="A26" s="1" t="s">
        <v>161</v>
      </c>
      <c r="B26" s="1" t="s">
        <v>34</v>
      </c>
      <c r="C26" s="1" t="s">
        <v>35</v>
      </c>
      <c r="D26" s="1"/>
      <c r="E26" s="6">
        <v>11101</v>
      </c>
      <c r="F26" s="1" t="s">
        <v>84</v>
      </c>
      <c r="G26" s="1">
        <v>1963</v>
      </c>
      <c r="H26" s="1">
        <v>3</v>
      </c>
      <c r="I26" s="7">
        <v>23301</v>
      </c>
      <c r="J26" s="7">
        <v>26495</v>
      </c>
      <c r="K26" s="8" t="s">
        <v>37</v>
      </c>
      <c r="L26" s="9" t="e">
        <f t="shared" ca="1" si="0"/>
        <v>#NAME?</v>
      </c>
      <c r="M26" s="9" t="e">
        <f t="shared" ca="1" si="1"/>
        <v>#NAME?</v>
      </c>
      <c r="N26" s="10" t="e">
        <f t="shared" ca="1" si="2"/>
        <v>#NAME?</v>
      </c>
      <c r="O26" s="1" t="s">
        <v>38</v>
      </c>
      <c r="P26" s="1"/>
      <c r="Q26" s="1" t="s">
        <v>39</v>
      </c>
      <c r="R26" s="1" t="s">
        <v>162</v>
      </c>
      <c r="S26" s="1" t="s">
        <v>163</v>
      </c>
      <c r="T26" s="1" t="s">
        <v>127</v>
      </c>
      <c r="U26" s="1" t="s">
        <v>127</v>
      </c>
      <c r="V26" s="1" t="s">
        <v>49</v>
      </c>
      <c r="W26" s="1" t="s">
        <v>50</v>
      </c>
      <c r="X26" s="1">
        <v>1</v>
      </c>
      <c r="Y26" s="7">
        <v>25122</v>
      </c>
      <c r="Z26" s="7">
        <v>25122</v>
      </c>
      <c r="AA26" s="1">
        <v>260</v>
      </c>
      <c r="AB26" s="1">
        <v>0</v>
      </c>
      <c r="AC26" s="1">
        <v>0</v>
      </c>
      <c r="AD26" s="1" t="s">
        <v>160</v>
      </c>
      <c r="AE26" s="6">
        <v>32113</v>
      </c>
    </row>
    <row r="27" spans="1:33" ht="13">
      <c r="A27" s="1" t="s">
        <v>164</v>
      </c>
      <c r="B27" s="1" t="s">
        <v>34</v>
      </c>
      <c r="C27" s="1" t="s">
        <v>35</v>
      </c>
      <c r="D27" s="1"/>
      <c r="E27" s="6">
        <v>11007</v>
      </c>
      <c r="F27" s="1" t="s">
        <v>84</v>
      </c>
      <c r="G27" s="1">
        <v>1963</v>
      </c>
      <c r="H27" s="1">
        <v>3</v>
      </c>
      <c r="I27" s="7">
        <v>23301</v>
      </c>
      <c r="J27" s="12">
        <v>23681</v>
      </c>
      <c r="K27" s="13" t="s">
        <v>59</v>
      </c>
      <c r="L27" s="9" t="e">
        <f t="shared" ca="1" si="0"/>
        <v>#NAME?</v>
      </c>
      <c r="M27" s="9" t="str">
        <f t="shared" si="1"/>
        <v>N/A</v>
      </c>
      <c r="N27" s="10" t="str">
        <f t="shared" si="2"/>
        <v>N/A</v>
      </c>
      <c r="O27" s="1" t="s">
        <v>38</v>
      </c>
      <c r="P27" s="1"/>
      <c r="Q27" s="1" t="s">
        <v>39</v>
      </c>
      <c r="R27" s="1" t="s">
        <v>165</v>
      </c>
      <c r="S27" s="1" t="s">
        <v>166</v>
      </c>
      <c r="U27" s="1" t="s">
        <v>42</v>
      </c>
      <c r="V27" s="1" t="s">
        <v>71</v>
      </c>
      <c r="W27" s="1" t="s">
        <v>64</v>
      </c>
      <c r="X27" s="1">
        <v>0</v>
      </c>
      <c r="Y27" s="7"/>
      <c r="Z27" s="7"/>
      <c r="AA27" s="1">
        <v>0</v>
      </c>
      <c r="AB27" s="1">
        <v>0</v>
      </c>
      <c r="AC27" s="1">
        <v>0</v>
      </c>
      <c r="AE27" s="6">
        <v>23681</v>
      </c>
      <c r="AG27" s="1" t="s">
        <v>110</v>
      </c>
    </row>
    <row r="28" spans="1:33" ht="13">
      <c r="A28" s="1" t="s">
        <v>167</v>
      </c>
      <c r="B28" s="1" t="s">
        <v>34</v>
      </c>
      <c r="C28" s="1" t="s">
        <v>35</v>
      </c>
      <c r="D28" s="1"/>
      <c r="E28" s="6">
        <v>10871</v>
      </c>
      <c r="F28" s="1" t="s">
        <v>36</v>
      </c>
      <c r="G28" s="1">
        <v>1963</v>
      </c>
      <c r="H28" s="1">
        <v>3</v>
      </c>
      <c r="I28" s="7">
        <v>23301</v>
      </c>
      <c r="J28" s="7">
        <v>26299</v>
      </c>
      <c r="K28" s="8" t="s">
        <v>37</v>
      </c>
      <c r="L28" s="9" t="e">
        <f t="shared" ca="1" si="0"/>
        <v>#NAME?</v>
      </c>
      <c r="M28" s="9" t="e">
        <f t="shared" ca="1" si="1"/>
        <v>#NAME?</v>
      </c>
      <c r="N28" s="10" t="e">
        <f t="shared" ca="1" si="2"/>
        <v>#NAME?</v>
      </c>
      <c r="O28" s="1" t="s">
        <v>38</v>
      </c>
      <c r="P28" s="1"/>
      <c r="Q28" s="1" t="s">
        <v>90</v>
      </c>
      <c r="R28" s="1" t="s">
        <v>168</v>
      </c>
      <c r="S28" s="1" t="s">
        <v>169</v>
      </c>
      <c r="T28" s="1" t="s">
        <v>170</v>
      </c>
      <c r="V28" s="1" t="s">
        <v>71</v>
      </c>
      <c r="W28" s="1" t="s">
        <v>44</v>
      </c>
      <c r="X28" s="1">
        <v>2</v>
      </c>
      <c r="Y28" s="7">
        <v>25521</v>
      </c>
      <c r="Z28" s="7">
        <v>25521</v>
      </c>
      <c r="AA28" s="1">
        <v>315</v>
      </c>
      <c r="AB28" s="1">
        <v>1</v>
      </c>
      <c r="AC28" s="1">
        <v>0.5</v>
      </c>
      <c r="AD28" s="1" t="s">
        <v>171</v>
      </c>
    </row>
    <row r="29" spans="1:33" ht="13">
      <c r="A29" s="1" t="s">
        <v>172</v>
      </c>
      <c r="B29" s="1" t="s">
        <v>34</v>
      </c>
      <c r="C29" s="1" t="s">
        <v>35</v>
      </c>
      <c r="D29" s="1"/>
      <c r="E29" s="6">
        <v>13082</v>
      </c>
      <c r="F29" s="1" t="s">
        <v>84</v>
      </c>
      <c r="G29" s="1">
        <v>1963</v>
      </c>
      <c r="H29" s="1">
        <v>3</v>
      </c>
      <c r="I29" s="7">
        <v>23301</v>
      </c>
      <c r="J29" s="7">
        <v>29037</v>
      </c>
      <c r="K29" s="8" t="s">
        <v>37</v>
      </c>
      <c r="L29" s="9" t="e">
        <f t="shared" ca="1" si="0"/>
        <v>#NAME?</v>
      </c>
      <c r="M29" s="9" t="e">
        <f t="shared" ca="1" si="1"/>
        <v>#NAME?</v>
      </c>
      <c r="N29" s="10" t="e">
        <f t="shared" ca="1" si="2"/>
        <v>#NAME?</v>
      </c>
      <c r="O29" s="1" t="s">
        <v>38</v>
      </c>
      <c r="P29" s="1"/>
      <c r="Q29" s="1" t="s">
        <v>90</v>
      </c>
      <c r="R29" s="1" t="s">
        <v>173</v>
      </c>
      <c r="S29" s="1" t="s">
        <v>174</v>
      </c>
      <c r="T29" s="1" t="s">
        <v>175</v>
      </c>
      <c r="U29" s="1" t="s">
        <v>175</v>
      </c>
      <c r="X29" s="1">
        <v>1</v>
      </c>
      <c r="Y29" s="7">
        <v>25265</v>
      </c>
      <c r="Z29" s="7">
        <v>25265</v>
      </c>
      <c r="AA29" s="1">
        <v>241</v>
      </c>
      <c r="AB29" s="1">
        <v>1</v>
      </c>
      <c r="AC29" s="1">
        <v>1</v>
      </c>
      <c r="AD29" s="1" t="s">
        <v>176</v>
      </c>
    </row>
    <row r="30" spans="1:33" ht="13">
      <c r="A30" s="1" t="s">
        <v>177</v>
      </c>
      <c r="B30" s="1" t="s">
        <v>34</v>
      </c>
      <c r="C30" s="1" t="s">
        <v>35</v>
      </c>
      <c r="D30" s="1"/>
      <c r="E30" s="6">
        <v>11846</v>
      </c>
      <c r="F30" s="1" t="s">
        <v>84</v>
      </c>
      <c r="G30" s="1">
        <v>1963</v>
      </c>
      <c r="H30" s="1">
        <v>3</v>
      </c>
      <c r="I30" s="7">
        <v>23301</v>
      </c>
      <c r="J30" s="7">
        <v>28428</v>
      </c>
      <c r="K30" s="8" t="s">
        <v>37</v>
      </c>
      <c r="L30" s="9" t="e">
        <f t="shared" ca="1" si="0"/>
        <v>#NAME?</v>
      </c>
      <c r="M30" s="9" t="e">
        <f t="shared" ca="1" si="1"/>
        <v>#NAME?</v>
      </c>
      <c r="N30" s="10" t="e">
        <f t="shared" ca="1" si="2"/>
        <v>#NAME?</v>
      </c>
      <c r="O30" s="1" t="s">
        <v>38</v>
      </c>
      <c r="P30" s="1"/>
      <c r="Q30" s="1" t="s">
        <v>90</v>
      </c>
      <c r="R30" s="1" t="s">
        <v>116</v>
      </c>
      <c r="S30" s="1" t="s">
        <v>126</v>
      </c>
      <c r="U30" s="1" t="s">
        <v>175</v>
      </c>
      <c r="V30" s="1" t="s">
        <v>49</v>
      </c>
      <c r="W30" s="1" t="s">
        <v>50</v>
      </c>
      <c r="X30" s="1">
        <v>3</v>
      </c>
      <c r="Y30" s="7">
        <v>24182</v>
      </c>
      <c r="Z30" s="7">
        <v>26140</v>
      </c>
      <c r="AA30" s="1">
        <v>546</v>
      </c>
      <c r="AB30" s="1">
        <v>4</v>
      </c>
      <c r="AC30" s="1">
        <v>19</v>
      </c>
      <c r="AD30" s="1" t="s">
        <v>178</v>
      </c>
    </row>
    <row r="31" spans="1:33" ht="13">
      <c r="A31" s="1" t="s">
        <v>179</v>
      </c>
      <c r="B31" s="1" t="s">
        <v>34</v>
      </c>
      <c r="C31" s="1" t="s">
        <v>35</v>
      </c>
      <c r="D31" s="1"/>
      <c r="E31" s="6">
        <v>11958</v>
      </c>
      <c r="F31" s="1" t="s">
        <v>36</v>
      </c>
      <c r="G31" s="1">
        <v>1963</v>
      </c>
      <c r="H31" s="1">
        <v>3</v>
      </c>
      <c r="I31" s="7">
        <v>23301</v>
      </c>
      <c r="J31" s="14">
        <v>24750</v>
      </c>
      <c r="K31" s="13" t="s">
        <v>59</v>
      </c>
      <c r="L31" s="9" t="e">
        <f t="shared" ca="1" si="0"/>
        <v>#NAME?</v>
      </c>
      <c r="M31" s="9" t="str">
        <f t="shared" si="1"/>
        <v>N/A</v>
      </c>
      <c r="N31" s="10" t="str">
        <f t="shared" si="2"/>
        <v>N/A</v>
      </c>
      <c r="O31" s="1" t="s">
        <v>38</v>
      </c>
      <c r="P31" s="1"/>
      <c r="Q31" s="1" t="s">
        <v>39</v>
      </c>
      <c r="R31" s="1" t="s">
        <v>180</v>
      </c>
      <c r="S31" s="1" t="s">
        <v>181</v>
      </c>
      <c r="T31" s="1" t="s">
        <v>62</v>
      </c>
      <c r="V31" s="1" t="s">
        <v>80</v>
      </c>
      <c r="W31" s="1" t="s">
        <v>182</v>
      </c>
      <c r="X31" s="1">
        <v>0</v>
      </c>
      <c r="Y31" s="7"/>
      <c r="Z31" s="7"/>
      <c r="AA31" s="1">
        <v>0</v>
      </c>
      <c r="AB31" s="1">
        <v>0</v>
      </c>
      <c r="AC31" s="1">
        <v>0</v>
      </c>
      <c r="AE31" s="6">
        <v>24750</v>
      </c>
      <c r="AG31" s="1" t="s">
        <v>183</v>
      </c>
    </row>
    <row r="32" spans="1:33" ht="13">
      <c r="A32" s="1" t="s">
        <v>184</v>
      </c>
      <c r="B32" s="1" t="s">
        <v>34</v>
      </c>
      <c r="C32" s="1" t="s">
        <v>35</v>
      </c>
      <c r="D32" s="1"/>
      <c r="E32" s="6">
        <v>11284</v>
      </c>
      <c r="F32" s="1" t="s">
        <v>124</v>
      </c>
      <c r="G32" s="1">
        <v>1965</v>
      </c>
      <c r="H32" s="1">
        <v>4</v>
      </c>
      <c r="I32" s="7">
        <v>23921</v>
      </c>
      <c r="J32" s="7">
        <v>31578</v>
      </c>
      <c r="K32" s="8" t="s">
        <v>37</v>
      </c>
      <c r="L32" s="9" t="e">
        <f t="shared" ca="1" si="0"/>
        <v>#NAME?</v>
      </c>
      <c r="M32" s="9" t="e">
        <f t="shared" ca="1" si="1"/>
        <v>#NAME?</v>
      </c>
      <c r="N32" s="10" t="e">
        <f t="shared" ca="1" si="2"/>
        <v>#NAME?</v>
      </c>
      <c r="O32" s="1" t="s">
        <v>38</v>
      </c>
      <c r="P32" s="1"/>
      <c r="Q32" s="1" t="s">
        <v>90</v>
      </c>
      <c r="R32" s="1" t="s">
        <v>185</v>
      </c>
      <c r="S32" s="1" t="s">
        <v>186</v>
      </c>
      <c r="T32" s="1" t="s">
        <v>139</v>
      </c>
      <c r="U32" s="1" t="s">
        <v>139</v>
      </c>
      <c r="X32" s="1">
        <v>2</v>
      </c>
      <c r="Y32" s="7">
        <v>26798</v>
      </c>
      <c r="Z32" s="7">
        <v>30648</v>
      </c>
      <c r="AA32" s="1">
        <v>1674</v>
      </c>
      <c r="AB32" s="1">
        <v>3</v>
      </c>
      <c r="AC32" s="1">
        <v>14</v>
      </c>
      <c r="AD32" s="1" t="s">
        <v>187</v>
      </c>
    </row>
    <row r="33" spans="1:33" ht="13">
      <c r="A33" s="1" t="s">
        <v>188</v>
      </c>
      <c r="B33" s="1" t="s">
        <v>34</v>
      </c>
      <c r="C33" s="1" t="s">
        <v>35</v>
      </c>
      <c r="D33" s="1"/>
      <c r="E33" s="6">
        <v>13462</v>
      </c>
      <c r="F33" s="1" t="s">
        <v>124</v>
      </c>
      <c r="G33" s="1">
        <v>1965</v>
      </c>
      <c r="H33" s="1">
        <v>4</v>
      </c>
      <c r="I33" s="7">
        <v>23921</v>
      </c>
      <c r="J33" s="7">
        <v>27378</v>
      </c>
      <c r="K33" s="8" t="s">
        <v>37</v>
      </c>
      <c r="L33" s="9" t="e">
        <f t="shared" ca="1" si="0"/>
        <v>#NAME?</v>
      </c>
      <c r="M33" s="9" t="e">
        <f t="shared" ca="1" si="1"/>
        <v>#NAME?</v>
      </c>
      <c r="N33" s="10" t="e">
        <f t="shared" ca="1" si="2"/>
        <v>#NAME?</v>
      </c>
      <c r="O33" s="1" t="s">
        <v>38</v>
      </c>
      <c r="P33" s="1"/>
      <c r="Q33" s="1" t="s">
        <v>90</v>
      </c>
      <c r="R33" s="1" t="s">
        <v>189</v>
      </c>
      <c r="S33" s="1" t="s">
        <v>190</v>
      </c>
      <c r="T33" s="1" t="s">
        <v>55</v>
      </c>
      <c r="U33" s="1" t="s">
        <v>55</v>
      </c>
      <c r="X33" s="1">
        <v>1</v>
      </c>
      <c r="Y33" s="7">
        <v>26984</v>
      </c>
      <c r="Z33" s="7">
        <v>26984</v>
      </c>
      <c r="AA33" s="1">
        <v>2017</v>
      </c>
      <c r="AB33" s="1">
        <v>3</v>
      </c>
      <c r="AC33" s="1">
        <v>15</v>
      </c>
      <c r="AD33" s="1" t="s">
        <v>191</v>
      </c>
    </row>
    <row r="34" spans="1:33" ht="13">
      <c r="A34" s="1" t="s">
        <v>192</v>
      </c>
      <c r="B34" s="1" t="s">
        <v>34</v>
      </c>
      <c r="C34" s="1" t="s">
        <v>35</v>
      </c>
      <c r="D34" s="1"/>
      <c r="E34" s="6">
        <v>11384</v>
      </c>
      <c r="F34" s="1" t="s">
        <v>124</v>
      </c>
      <c r="G34" s="1">
        <v>1965</v>
      </c>
      <c r="H34" s="1">
        <v>4</v>
      </c>
      <c r="I34" s="7">
        <v>23921</v>
      </c>
      <c r="J34" s="7">
        <v>23972</v>
      </c>
      <c r="K34" s="8" t="s">
        <v>37</v>
      </c>
      <c r="L34" s="9" t="e">
        <f t="shared" ca="1" si="0"/>
        <v>#NAME?</v>
      </c>
      <c r="M34" s="9" t="str">
        <f t="shared" si="1"/>
        <v>N/A</v>
      </c>
      <c r="N34" s="10" t="str">
        <f t="shared" si="2"/>
        <v>N/A</v>
      </c>
      <c r="O34" s="1" t="s">
        <v>38</v>
      </c>
      <c r="P34" s="1"/>
      <c r="Q34" s="1" t="s">
        <v>90</v>
      </c>
      <c r="R34" s="1" t="s">
        <v>193</v>
      </c>
      <c r="S34" s="1" t="s">
        <v>194</v>
      </c>
      <c r="U34" s="1" t="s">
        <v>195</v>
      </c>
      <c r="X34" s="1">
        <v>0</v>
      </c>
      <c r="Y34" s="7"/>
      <c r="Z34" s="7"/>
      <c r="AA34" s="1">
        <v>0</v>
      </c>
      <c r="AB34" s="1">
        <v>0</v>
      </c>
      <c r="AC34" s="1">
        <v>0</v>
      </c>
      <c r="AG34" s="1" t="s">
        <v>196</v>
      </c>
    </row>
    <row r="35" spans="1:33" ht="13">
      <c r="A35" s="1" t="s">
        <v>197</v>
      </c>
      <c r="B35" s="1" t="s">
        <v>34</v>
      </c>
      <c r="C35" s="1" t="s">
        <v>35</v>
      </c>
      <c r="D35" s="1"/>
      <c r="E35" s="6">
        <v>11738</v>
      </c>
      <c r="F35" s="1" t="s">
        <v>124</v>
      </c>
      <c r="G35" s="1">
        <v>1965</v>
      </c>
      <c r="H35" s="1">
        <v>4</v>
      </c>
      <c r="I35" s="7">
        <v>23921</v>
      </c>
      <c r="J35" s="7">
        <v>31867</v>
      </c>
      <c r="K35" s="8" t="s">
        <v>37</v>
      </c>
      <c r="L35" s="9" t="e">
        <f t="shared" ca="1" si="0"/>
        <v>#NAME?</v>
      </c>
      <c r="M35" s="9" t="e">
        <f t="shared" ca="1" si="1"/>
        <v>#NAME?</v>
      </c>
      <c r="N35" s="10" t="e">
        <f t="shared" ca="1" si="2"/>
        <v>#NAME?</v>
      </c>
      <c r="O35" s="1" t="s">
        <v>38</v>
      </c>
      <c r="P35" s="1"/>
      <c r="Q35" s="1" t="s">
        <v>90</v>
      </c>
      <c r="R35" s="1" t="s">
        <v>198</v>
      </c>
      <c r="S35" s="1" t="s">
        <v>199</v>
      </c>
      <c r="T35" s="1" t="s">
        <v>200</v>
      </c>
      <c r="U35" s="1" t="s">
        <v>201</v>
      </c>
      <c r="V35" s="1" t="s">
        <v>71</v>
      </c>
      <c r="W35" s="1" t="s">
        <v>44</v>
      </c>
      <c r="X35" s="1">
        <v>1</v>
      </c>
      <c r="Y35" s="7">
        <v>26809</v>
      </c>
      <c r="Z35" s="7">
        <v>26809</v>
      </c>
      <c r="AA35" s="1">
        <v>672</v>
      </c>
      <c r="AB35" s="1">
        <v>1</v>
      </c>
      <c r="AC35" s="1">
        <v>3</v>
      </c>
      <c r="AD35" s="1" t="s">
        <v>202</v>
      </c>
    </row>
    <row r="36" spans="1:33" ht="13">
      <c r="A36" s="1" t="s">
        <v>203</v>
      </c>
      <c r="B36" s="1" t="s">
        <v>34</v>
      </c>
      <c r="C36" s="1" t="s">
        <v>35</v>
      </c>
      <c r="D36" s="1"/>
      <c r="E36" s="6">
        <v>12575</v>
      </c>
      <c r="F36" s="1" t="s">
        <v>124</v>
      </c>
      <c r="G36" s="1">
        <v>1965</v>
      </c>
      <c r="H36" s="1">
        <v>4</v>
      </c>
      <c r="I36" s="7">
        <v>23921</v>
      </c>
      <c r="J36" s="7">
        <v>25461</v>
      </c>
      <c r="K36" s="8" t="s">
        <v>37</v>
      </c>
      <c r="L36" s="9" t="e">
        <f t="shared" ca="1" si="0"/>
        <v>#NAME?</v>
      </c>
      <c r="M36" s="9" t="str">
        <f t="shared" si="1"/>
        <v>N/A</v>
      </c>
      <c r="N36" s="10" t="str">
        <f t="shared" si="2"/>
        <v>N/A</v>
      </c>
      <c r="O36" s="1" t="s">
        <v>38</v>
      </c>
      <c r="P36" s="1"/>
      <c r="Q36" s="1" t="s">
        <v>90</v>
      </c>
      <c r="R36" s="1" t="s">
        <v>204</v>
      </c>
      <c r="S36" s="1" t="s">
        <v>205</v>
      </c>
      <c r="T36" s="1" t="s">
        <v>158</v>
      </c>
      <c r="U36" s="1" t="s">
        <v>158</v>
      </c>
      <c r="X36" s="1">
        <v>0</v>
      </c>
      <c r="Y36" s="7"/>
      <c r="Z36" s="7"/>
      <c r="AA36" s="1">
        <v>0</v>
      </c>
      <c r="AB36" s="1">
        <v>0</v>
      </c>
      <c r="AC36" s="1">
        <v>0</v>
      </c>
      <c r="AG36" s="1" t="s">
        <v>206</v>
      </c>
    </row>
    <row r="37" spans="1:33" ht="13">
      <c r="A37" s="1" t="s">
        <v>207</v>
      </c>
      <c r="B37" s="1" t="s">
        <v>34</v>
      </c>
      <c r="C37" s="1" t="s">
        <v>35</v>
      </c>
      <c r="D37" s="1"/>
      <c r="E37" s="6">
        <v>12968</v>
      </c>
      <c r="F37" s="1" t="s">
        <v>124</v>
      </c>
      <c r="G37" s="1">
        <v>1965</v>
      </c>
      <c r="H37" s="1">
        <v>4</v>
      </c>
      <c r="I37" s="7">
        <v>23921</v>
      </c>
      <c r="J37" s="7">
        <v>27636</v>
      </c>
      <c r="K37" s="8" t="s">
        <v>37</v>
      </c>
      <c r="L37" s="9" t="e">
        <f t="shared" ca="1" si="0"/>
        <v>#NAME?</v>
      </c>
      <c r="M37" s="9" t="e">
        <f t="shared" ca="1" si="1"/>
        <v>#NAME?</v>
      </c>
      <c r="N37" s="10" t="e">
        <f t="shared" ca="1" si="2"/>
        <v>#NAME?</v>
      </c>
      <c r="O37" s="1" t="s">
        <v>38</v>
      </c>
      <c r="P37" s="1"/>
      <c r="Q37" s="1" t="s">
        <v>90</v>
      </c>
      <c r="R37" s="1" t="s">
        <v>208</v>
      </c>
      <c r="S37" s="1" t="s">
        <v>209</v>
      </c>
      <c r="T37" s="1" t="s">
        <v>210</v>
      </c>
      <c r="U37" s="1" t="s">
        <v>210</v>
      </c>
      <c r="X37" s="1">
        <v>1</v>
      </c>
      <c r="Y37" s="7">
        <v>26639</v>
      </c>
      <c r="Z37" s="7">
        <v>26640</v>
      </c>
      <c r="AA37" s="1">
        <v>301</v>
      </c>
      <c r="AB37" s="1">
        <v>3</v>
      </c>
      <c r="AC37" s="1">
        <v>22</v>
      </c>
      <c r="AD37" s="1" t="s">
        <v>211</v>
      </c>
    </row>
    <row r="38" spans="1:33" ht="13">
      <c r="A38" s="1" t="s">
        <v>212</v>
      </c>
      <c r="B38" s="1" t="s">
        <v>34</v>
      </c>
      <c r="C38" s="1" t="s">
        <v>35</v>
      </c>
      <c r="D38" s="1"/>
      <c r="E38" s="6">
        <v>11452</v>
      </c>
      <c r="F38" s="1" t="s">
        <v>84</v>
      </c>
      <c r="G38" s="1">
        <v>1966</v>
      </c>
      <c r="H38" s="1">
        <v>5</v>
      </c>
      <c r="I38" s="7">
        <v>24201</v>
      </c>
      <c r="J38" s="7">
        <v>39462</v>
      </c>
      <c r="K38" s="8" t="s">
        <v>37</v>
      </c>
      <c r="L38" s="9" t="e">
        <f t="shared" ca="1" si="0"/>
        <v>#NAME?</v>
      </c>
      <c r="M38" s="9" t="e">
        <f t="shared" ca="1" si="1"/>
        <v>#NAME?</v>
      </c>
      <c r="N38" s="10" t="e">
        <f t="shared" ca="1" si="2"/>
        <v>#NAME?</v>
      </c>
      <c r="O38" s="1" t="s">
        <v>38</v>
      </c>
      <c r="P38" s="1"/>
      <c r="Q38" s="1" t="s">
        <v>90</v>
      </c>
      <c r="R38" s="1" t="s">
        <v>213</v>
      </c>
      <c r="S38" s="1" t="s">
        <v>214</v>
      </c>
      <c r="T38" s="1" t="s">
        <v>215</v>
      </c>
      <c r="U38" s="1" t="s">
        <v>216</v>
      </c>
      <c r="W38" s="1" t="s">
        <v>159</v>
      </c>
      <c r="X38" s="1">
        <v>4</v>
      </c>
      <c r="Y38" s="7">
        <v>27590</v>
      </c>
      <c r="Z38" s="7">
        <v>33209</v>
      </c>
      <c r="AA38" s="1">
        <v>752</v>
      </c>
      <c r="AB38" s="1">
        <v>0</v>
      </c>
      <c r="AC38" s="1">
        <v>0</v>
      </c>
      <c r="AD38" s="1" t="s">
        <v>217</v>
      </c>
    </row>
    <row r="39" spans="1:33" ht="13">
      <c r="A39" s="1" t="s">
        <v>218</v>
      </c>
      <c r="B39" s="1" t="s">
        <v>34</v>
      </c>
      <c r="C39" s="1" t="s">
        <v>35</v>
      </c>
      <c r="D39" s="1"/>
      <c r="E39" s="6">
        <v>12687</v>
      </c>
      <c r="F39" s="1" t="s">
        <v>124</v>
      </c>
      <c r="G39" s="1">
        <v>1966</v>
      </c>
      <c r="H39" s="1">
        <v>5</v>
      </c>
      <c r="I39" s="7">
        <v>24201</v>
      </c>
      <c r="J39" s="7">
        <v>25035</v>
      </c>
      <c r="K39" s="8" t="s">
        <v>37</v>
      </c>
      <c r="L39" s="9" t="e">
        <f t="shared" ca="1" si="0"/>
        <v>#NAME?</v>
      </c>
      <c r="M39" s="9" t="str">
        <f t="shared" si="1"/>
        <v>N/A</v>
      </c>
      <c r="N39" s="10" t="str">
        <f t="shared" si="2"/>
        <v>N/A</v>
      </c>
      <c r="O39" s="1" t="s">
        <v>38</v>
      </c>
      <c r="P39" s="1"/>
      <c r="Q39" s="1" t="s">
        <v>39</v>
      </c>
      <c r="R39" s="1" t="s">
        <v>219</v>
      </c>
      <c r="S39" s="1" t="s">
        <v>220</v>
      </c>
      <c r="T39" s="1" t="s">
        <v>62</v>
      </c>
      <c r="U39" s="1" t="s">
        <v>42</v>
      </c>
      <c r="X39" s="1">
        <v>0</v>
      </c>
      <c r="Y39" s="7"/>
      <c r="Z39" s="7"/>
      <c r="AA39" s="1">
        <v>0</v>
      </c>
      <c r="AB39" s="1">
        <v>0</v>
      </c>
      <c r="AC39" s="1">
        <v>0</v>
      </c>
      <c r="AE39" s="6">
        <v>39671</v>
      </c>
      <c r="AG39" s="1" t="s">
        <v>221</v>
      </c>
    </row>
    <row r="40" spans="1:33" ht="13">
      <c r="A40" s="1" t="s">
        <v>222</v>
      </c>
      <c r="B40" s="1" t="s">
        <v>34</v>
      </c>
      <c r="C40" s="1" t="s">
        <v>35</v>
      </c>
      <c r="D40" s="1"/>
      <c r="E40" s="6">
        <v>11923</v>
      </c>
      <c r="F40" s="1" t="s">
        <v>84</v>
      </c>
      <c r="G40" s="1">
        <v>1966</v>
      </c>
      <c r="H40" s="1">
        <v>5</v>
      </c>
      <c r="I40" s="7">
        <v>24201</v>
      </c>
      <c r="J40" s="7">
        <v>28301</v>
      </c>
      <c r="K40" s="8" t="s">
        <v>37</v>
      </c>
      <c r="L40" s="9" t="e">
        <f t="shared" ca="1" si="0"/>
        <v>#NAME?</v>
      </c>
      <c r="M40" s="9" t="e">
        <f t="shared" ca="1" si="1"/>
        <v>#NAME?</v>
      </c>
      <c r="N40" s="10" t="e">
        <f t="shared" ca="1" si="2"/>
        <v>#NAME?</v>
      </c>
      <c r="O40" s="1" t="s">
        <v>38</v>
      </c>
      <c r="P40" s="1"/>
      <c r="Q40" s="1" t="s">
        <v>90</v>
      </c>
      <c r="R40" s="1" t="s">
        <v>223</v>
      </c>
      <c r="S40" s="1" t="s">
        <v>224</v>
      </c>
      <c r="T40" s="1" t="s">
        <v>62</v>
      </c>
      <c r="U40" s="1" t="s">
        <v>42</v>
      </c>
      <c r="V40" s="1" t="s">
        <v>49</v>
      </c>
      <c r="W40" s="1" t="s">
        <v>56</v>
      </c>
      <c r="X40" s="1">
        <v>1</v>
      </c>
      <c r="Y40" s="7">
        <v>26984</v>
      </c>
      <c r="Z40" s="7">
        <v>26984</v>
      </c>
      <c r="AA40" s="1">
        <v>2017</v>
      </c>
      <c r="AB40" s="1">
        <v>3</v>
      </c>
      <c r="AC40" s="1">
        <v>16</v>
      </c>
      <c r="AD40" s="1" t="s">
        <v>191</v>
      </c>
    </row>
    <row r="41" spans="1:33" ht="13">
      <c r="A41" s="1" t="s">
        <v>225</v>
      </c>
      <c r="B41" s="1" t="s">
        <v>34</v>
      </c>
      <c r="C41" s="1" t="s">
        <v>35</v>
      </c>
      <c r="D41" s="1"/>
      <c r="E41" s="6">
        <v>13060</v>
      </c>
      <c r="F41" s="1" t="s">
        <v>84</v>
      </c>
      <c r="G41" s="1">
        <v>1966</v>
      </c>
      <c r="H41" s="1">
        <v>5</v>
      </c>
      <c r="I41" s="7">
        <v>24201</v>
      </c>
      <c r="J41" s="7">
        <v>27760</v>
      </c>
      <c r="K41" s="8" t="s">
        <v>37</v>
      </c>
      <c r="L41" s="9" t="e">
        <f t="shared" ca="1" si="0"/>
        <v>#NAME?</v>
      </c>
      <c r="M41" s="9" t="e">
        <f t="shared" ca="1" si="1"/>
        <v>#NAME?</v>
      </c>
      <c r="N41" s="10" t="e">
        <f t="shared" ca="1" si="2"/>
        <v>#NAME?</v>
      </c>
      <c r="O41" s="1" t="s">
        <v>38</v>
      </c>
      <c r="P41" s="1"/>
      <c r="Q41" s="1" t="s">
        <v>90</v>
      </c>
      <c r="R41" s="1" t="s">
        <v>226</v>
      </c>
      <c r="S41" s="1" t="s">
        <v>227</v>
      </c>
      <c r="T41" s="1" t="s">
        <v>70</v>
      </c>
      <c r="U41" s="1" t="s">
        <v>228</v>
      </c>
      <c r="V41" s="1" t="s">
        <v>105</v>
      </c>
      <c r="W41" s="1" t="s">
        <v>50</v>
      </c>
      <c r="X41" s="1">
        <v>1</v>
      </c>
      <c r="Y41" s="7">
        <v>26405</v>
      </c>
      <c r="Z41" s="7">
        <v>26405</v>
      </c>
      <c r="AA41" s="1">
        <v>265</v>
      </c>
      <c r="AB41" s="1">
        <v>3</v>
      </c>
      <c r="AC41" s="1">
        <v>20</v>
      </c>
      <c r="AD41" s="1" t="s">
        <v>229</v>
      </c>
    </row>
    <row r="42" spans="1:33" ht="13">
      <c r="A42" s="1" t="s">
        <v>230</v>
      </c>
      <c r="B42" s="1" t="s">
        <v>34</v>
      </c>
      <c r="C42" s="1" t="s">
        <v>35</v>
      </c>
      <c r="D42" s="1"/>
      <c r="E42" s="6">
        <v>11927</v>
      </c>
      <c r="F42" s="1" t="s">
        <v>36</v>
      </c>
      <c r="G42" s="1">
        <v>1966</v>
      </c>
      <c r="H42" s="1">
        <v>5</v>
      </c>
      <c r="I42" s="7">
        <v>24201</v>
      </c>
      <c r="J42" s="7">
        <v>31744</v>
      </c>
      <c r="K42" s="8" t="s">
        <v>37</v>
      </c>
      <c r="L42" s="9" t="e">
        <f t="shared" ca="1" si="0"/>
        <v>#NAME?</v>
      </c>
      <c r="M42" s="9" t="e">
        <f t="shared" ca="1" si="1"/>
        <v>#NAME?</v>
      </c>
      <c r="N42" s="10" t="e">
        <f t="shared" ca="1" si="2"/>
        <v>#NAME?</v>
      </c>
      <c r="O42" s="1" t="s">
        <v>38</v>
      </c>
      <c r="P42" s="1"/>
      <c r="Q42" s="1" t="s">
        <v>90</v>
      </c>
      <c r="R42" s="1" t="s">
        <v>231</v>
      </c>
      <c r="S42" s="1" t="s">
        <v>232</v>
      </c>
      <c r="T42" s="1" t="s">
        <v>42</v>
      </c>
      <c r="V42" s="1" t="s">
        <v>133</v>
      </c>
      <c r="W42" s="1" t="s">
        <v>50</v>
      </c>
      <c r="X42" s="1">
        <v>2</v>
      </c>
      <c r="Y42" s="7">
        <v>29902</v>
      </c>
      <c r="Z42" s="7">
        <v>31286</v>
      </c>
      <c r="AA42" s="1">
        <v>224</v>
      </c>
      <c r="AB42" s="1">
        <v>0</v>
      </c>
      <c r="AC42" s="1">
        <v>0</v>
      </c>
      <c r="AD42" s="1" t="s">
        <v>233</v>
      </c>
    </row>
    <row r="43" spans="1:33" ht="13">
      <c r="A43" s="1" t="s">
        <v>234</v>
      </c>
      <c r="B43" s="1" t="s">
        <v>34</v>
      </c>
      <c r="C43" s="1" t="s">
        <v>35</v>
      </c>
      <c r="D43" s="1"/>
      <c r="E43" s="6">
        <v>12368</v>
      </c>
      <c r="F43" s="1" t="s">
        <v>84</v>
      </c>
      <c r="G43" s="1">
        <v>1966</v>
      </c>
      <c r="H43" s="1">
        <v>5</v>
      </c>
      <c r="I43" s="7">
        <v>24201</v>
      </c>
      <c r="J43" s="7">
        <v>28199</v>
      </c>
      <c r="K43" s="8" t="s">
        <v>37</v>
      </c>
      <c r="L43" s="9" t="e">
        <f t="shared" ca="1" si="0"/>
        <v>#NAME?</v>
      </c>
      <c r="M43" s="9" t="e">
        <f t="shared" ca="1" si="1"/>
        <v>#NAME?</v>
      </c>
      <c r="N43" s="10" t="e">
        <f t="shared" ca="1" si="2"/>
        <v>#NAME?</v>
      </c>
      <c r="O43" s="1" t="s">
        <v>38</v>
      </c>
      <c r="P43" s="1"/>
      <c r="Q43" s="1" t="s">
        <v>39</v>
      </c>
      <c r="R43" s="1" t="s">
        <v>235</v>
      </c>
      <c r="S43" s="1" t="s">
        <v>236</v>
      </c>
      <c r="T43" s="1" t="s">
        <v>139</v>
      </c>
      <c r="U43" s="1" t="s">
        <v>42</v>
      </c>
      <c r="V43" s="1" t="s">
        <v>71</v>
      </c>
      <c r="W43" s="1" t="s">
        <v>44</v>
      </c>
      <c r="X43" s="1">
        <v>1</v>
      </c>
      <c r="Y43" s="7">
        <v>26639</v>
      </c>
      <c r="Z43" s="7">
        <v>26640</v>
      </c>
      <c r="AA43" s="1">
        <v>301</v>
      </c>
      <c r="AB43" s="1">
        <v>1</v>
      </c>
      <c r="AC43" s="1">
        <v>1</v>
      </c>
      <c r="AD43" s="1" t="s">
        <v>211</v>
      </c>
      <c r="AE43" s="6">
        <v>32969</v>
      </c>
    </row>
    <row r="44" spans="1:33" ht="13">
      <c r="A44" s="1" t="s">
        <v>237</v>
      </c>
      <c r="B44" s="1" t="s">
        <v>34</v>
      </c>
      <c r="C44" s="1" t="s">
        <v>35</v>
      </c>
      <c r="D44" s="1"/>
      <c r="E44" s="6">
        <v>10963</v>
      </c>
      <c r="F44" s="1" t="s">
        <v>36</v>
      </c>
      <c r="G44" s="1">
        <v>1966</v>
      </c>
      <c r="H44" s="1">
        <v>5</v>
      </c>
      <c r="I44" s="7">
        <v>24201</v>
      </c>
      <c r="J44" s="12">
        <v>24629</v>
      </c>
      <c r="K44" s="13" t="s">
        <v>59</v>
      </c>
      <c r="L44" s="9" t="e">
        <f t="shared" ca="1" si="0"/>
        <v>#NAME?</v>
      </c>
      <c r="M44" s="9" t="str">
        <f t="shared" si="1"/>
        <v>N/A</v>
      </c>
      <c r="N44" s="10" t="str">
        <f t="shared" si="2"/>
        <v>N/A</v>
      </c>
      <c r="O44" s="1" t="s">
        <v>38</v>
      </c>
      <c r="P44" s="1"/>
      <c r="Q44" s="1" t="s">
        <v>39</v>
      </c>
      <c r="R44" s="1" t="s">
        <v>238</v>
      </c>
      <c r="S44" s="1" t="s">
        <v>69</v>
      </c>
      <c r="T44" s="1" t="s">
        <v>70</v>
      </c>
      <c r="V44" s="1" t="s">
        <v>80</v>
      </c>
      <c r="W44" s="1" t="s">
        <v>64</v>
      </c>
      <c r="X44" s="1">
        <v>0</v>
      </c>
      <c r="Y44" s="7"/>
      <c r="Z44" s="7"/>
      <c r="AA44" s="1">
        <v>0</v>
      </c>
      <c r="AB44" s="1">
        <v>0</v>
      </c>
      <c r="AC44" s="1">
        <v>0</v>
      </c>
      <c r="AE44" s="6">
        <v>24629</v>
      </c>
      <c r="AG44" s="1" t="s">
        <v>239</v>
      </c>
    </row>
    <row r="45" spans="1:33" ht="13">
      <c r="A45" s="1" t="s">
        <v>240</v>
      </c>
      <c r="B45" s="1" t="s">
        <v>34</v>
      </c>
      <c r="C45" s="1" t="s">
        <v>35</v>
      </c>
      <c r="D45" s="1"/>
      <c r="E45" s="6">
        <v>12372</v>
      </c>
      <c r="F45" s="1" t="s">
        <v>36</v>
      </c>
      <c r="G45" s="1">
        <v>1966</v>
      </c>
      <c r="H45" s="1">
        <v>5</v>
      </c>
      <c r="I45" s="7">
        <v>24201</v>
      </c>
      <c r="J45" s="7">
        <v>29035</v>
      </c>
      <c r="K45" s="8" t="s">
        <v>37</v>
      </c>
      <c r="L45" s="9" t="e">
        <f t="shared" ca="1" si="0"/>
        <v>#NAME?</v>
      </c>
      <c r="M45" s="9" t="e">
        <f t="shared" ca="1" si="1"/>
        <v>#NAME?</v>
      </c>
      <c r="N45" s="10" t="e">
        <f t="shared" ca="1" si="2"/>
        <v>#NAME?</v>
      </c>
      <c r="O45" s="1" t="s">
        <v>38</v>
      </c>
      <c r="P45" s="1"/>
      <c r="Q45" s="1" t="s">
        <v>90</v>
      </c>
      <c r="R45" s="1" t="s">
        <v>241</v>
      </c>
      <c r="S45" s="1" t="s">
        <v>242</v>
      </c>
      <c r="T45" s="1" t="s">
        <v>42</v>
      </c>
      <c r="X45" s="1">
        <v>1</v>
      </c>
      <c r="Y45" s="7">
        <v>25669</v>
      </c>
      <c r="Z45" s="7">
        <v>25669</v>
      </c>
      <c r="AA45" s="1">
        <v>142</v>
      </c>
      <c r="AB45" s="1">
        <v>0</v>
      </c>
      <c r="AC45" s="1">
        <v>0</v>
      </c>
      <c r="AD45" s="1" t="s">
        <v>243</v>
      </c>
    </row>
    <row r="46" spans="1:33" ht="13">
      <c r="A46" s="1" t="s">
        <v>244</v>
      </c>
      <c r="B46" s="1" t="s">
        <v>34</v>
      </c>
      <c r="C46" s="1" t="s">
        <v>35</v>
      </c>
      <c r="D46" s="1"/>
      <c r="E46" s="6">
        <v>11034</v>
      </c>
      <c r="F46" s="1" t="s">
        <v>84</v>
      </c>
      <c r="G46" s="1">
        <v>1966</v>
      </c>
      <c r="H46" s="1">
        <v>5</v>
      </c>
      <c r="I46" s="7">
        <v>24201</v>
      </c>
      <c r="J46" s="7">
        <v>26511</v>
      </c>
      <c r="K46" s="8" t="s">
        <v>37</v>
      </c>
      <c r="L46" s="9" t="e">
        <f t="shared" ca="1" si="0"/>
        <v>#NAME?</v>
      </c>
      <c r="M46" s="9" t="e">
        <f t="shared" ca="1" si="1"/>
        <v>#NAME?</v>
      </c>
      <c r="N46" s="10" t="e">
        <f t="shared" ca="1" si="2"/>
        <v>#NAME?</v>
      </c>
      <c r="O46" s="1" t="s">
        <v>38</v>
      </c>
      <c r="P46" s="1"/>
      <c r="Q46" s="1" t="s">
        <v>39</v>
      </c>
      <c r="R46" s="1" t="s">
        <v>245</v>
      </c>
      <c r="S46" s="1" t="s">
        <v>166</v>
      </c>
      <c r="T46" s="1" t="s">
        <v>70</v>
      </c>
      <c r="U46" s="1" t="s">
        <v>42</v>
      </c>
      <c r="V46" s="1" t="s">
        <v>49</v>
      </c>
      <c r="W46" s="1" t="s">
        <v>50</v>
      </c>
      <c r="X46" s="1">
        <v>1</v>
      </c>
      <c r="Y46" s="7">
        <v>26140</v>
      </c>
      <c r="Z46" s="7">
        <v>26140</v>
      </c>
      <c r="AA46" s="1">
        <v>295</v>
      </c>
      <c r="AB46" s="1">
        <v>3</v>
      </c>
      <c r="AC46" s="1">
        <v>20</v>
      </c>
      <c r="AD46" s="1" t="s">
        <v>246</v>
      </c>
      <c r="AE46" s="6">
        <v>33458</v>
      </c>
    </row>
    <row r="47" spans="1:33" ht="13">
      <c r="A47" s="1" t="s">
        <v>247</v>
      </c>
      <c r="B47" s="1" t="s">
        <v>34</v>
      </c>
      <c r="C47" s="1" t="s">
        <v>35</v>
      </c>
      <c r="D47" s="1"/>
      <c r="E47" s="6">
        <v>11096</v>
      </c>
      <c r="F47" s="1" t="s">
        <v>124</v>
      </c>
      <c r="G47" s="1">
        <v>1966</v>
      </c>
      <c r="H47" s="1">
        <v>5</v>
      </c>
      <c r="I47" s="7">
        <v>24201</v>
      </c>
      <c r="J47" s="7">
        <v>31517</v>
      </c>
      <c r="K47" s="8" t="s">
        <v>37</v>
      </c>
      <c r="L47" s="9" t="e">
        <f t="shared" ca="1" si="0"/>
        <v>#NAME?</v>
      </c>
      <c r="M47" s="9" t="e">
        <f t="shared" ca="1" si="1"/>
        <v>#NAME?</v>
      </c>
      <c r="N47" s="10" t="e">
        <f t="shared" ca="1" si="2"/>
        <v>#NAME?</v>
      </c>
      <c r="O47" s="1" t="s">
        <v>38</v>
      </c>
      <c r="P47" s="1"/>
      <c r="Q47" s="1" t="s">
        <v>90</v>
      </c>
      <c r="R47" s="1" t="s">
        <v>248</v>
      </c>
      <c r="S47" s="1" t="s">
        <v>249</v>
      </c>
      <c r="T47" s="1" t="s">
        <v>158</v>
      </c>
      <c r="U47" s="1" t="s">
        <v>250</v>
      </c>
      <c r="X47" s="1">
        <v>1</v>
      </c>
      <c r="Y47" s="7">
        <v>31166</v>
      </c>
      <c r="Z47" s="7">
        <v>31166</v>
      </c>
      <c r="AA47" s="1">
        <v>168</v>
      </c>
      <c r="AB47" s="1">
        <v>0</v>
      </c>
      <c r="AC47" s="1">
        <v>0</v>
      </c>
      <c r="AD47" s="1" t="s">
        <v>251</v>
      </c>
    </row>
    <row r="48" spans="1:33" ht="13">
      <c r="A48" s="1" t="s">
        <v>252</v>
      </c>
      <c r="B48" s="1" t="s">
        <v>34</v>
      </c>
      <c r="C48" s="1" t="s">
        <v>35</v>
      </c>
      <c r="D48" s="1"/>
      <c r="E48" s="6">
        <v>13209</v>
      </c>
      <c r="F48" s="1" t="s">
        <v>84</v>
      </c>
      <c r="G48" s="1">
        <v>1966</v>
      </c>
      <c r="H48" s="1">
        <v>5</v>
      </c>
      <c r="I48" s="7">
        <v>24201</v>
      </c>
      <c r="J48" s="7">
        <v>30590</v>
      </c>
      <c r="K48" s="8" t="s">
        <v>37</v>
      </c>
      <c r="L48" s="9" t="e">
        <f t="shared" ca="1" si="0"/>
        <v>#NAME?</v>
      </c>
      <c r="M48" s="9" t="e">
        <f t="shared" ca="1" si="1"/>
        <v>#NAME?</v>
      </c>
      <c r="N48" s="10" t="e">
        <f t="shared" ca="1" si="2"/>
        <v>#NAME?</v>
      </c>
      <c r="O48" s="1" t="s">
        <v>38</v>
      </c>
      <c r="P48" s="1"/>
      <c r="Q48" s="1" t="s">
        <v>90</v>
      </c>
      <c r="R48" s="1" t="s">
        <v>148</v>
      </c>
      <c r="S48" s="1" t="s">
        <v>253</v>
      </c>
      <c r="T48" s="1" t="s">
        <v>42</v>
      </c>
      <c r="U48" s="1" t="s">
        <v>42</v>
      </c>
      <c r="V48" s="1" t="s">
        <v>49</v>
      </c>
      <c r="W48" s="1" t="s">
        <v>56</v>
      </c>
      <c r="X48" s="1">
        <v>2</v>
      </c>
      <c r="Y48" s="7">
        <v>26873</v>
      </c>
      <c r="Z48" s="7">
        <v>30032</v>
      </c>
      <c r="AA48" s="1">
        <v>1619</v>
      </c>
      <c r="AB48" s="1">
        <v>2</v>
      </c>
      <c r="AC48" s="1">
        <v>11</v>
      </c>
      <c r="AD48" s="1" t="s">
        <v>254</v>
      </c>
    </row>
    <row r="49" spans="1:33" ht="13">
      <c r="A49" s="1" t="s">
        <v>255</v>
      </c>
      <c r="B49" s="1" t="s">
        <v>34</v>
      </c>
      <c r="C49" s="1" t="s">
        <v>35</v>
      </c>
      <c r="D49" s="1"/>
      <c r="E49" s="6">
        <v>13226</v>
      </c>
      <c r="F49" s="1" t="s">
        <v>36</v>
      </c>
      <c r="G49" s="1">
        <v>1966</v>
      </c>
      <c r="H49" s="1">
        <v>5</v>
      </c>
      <c r="I49" s="7">
        <v>24201</v>
      </c>
      <c r="J49" s="7">
        <v>31213</v>
      </c>
      <c r="K49" s="8" t="s">
        <v>37</v>
      </c>
      <c r="L49" s="9" t="e">
        <f t="shared" ca="1" si="0"/>
        <v>#NAME?</v>
      </c>
      <c r="M49" s="9" t="e">
        <f t="shared" ca="1" si="1"/>
        <v>#NAME?</v>
      </c>
      <c r="N49" s="10" t="e">
        <f t="shared" ca="1" si="2"/>
        <v>#NAME?</v>
      </c>
      <c r="O49" s="1" t="s">
        <v>38</v>
      </c>
      <c r="P49" s="1"/>
      <c r="Q49" s="1" t="s">
        <v>90</v>
      </c>
      <c r="R49" s="1" t="s">
        <v>102</v>
      </c>
      <c r="S49" s="1" t="s">
        <v>181</v>
      </c>
      <c r="T49" s="1" t="s">
        <v>42</v>
      </c>
      <c r="V49" s="1" t="s">
        <v>75</v>
      </c>
      <c r="W49" s="1" t="s">
        <v>44</v>
      </c>
      <c r="X49" s="1">
        <v>3</v>
      </c>
      <c r="Y49" s="7">
        <v>26405</v>
      </c>
      <c r="Z49" s="7">
        <v>31071</v>
      </c>
      <c r="AA49" s="1">
        <v>508</v>
      </c>
      <c r="AB49" s="1">
        <v>1</v>
      </c>
      <c r="AC49" s="1">
        <v>1</v>
      </c>
      <c r="AD49" s="1" t="s">
        <v>256</v>
      </c>
    </row>
    <row r="50" spans="1:33" ht="13">
      <c r="A50" s="1" t="s">
        <v>257</v>
      </c>
      <c r="B50" s="1" t="s">
        <v>34</v>
      </c>
      <c r="C50" s="1" t="s">
        <v>35</v>
      </c>
      <c r="D50" s="1"/>
      <c r="E50" s="6">
        <v>13674</v>
      </c>
      <c r="F50" s="1" t="s">
        <v>84</v>
      </c>
      <c r="G50" s="1">
        <v>1966</v>
      </c>
      <c r="H50" s="1">
        <v>5</v>
      </c>
      <c r="I50" s="7">
        <v>24201</v>
      </c>
      <c r="J50" s="7">
        <v>33116</v>
      </c>
      <c r="K50" s="8" t="s">
        <v>37</v>
      </c>
      <c r="L50" s="9" t="e">
        <f t="shared" ca="1" si="0"/>
        <v>#NAME?</v>
      </c>
      <c r="M50" s="9" t="e">
        <f t="shared" ca="1" si="1"/>
        <v>#NAME?</v>
      </c>
      <c r="N50" s="10" t="e">
        <f t="shared" ca="1" si="2"/>
        <v>#NAME?</v>
      </c>
      <c r="O50" s="1" t="s">
        <v>38</v>
      </c>
      <c r="P50" s="1"/>
      <c r="Q50" s="1" t="s">
        <v>90</v>
      </c>
      <c r="R50" s="1" t="s">
        <v>258</v>
      </c>
      <c r="S50" s="1" t="s">
        <v>259</v>
      </c>
      <c r="U50" s="1" t="s">
        <v>260</v>
      </c>
      <c r="V50" s="1" t="s">
        <v>71</v>
      </c>
      <c r="W50" s="1" t="s">
        <v>44</v>
      </c>
      <c r="X50" s="1">
        <v>2</v>
      </c>
      <c r="Y50" s="7">
        <v>30715</v>
      </c>
      <c r="Z50" s="7">
        <v>32987</v>
      </c>
      <c r="AA50" s="1">
        <v>312</v>
      </c>
      <c r="AB50" s="1">
        <v>2</v>
      </c>
      <c r="AC50" s="1">
        <v>12</v>
      </c>
      <c r="AD50" s="1" t="s">
        <v>261</v>
      </c>
    </row>
    <row r="51" spans="1:33" ht="13">
      <c r="A51" s="1" t="s">
        <v>262</v>
      </c>
      <c r="B51" s="1" t="s">
        <v>34</v>
      </c>
      <c r="C51" s="1" t="s">
        <v>35</v>
      </c>
      <c r="D51" s="1"/>
      <c r="E51" s="6">
        <v>11218</v>
      </c>
      <c r="F51" s="1" t="s">
        <v>124</v>
      </c>
      <c r="G51" s="1">
        <v>1966</v>
      </c>
      <c r="H51" s="1">
        <v>5</v>
      </c>
      <c r="I51" s="7">
        <v>24201</v>
      </c>
      <c r="J51" s="7">
        <v>26573</v>
      </c>
      <c r="K51" s="8" t="s">
        <v>37</v>
      </c>
      <c r="L51" s="9" t="e">
        <f t="shared" ca="1" si="0"/>
        <v>#NAME?</v>
      </c>
      <c r="M51" s="9" t="e">
        <f t="shared" ca="1" si="1"/>
        <v>#NAME?</v>
      </c>
      <c r="N51" s="10" t="e">
        <f t="shared" ca="1" si="2"/>
        <v>#NAME?</v>
      </c>
      <c r="O51" s="1" t="s">
        <v>38</v>
      </c>
      <c r="P51" s="1"/>
      <c r="Q51" s="1" t="s">
        <v>90</v>
      </c>
      <c r="R51" s="1" t="s">
        <v>263</v>
      </c>
      <c r="S51" s="1" t="s">
        <v>264</v>
      </c>
      <c r="T51" s="1" t="s">
        <v>265</v>
      </c>
      <c r="U51" s="1" t="s">
        <v>266</v>
      </c>
      <c r="V51" s="1" t="s">
        <v>71</v>
      </c>
      <c r="W51" s="1" t="s">
        <v>44</v>
      </c>
      <c r="X51" s="1">
        <v>1</v>
      </c>
      <c r="Y51" s="7">
        <v>25964</v>
      </c>
      <c r="Z51" s="7">
        <v>25964</v>
      </c>
      <c r="AA51" s="1">
        <v>216</v>
      </c>
      <c r="AB51" s="1">
        <v>2</v>
      </c>
      <c r="AC51" s="1">
        <v>9</v>
      </c>
      <c r="AD51" s="1" t="s">
        <v>267</v>
      </c>
    </row>
    <row r="52" spans="1:33" ht="13">
      <c r="A52" s="1" t="s">
        <v>268</v>
      </c>
      <c r="B52" s="1" t="s">
        <v>34</v>
      </c>
      <c r="C52" s="1" t="s">
        <v>35</v>
      </c>
      <c r="D52" s="1"/>
      <c r="E52" s="6">
        <v>10981</v>
      </c>
      <c r="F52" s="1" t="s">
        <v>84</v>
      </c>
      <c r="G52" s="1">
        <v>1966</v>
      </c>
      <c r="H52" s="1">
        <v>5</v>
      </c>
      <c r="I52" s="7">
        <v>24201</v>
      </c>
      <c r="J52" s="7">
        <v>27638</v>
      </c>
      <c r="K52" s="8" t="s">
        <v>37</v>
      </c>
      <c r="L52" s="9" t="e">
        <f t="shared" ca="1" si="0"/>
        <v>#NAME?</v>
      </c>
      <c r="M52" s="9" t="e">
        <f t="shared" ca="1" si="1"/>
        <v>#NAME?</v>
      </c>
      <c r="N52" s="10" t="e">
        <f t="shared" ca="1" si="2"/>
        <v>#NAME?</v>
      </c>
      <c r="O52" s="1" t="s">
        <v>38</v>
      </c>
      <c r="P52" s="1"/>
      <c r="Q52" s="1" t="s">
        <v>90</v>
      </c>
      <c r="R52" s="1" t="s">
        <v>269</v>
      </c>
      <c r="S52" s="1" t="s">
        <v>270</v>
      </c>
      <c r="T52" s="1" t="s">
        <v>271</v>
      </c>
      <c r="U52" s="1" t="s">
        <v>272</v>
      </c>
      <c r="V52" s="1" t="s">
        <v>49</v>
      </c>
      <c r="W52" s="1" t="s">
        <v>50</v>
      </c>
      <c r="X52" s="1">
        <v>1</v>
      </c>
      <c r="Y52" s="7">
        <v>26984</v>
      </c>
      <c r="Z52" s="7">
        <v>26984</v>
      </c>
      <c r="AA52" s="1">
        <v>2017</v>
      </c>
      <c r="AB52" s="1">
        <v>2</v>
      </c>
      <c r="AC52" s="1">
        <v>13</v>
      </c>
      <c r="AD52" s="1" t="s">
        <v>191</v>
      </c>
    </row>
    <row r="53" spans="1:33" ht="13">
      <c r="A53" s="1" t="s">
        <v>273</v>
      </c>
      <c r="B53" s="1" t="s">
        <v>34</v>
      </c>
      <c r="C53" s="1" t="s">
        <v>35</v>
      </c>
      <c r="D53" s="1"/>
      <c r="E53" s="6">
        <v>12282</v>
      </c>
      <c r="F53" s="1" t="s">
        <v>36</v>
      </c>
      <c r="G53" s="1">
        <v>1966</v>
      </c>
      <c r="H53" s="1">
        <v>5</v>
      </c>
      <c r="I53" s="7">
        <v>24201</v>
      </c>
      <c r="J53" s="7">
        <v>27791</v>
      </c>
      <c r="K53" s="8" t="s">
        <v>37</v>
      </c>
      <c r="L53" s="9" t="e">
        <f t="shared" ca="1" si="0"/>
        <v>#NAME?</v>
      </c>
      <c r="M53" s="9" t="e">
        <f t="shared" ca="1" si="1"/>
        <v>#NAME?</v>
      </c>
      <c r="N53" s="10" t="e">
        <f t="shared" ca="1" si="2"/>
        <v>#NAME?</v>
      </c>
      <c r="O53" s="1" t="s">
        <v>38</v>
      </c>
      <c r="P53" s="1"/>
      <c r="Q53" s="1" t="s">
        <v>39</v>
      </c>
      <c r="R53" s="1" t="s">
        <v>274</v>
      </c>
      <c r="S53" s="1" t="s">
        <v>41</v>
      </c>
      <c r="T53" s="1" t="s">
        <v>42</v>
      </c>
      <c r="V53" s="1" t="s">
        <v>49</v>
      </c>
      <c r="W53" s="1" t="s">
        <v>50</v>
      </c>
      <c r="X53" s="1">
        <v>1</v>
      </c>
      <c r="Y53" s="7">
        <v>25964</v>
      </c>
      <c r="Z53" s="7">
        <v>25964</v>
      </c>
      <c r="AA53" s="1">
        <v>216</v>
      </c>
      <c r="AB53" s="1">
        <v>0</v>
      </c>
      <c r="AC53" s="1">
        <v>0</v>
      </c>
      <c r="AD53" s="1" t="s">
        <v>267</v>
      </c>
      <c r="AE53" s="6">
        <v>34680</v>
      </c>
    </row>
    <row r="54" spans="1:33" ht="13">
      <c r="A54" s="1" t="s">
        <v>275</v>
      </c>
      <c r="B54" s="1" t="s">
        <v>34</v>
      </c>
      <c r="C54" s="1" t="s">
        <v>35</v>
      </c>
      <c r="D54" s="1"/>
      <c r="E54" s="6">
        <v>11565</v>
      </c>
      <c r="F54" s="1" t="s">
        <v>84</v>
      </c>
      <c r="G54" s="1">
        <v>1966</v>
      </c>
      <c r="H54" s="1">
        <v>5</v>
      </c>
      <c r="I54" s="7">
        <v>24201</v>
      </c>
      <c r="J54" s="7">
        <v>28352</v>
      </c>
      <c r="K54" s="8" t="s">
        <v>37</v>
      </c>
      <c r="L54" s="9" t="e">
        <f t="shared" ca="1" si="0"/>
        <v>#NAME?</v>
      </c>
      <c r="M54" s="9" t="e">
        <f t="shared" ca="1" si="1"/>
        <v>#NAME?</v>
      </c>
      <c r="N54" s="10" t="e">
        <f t="shared" ca="1" si="2"/>
        <v>#NAME?</v>
      </c>
      <c r="O54" s="1" t="s">
        <v>38</v>
      </c>
      <c r="P54" s="1"/>
      <c r="Q54" s="1" t="s">
        <v>39</v>
      </c>
      <c r="R54" s="1" t="s">
        <v>223</v>
      </c>
      <c r="S54" s="1" t="s">
        <v>276</v>
      </c>
      <c r="T54" s="1" t="s">
        <v>62</v>
      </c>
      <c r="U54" s="1" t="s">
        <v>277</v>
      </c>
      <c r="X54" s="1">
        <v>1</v>
      </c>
      <c r="Y54" s="7">
        <v>25669</v>
      </c>
      <c r="Z54" s="7">
        <v>25669</v>
      </c>
      <c r="AA54" s="1">
        <v>142</v>
      </c>
      <c r="AB54" s="1">
        <v>0</v>
      </c>
      <c r="AC54" s="1">
        <v>0</v>
      </c>
      <c r="AD54" s="1" t="s">
        <v>243</v>
      </c>
      <c r="AE54" s="6">
        <v>30312</v>
      </c>
    </row>
    <row r="55" spans="1:33" ht="13">
      <c r="A55" s="1" t="s">
        <v>278</v>
      </c>
      <c r="B55" s="1" t="s">
        <v>34</v>
      </c>
      <c r="C55" s="1" t="s">
        <v>35</v>
      </c>
      <c r="D55" s="1"/>
      <c r="E55" s="6">
        <v>11865</v>
      </c>
      <c r="F55" s="1" t="s">
        <v>84</v>
      </c>
      <c r="G55" s="1">
        <v>1966</v>
      </c>
      <c r="H55" s="1">
        <v>5</v>
      </c>
      <c r="I55" s="7">
        <v>24201</v>
      </c>
      <c r="J55" s="7">
        <v>34469</v>
      </c>
      <c r="K55" s="8" t="s">
        <v>37</v>
      </c>
      <c r="L55" s="9" t="e">
        <f t="shared" ca="1" si="0"/>
        <v>#NAME?</v>
      </c>
      <c r="M55" s="9" t="e">
        <f t="shared" ca="1" si="1"/>
        <v>#NAME?</v>
      </c>
      <c r="N55" s="10" t="e">
        <f t="shared" ca="1" si="2"/>
        <v>#NAME?</v>
      </c>
      <c r="O55" s="1" t="s">
        <v>38</v>
      </c>
      <c r="P55" s="1"/>
      <c r="Q55" s="1" t="s">
        <v>90</v>
      </c>
      <c r="R55" s="1" t="s">
        <v>279</v>
      </c>
      <c r="S55" s="1" t="s">
        <v>280</v>
      </c>
      <c r="T55" s="1" t="s">
        <v>42</v>
      </c>
      <c r="U55" s="1" t="s">
        <v>42</v>
      </c>
      <c r="V55" s="1" t="s">
        <v>71</v>
      </c>
      <c r="W55" s="1" t="s">
        <v>44</v>
      </c>
      <c r="X55" s="1">
        <v>2</v>
      </c>
      <c r="Y55" s="7">
        <v>26809</v>
      </c>
      <c r="Z55" s="7">
        <v>30410</v>
      </c>
      <c r="AA55" s="1">
        <v>793</v>
      </c>
      <c r="AB55" s="1">
        <v>1</v>
      </c>
      <c r="AC55" s="1">
        <v>2</v>
      </c>
      <c r="AD55" s="1" t="s">
        <v>281</v>
      </c>
    </row>
    <row r="56" spans="1:33" ht="13">
      <c r="A56" s="1" t="s">
        <v>282</v>
      </c>
      <c r="B56" s="1" t="s">
        <v>34</v>
      </c>
      <c r="C56" s="1" t="s">
        <v>35</v>
      </c>
      <c r="D56" s="1"/>
      <c r="E56" s="6">
        <v>11726</v>
      </c>
      <c r="F56" s="1" t="s">
        <v>84</v>
      </c>
      <c r="G56" s="1">
        <v>1966</v>
      </c>
      <c r="H56" s="1">
        <v>5</v>
      </c>
      <c r="I56" s="7">
        <v>24201</v>
      </c>
      <c r="J56" s="7">
        <v>27638</v>
      </c>
      <c r="K56" s="8" t="s">
        <v>37</v>
      </c>
      <c r="L56" s="9" t="e">
        <f t="shared" ca="1" si="0"/>
        <v>#NAME?</v>
      </c>
      <c r="M56" s="9" t="e">
        <f t="shared" ca="1" si="1"/>
        <v>#NAME?</v>
      </c>
      <c r="N56" s="10" t="e">
        <f t="shared" ca="1" si="2"/>
        <v>#NAME?</v>
      </c>
      <c r="O56" s="1" t="s">
        <v>38</v>
      </c>
      <c r="P56" s="1"/>
      <c r="Q56" s="1" t="s">
        <v>90</v>
      </c>
      <c r="R56" s="1" t="s">
        <v>283</v>
      </c>
      <c r="S56" s="1" t="s">
        <v>117</v>
      </c>
      <c r="T56" s="1" t="s">
        <v>284</v>
      </c>
      <c r="U56" s="1" t="s">
        <v>285</v>
      </c>
      <c r="V56" s="1" t="s">
        <v>49</v>
      </c>
      <c r="W56" s="1" t="s">
        <v>50</v>
      </c>
      <c r="X56" s="1">
        <v>1</v>
      </c>
      <c r="Y56" s="7">
        <v>26140</v>
      </c>
      <c r="Z56" s="7">
        <v>26140</v>
      </c>
      <c r="AA56" s="1">
        <v>295</v>
      </c>
      <c r="AB56" s="1">
        <v>1</v>
      </c>
      <c r="AC56" s="1">
        <v>0.5</v>
      </c>
      <c r="AD56" s="1" t="s">
        <v>246</v>
      </c>
    </row>
    <row r="57" spans="1:33" ht="13">
      <c r="A57" s="1" t="s">
        <v>286</v>
      </c>
      <c r="B57" s="1" t="s">
        <v>34</v>
      </c>
      <c r="C57" s="1" t="s">
        <v>35</v>
      </c>
      <c r="D57" s="1"/>
      <c r="E57" s="6">
        <v>13693</v>
      </c>
      <c r="F57" s="1" t="s">
        <v>124</v>
      </c>
      <c r="G57" s="1">
        <v>1967</v>
      </c>
      <c r="H57" s="1">
        <v>6</v>
      </c>
      <c r="I57" s="7">
        <v>24695</v>
      </c>
      <c r="J57" s="7">
        <v>31229</v>
      </c>
      <c r="K57" s="8" t="s">
        <v>37</v>
      </c>
      <c r="L57" s="9" t="e">
        <f t="shared" ca="1" si="0"/>
        <v>#NAME?</v>
      </c>
      <c r="M57" s="9" t="e">
        <f t="shared" ca="1" si="1"/>
        <v>#NAME?</v>
      </c>
      <c r="N57" s="10" t="e">
        <f t="shared" ca="1" si="2"/>
        <v>#NAME?</v>
      </c>
      <c r="O57" s="1" t="s">
        <v>38</v>
      </c>
      <c r="P57" s="1"/>
      <c r="Q57" s="1" t="s">
        <v>90</v>
      </c>
      <c r="R57" s="1" t="s">
        <v>287</v>
      </c>
      <c r="S57" s="1" t="s">
        <v>288</v>
      </c>
      <c r="T57" s="1" t="s">
        <v>289</v>
      </c>
      <c r="U57" s="1" t="s">
        <v>158</v>
      </c>
      <c r="X57" s="1">
        <v>2</v>
      </c>
      <c r="Y57" s="7">
        <v>30266</v>
      </c>
      <c r="Z57" s="7">
        <v>30994</v>
      </c>
      <c r="AA57" s="1">
        <v>313</v>
      </c>
      <c r="AB57" s="1">
        <v>2</v>
      </c>
      <c r="AC57" s="1">
        <v>12</v>
      </c>
      <c r="AD57" s="1" t="s">
        <v>290</v>
      </c>
    </row>
    <row r="58" spans="1:33" ht="13">
      <c r="A58" s="1" t="s">
        <v>291</v>
      </c>
      <c r="B58" s="1" t="s">
        <v>34</v>
      </c>
      <c r="C58" s="1" t="s">
        <v>35</v>
      </c>
      <c r="D58" s="1"/>
      <c r="E58" s="6">
        <v>12848</v>
      </c>
      <c r="F58" s="1" t="s">
        <v>124</v>
      </c>
      <c r="G58" s="1">
        <v>1967</v>
      </c>
      <c r="H58" s="1">
        <v>6</v>
      </c>
      <c r="I58" s="7">
        <v>24695</v>
      </c>
      <c r="J58" s="7">
        <v>26495</v>
      </c>
      <c r="K58" s="8" t="s">
        <v>37</v>
      </c>
      <c r="L58" s="9" t="e">
        <f t="shared" ca="1" si="0"/>
        <v>#NAME?</v>
      </c>
      <c r="M58" s="9" t="str">
        <f t="shared" si="1"/>
        <v>N/A</v>
      </c>
      <c r="N58" s="10" t="str">
        <f t="shared" si="2"/>
        <v>N/A</v>
      </c>
      <c r="O58" s="1" t="s">
        <v>38</v>
      </c>
      <c r="P58" s="1" t="s">
        <v>292</v>
      </c>
      <c r="Q58" s="1" t="s">
        <v>90</v>
      </c>
      <c r="R58" s="1" t="s">
        <v>293</v>
      </c>
      <c r="S58" s="1" t="s">
        <v>294</v>
      </c>
      <c r="T58" s="1" t="s">
        <v>295</v>
      </c>
      <c r="U58" s="1" t="s">
        <v>296</v>
      </c>
      <c r="X58" s="1">
        <v>0</v>
      </c>
      <c r="Y58" s="7"/>
      <c r="Z58" s="7"/>
      <c r="AA58" s="1">
        <v>0</v>
      </c>
      <c r="AB58" s="1">
        <v>0</v>
      </c>
      <c r="AC58" s="1">
        <v>0</v>
      </c>
      <c r="AG58" s="1" t="s">
        <v>297</v>
      </c>
    </row>
    <row r="59" spans="1:33" ht="13">
      <c r="A59" s="1" t="s">
        <v>298</v>
      </c>
      <c r="B59" s="1" t="s">
        <v>34</v>
      </c>
      <c r="C59" s="1" t="s">
        <v>35</v>
      </c>
      <c r="D59" s="1"/>
      <c r="E59" s="6">
        <v>15476</v>
      </c>
      <c r="F59" s="1" t="s">
        <v>124</v>
      </c>
      <c r="G59" s="1">
        <v>1967</v>
      </c>
      <c r="H59" s="1">
        <v>6</v>
      </c>
      <c r="I59" s="7">
        <v>24695</v>
      </c>
      <c r="J59" s="7">
        <v>32386</v>
      </c>
      <c r="K59" s="8" t="s">
        <v>37</v>
      </c>
      <c r="L59" s="9" t="e">
        <f t="shared" ca="1" si="0"/>
        <v>#NAME?</v>
      </c>
      <c r="M59" s="9" t="e">
        <f t="shared" ca="1" si="1"/>
        <v>#NAME?</v>
      </c>
      <c r="N59" s="10" t="e">
        <f t="shared" ca="1" si="2"/>
        <v>#NAME?</v>
      </c>
      <c r="O59" s="1" t="s">
        <v>38</v>
      </c>
      <c r="P59" s="1"/>
      <c r="Q59" s="1" t="s">
        <v>90</v>
      </c>
      <c r="R59" s="1" t="s">
        <v>299</v>
      </c>
      <c r="S59" s="1" t="s">
        <v>174</v>
      </c>
      <c r="T59" s="1" t="s">
        <v>210</v>
      </c>
      <c r="U59" s="1" t="s">
        <v>300</v>
      </c>
      <c r="X59" s="1">
        <v>1</v>
      </c>
      <c r="Y59" s="7">
        <v>31257</v>
      </c>
      <c r="Z59" s="7">
        <v>31257</v>
      </c>
      <c r="AA59" s="1">
        <v>190</v>
      </c>
      <c r="AB59" s="1">
        <v>0</v>
      </c>
      <c r="AC59" s="1">
        <v>0</v>
      </c>
      <c r="AD59" s="1" t="s">
        <v>301</v>
      </c>
    </row>
    <row r="60" spans="1:33" ht="13">
      <c r="A60" s="1" t="s">
        <v>302</v>
      </c>
      <c r="B60" s="1" t="s">
        <v>34</v>
      </c>
      <c r="C60" s="1" t="s">
        <v>35</v>
      </c>
      <c r="D60" s="1"/>
      <c r="E60" s="6">
        <v>9787</v>
      </c>
      <c r="F60" s="1" t="s">
        <v>124</v>
      </c>
      <c r="G60" s="1">
        <v>1967</v>
      </c>
      <c r="H60" s="1">
        <v>6</v>
      </c>
      <c r="I60" s="7">
        <v>24695</v>
      </c>
      <c r="J60" s="7">
        <v>31517</v>
      </c>
      <c r="K60" s="8" t="s">
        <v>37</v>
      </c>
      <c r="L60" s="9" t="e">
        <f t="shared" ca="1" si="0"/>
        <v>#NAME?</v>
      </c>
      <c r="M60" s="9" t="e">
        <f t="shared" ca="1" si="1"/>
        <v>#NAME?</v>
      </c>
      <c r="N60" s="10" t="e">
        <f t="shared" ca="1" si="2"/>
        <v>#NAME?</v>
      </c>
      <c r="O60" s="1" t="s">
        <v>38</v>
      </c>
      <c r="P60" s="1"/>
      <c r="Q60" s="1" t="s">
        <v>39</v>
      </c>
      <c r="R60" s="1" t="s">
        <v>303</v>
      </c>
      <c r="S60" s="1" t="s">
        <v>304</v>
      </c>
      <c r="T60" s="1" t="s">
        <v>272</v>
      </c>
      <c r="U60" s="1" t="s">
        <v>305</v>
      </c>
      <c r="X60" s="1">
        <v>1</v>
      </c>
      <c r="Y60" s="7">
        <v>31257</v>
      </c>
      <c r="Z60" s="7">
        <v>31257</v>
      </c>
      <c r="AA60" s="1">
        <v>190</v>
      </c>
      <c r="AB60" s="1">
        <v>0</v>
      </c>
      <c r="AC60" s="1">
        <v>0</v>
      </c>
      <c r="AD60" s="1" t="s">
        <v>301</v>
      </c>
      <c r="AE60" s="6">
        <v>34247</v>
      </c>
    </row>
    <row r="61" spans="1:33" ht="13">
      <c r="A61" s="1" t="s">
        <v>306</v>
      </c>
      <c r="B61" s="1" t="s">
        <v>34</v>
      </c>
      <c r="C61" s="1" t="s">
        <v>35</v>
      </c>
      <c r="D61" s="1"/>
      <c r="E61" s="6">
        <v>14342</v>
      </c>
      <c r="F61" s="1" t="s">
        <v>124</v>
      </c>
      <c r="G61" s="1">
        <v>1967</v>
      </c>
      <c r="H61" s="1">
        <v>6</v>
      </c>
      <c r="I61" s="7">
        <v>24695</v>
      </c>
      <c r="J61" s="7">
        <v>26922</v>
      </c>
      <c r="K61" s="8" t="s">
        <v>37</v>
      </c>
      <c r="L61" s="9" t="e">
        <f t="shared" ca="1" si="0"/>
        <v>#NAME?</v>
      </c>
      <c r="M61" s="9" t="str">
        <f t="shared" si="1"/>
        <v>N/A</v>
      </c>
      <c r="N61" s="10" t="str">
        <f t="shared" si="2"/>
        <v>N/A</v>
      </c>
      <c r="O61" s="1" t="s">
        <v>38</v>
      </c>
      <c r="P61" s="1"/>
      <c r="Q61" s="1" t="s">
        <v>90</v>
      </c>
      <c r="R61" s="1" t="s">
        <v>108</v>
      </c>
      <c r="S61" s="1" t="s">
        <v>307</v>
      </c>
      <c r="T61" s="1" t="s">
        <v>139</v>
      </c>
      <c r="U61" s="1" t="s">
        <v>308</v>
      </c>
      <c r="X61" s="1">
        <v>0</v>
      </c>
      <c r="Y61" s="7"/>
      <c r="Z61" s="7"/>
      <c r="AA61" s="1">
        <v>0</v>
      </c>
      <c r="AB61" s="1">
        <v>0</v>
      </c>
      <c r="AC61" s="1">
        <v>0</v>
      </c>
      <c r="AG61" s="1" t="s">
        <v>309</v>
      </c>
    </row>
    <row r="62" spans="1:33" ht="13">
      <c r="A62" s="1" t="s">
        <v>310</v>
      </c>
      <c r="B62" s="1" t="s">
        <v>34</v>
      </c>
      <c r="C62" s="1" t="s">
        <v>35</v>
      </c>
      <c r="D62" s="1"/>
      <c r="E62" s="6">
        <v>14318</v>
      </c>
      <c r="F62" s="1" t="s">
        <v>124</v>
      </c>
      <c r="G62" s="1">
        <v>1967</v>
      </c>
      <c r="H62" s="1">
        <v>6</v>
      </c>
      <c r="I62" s="7">
        <v>24695</v>
      </c>
      <c r="J62" s="7">
        <v>33709</v>
      </c>
      <c r="K62" s="8" t="s">
        <v>37</v>
      </c>
      <c r="L62" s="9" t="e">
        <f t="shared" ca="1" si="0"/>
        <v>#NAME?</v>
      </c>
      <c r="M62" s="9" t="e">
        <f t="shared" ca="1" si="1"/>
        <v>#NAME?</v>
      </c>
      <c r="N62" s="10" t="e">
        <f t="shared" ca="1" si="2"/>
        <v>#NAME?</v>
      </c>
      <c r="O62" s="1" t="s">
        <v>38</v>
      </c>
      <c r="P62" s="1"/>
      <c r="Q62" s="1" t="s">
        <v>39</v>
      </c>
      <c r="R62" s="1" t="s">
        <v>311</v>
      </c>
      <c r="S62" s="1" t="s">
        <v>174</v>
      </c>
      <c r="T62" s="1" t="s">
        <v>139</v>
      </c>
      <c r="U62" s="1" t="s">
        <v>139</v>
      </c>
      <c r="X62" s="1">
        <v>1</v>
      </c>
      <c r="Y62" s="7">
        <v>30266</v>
      </c>
      <c r="Z62" s="7">
        <v>30266</v>
      </c>
      <c r="AA62" s="1">
        <v>122</v>
      </c>
      <c r="AB62" s="1">
        <v>0</v>
      </c>
      <c r="AC62" s="1">
        <v>0</v>
      </c>
      <c r="AD62" s="1" t="s">
        <v>312</v>
      </c>
      <c r="AE62" s="6">
        <v>41147</v>
      </c>
    </row>
    <row r="63" spans="1:33" ht="13">
      <c r="A63" s="1" t="s">
        <v>313</v>
      </c>
      <c r="B63" s="1" t="s">
        <v>34</v>
      </c>
      <c r="C63" s="1" t="s">
        <v>35</v>
      </c>
      <c r="D63" s="1"/>
      <c r="E63" s="6">
        <v>12166</v>
      </c>
      <c r="F63" s="1" t="s">
        <v>124</v>
      </c>
      <c r="G63" s="1">
        <v>1967</v>
      </c>
      <c r="H63" s="1">
        <v>6</v>
      </c>
      <c r="I63" s="7">
        <v>24695</v>
      </c>
      <c r="J63" s="7">
        <v>25096</v>
      </c>
      <c r="K63" s="8" t="s">
        <v>37</v>
      </c>
      <c r="L63" s="9" t="e">
        <f t="shared" ca="1" si="0"/>
        <v>#NAME?</v>
      </c>
      <c r="M63" s="9" t="str">
        <f t="shared" si="1"/>
        <v>N/A</v>
      </c>
      <c r="N63" s="10" t="str">
        <f t="shared" si="2"/>
        <v>N/A</v>
      </c>
      <c r="O63" s="1" t="s">
        <v>38</v>
      </c>
      <c r="P63" s="1"/>
      <c r="Q63" s="1" t="s">
        <v>90</v>
      </c>
      <c r="R63" s="1" t="s">
        <v>314</v>
      </c>
      <c r="S63" s="1" t="s">
        <v>315</v>
      </c>
      <c r="T63" s="1" t="s">
        <v>170</v>
      </c>
      <c r="U63" s="1" t="s">
        <v>170</v>
      </c>
      <c r="X63" s="1">
        <v>0</v>
      </c>
      <c r="Y63" s="7"/>
      <c r="Z63" s="7"/>
      <c r="AA63" s="1">
        <v>0</v>
      </c>
      <c r="AB63" s="1">
        <v>0</v>
      </c>
      <c r="AC63" s="1">
        <v>0</v>
      </c>
      <c r="AG63" s="1" t="s">
        <v>316</v>
      </c>
    </row>
    <row r="64" spans="1:33" ht="13">
      <c r="A64" s="1" t="s">
        <v>317</v>
      </c>
      <c r="B64" s="1" t="s">
        <v>34</v>
      </c>
      <c r="C64" s="1" t="s">
        <v>35</v>
      </c>
      <c r="D64" s="1"/>
      <c r="E64" s="6">
        <v>13015</v>
      </c>
      <c r="F64" s="1" t="s">
        <v>124</v>
      </c>
      <c r="G64" s="1">
        <v>1967</v>
      </c>
      <c r="H64" s="1">
        <v>6</v>
      </c>
      <c r="I64" s="7">
        <v>24695</v>
      </c>
      <c r="J64" s="7">
        <v>35675</v>
      </c>
      <c r="K64" s="8" t="s">
        <v>37</v>
      </c>
      <c r="L64" s="9" t="e">
        <f t="shared" ca="1" si="0"/>
        <v>#NAME?</v>
      </c>
      <c r="M64" s="9" t="e">
        <f t="shared" ca="1" si="1"/>
        <v>#NAME?</v>
      </c>
      <c r="N64" s="10" t="e">
        <f t="shared" ca="1" si="2"/>
        <v>#NAME?</v>
      </c>
      <c r="O64" s="1" t="s">
        <v>38</v>
      </c>
      <c r="P64" s="1"/>
      <c r="Q64" s="1" t="s">
        <v>90</v>
      </c>
      <c r="R64" s="1" t="s">
        <v>258</v>
      </c>
      <c r="S64" s="1" t="s">
        <v>318</v>
      </c>
      <c r="T64" s="1" t="s">
        <v>319</v>
      </c>
      <c r="U64" s="1" t="s">
        <v>320</v>
      </c>
      <c r="X64" s="1">
        <v>6</v>
      </c>
      <c r="Y64" s="7">
        <v>30410</v>
      </c>
      <c r="Z64" s="7">
        <v>35388</v>
      </c>
      <c r="AA64" s="1">
        <v>1281</v>
      </c>
      <c r="AB64" s="1">
        <v>4</v>
      </c>
      <c r="AC64" s="1">
        <v>26</v>
      </c>
      <c r="AD64" s="1" t="s">
        <v>321</v>
      </c>
    </row>
    <row r="65" spans="1:33" ht="13">
      <c r="A65" s="1" t="s">
        <v>322</v>
      </c>
      <c r="B65" s="1" t="s">
        <v>34</v>
      </c>
      <c r="C65" s="1" t="s">
        <v>35</v>
      </c>
      <c r="D65" s="1"/>
      <c r="E65" s="6">
        <v>14637</v>
      </c>
      <c r="F65" s="1" t="s">
        <v>124</v>
      </c>
      <c r="G65" s="1">
        <v>1967</v>
      </c>
      <c r="H65" s="1">
        <v>6</v>
      </c>
      <c r="I65" s="7">
        <v>24695</v>
      </c>
      <c r="J65" s="7">
        <v>24951</v>
      </c>
      <c r="K65" s="8" t="s">
        <v>37</v>
      </c>
      <c r="L65" s="9" t="e">
        <f t="shared" ca="1" si="0"/>
        <v>#NAME?</v>
      </c>
      <c r="M65" s="9" t="str">
        <f t="shared" si="1"/>
        <v>N/A</v>
      </c>
      <c r="N65" s="10" t="str">
        <f t="shared" si="2"/>
        <v>N/A</v>
      </c>
      <c r="O65" s="1" t="s">
        <v>38</v>
      </c>
      <c r="P65" s="1"/>
      <c r="Q65" s="1" t="s">
        <v>39</v>
      </c>
      <c r="R65" s="1" t="s">
        <v>258</v>
      </c>
      <c r="S65" s="1" t="s">
        <v>323</v>
      </c>
      <c r="T65" s="1" t="s">
        <v>158</v>
      </c>
      <c r="U65" s="1" t="s">
        <v>305</v>
      </c>
      <c r="X65" s="1">
        <v>0</v>
      </c>
      <c r="Y65" s="7"/>
      <c r="Z65" s="7"/>
      <c r="AA65" s="1">
        <v>0</v>
      </c>
      <c r="AB65" s="1">
        <v>0</v>
      </c>
      <c r="AC65" s="1">
        <v>0</v>
      </c>
      <c r="AE65" s="6">
        <v>40752</v>
      </c>
      <c r="AG65" s="1" t="s">
        <v>324</v>
      </c>
    </row>
    <row r="66" spans="1:33" ht="13">
      <c r="A66" s="1" t="s">
        <v>325</v>
      </c>
      <c r="B66" s="1" t="s">
        <v>34</v>
      </c>
      <c r="C66" s="1" t="s">
        <v>35</v>
      </c>
      <c r="D66" s="1"/>
      <c r="E66" s="6">
        <v>13498</v>
      </c>
      <c r="F66" s="1" t="s">
        <v>124</v>
      </c>
      <c r="G66" s="1">
        <v>1967</v>
      </c>
      <c r="H66" s="1">
        <v>6</v>
      </c>
      <c r="I66" s="7">
        <v>24695</v>
      </c>
      <c r="J66" s="7">
        <v>38595</v>
      </c>
      <c r="K66" s="8" t="s">
        <v>37</v>
      </c>
      <c r="L66" s="9" t="e">
        <f t="shared" ca="1" si="0"/>
        <v>#NAME?</v>
      </c>
      <c r="M66" s="9" t="e">
        <f t="shared" ca="1" si="1"/>
        <v>#NAME?</v>
      </c>
      <c r="N66" s="10" t="e">
        <f t="shared" ca="1" si="2"/>
        <v>#NAME?</v>
      </c>
      <c r="O66" s="1" t="s">
        <v>38</v>
      </c>
      <c r="P66" s="1"/>
      <c r="Q66" s="1" t="s">
        <v>90</v>
      </c>
      <c r="R66" s="1" t="s">
        <v>326</v>
      </c>
      <c r="S66" s="1" t="s">
        <v>327</v>
      </c>
      <c r="T66" s="1" t="s">
        <v>328</v>
      </c>
      <c r="U66" s="1" t="s">
        <v>305</v>
      </c>
      <c r="X66" s="1">
        <v>2</v>
      </c>
      <c r="Y66" s="7">
        <v>30648</v>
      </c>
      <c r="Z66" s="7">
        <v>33209</v>
      </c>
      <c r="AA66" s="1">
        <v>462</v>
      </c>
      <c r="AB66" s="1">
        <v>0</v>
      </c>
      <c r="AC66" s="1">
        <v>0</v>
      </c>
      <c r="AD66" s="1" t="s">
        <v>329</v>
      </c>
    </row>
    <row r="67" spans="1:33" ht="13">
      <c r="A67" s="1" t="s">
        <v>330</v>
      </c>
      <c r="B67" s="1" t="s">
        <v>34</v>
      </c>
      <c r="C67" s="1" t="s">
        <v>35</v>
      </c>
      <c r="D67" s="1"/>
      <c r="E67" s="6">
        <v>10697</v>
      </c>
      <c r="F67" s="1" t="s">
        <v>124</v>
      </c>
      <c r="G67" s="1">
        <v>1967</v>
      </c>
      <c r="H67" s="1">
        <v>6</v>
      </c>
      <c r="I67" s="7">
        <v>24695</v>
      </c>
      <c r="J67" s="7">
        <v>34485</v>
      </c>
      <c r="K67" s="8" t="s">
        <v>37</v>
      </c>
      <c r="L67" s="9" t="e">
        <f t="shared" ca="1" si="0"/>
        <v>#NAME?</v>
      </c>
      <c r="M67" s="9" t="e">
        <f t="shared" ca="1" si="1"/>
        <v>#NAME?</v>
      </c>
      <c r="N67" s="10" t="e">
        <f t="shared" ca="1" si="2"/>
        <v>#NAME?</v>
      </c>
      <c r="O67" s="1" t="s">
        <v>38</v>
      </c>
      <c r="P67" s="1"/>
      <c r="Q67" s="1" t="s">
        <v>90</v>
      </c>
      <c r="R67" s="1" t="s">
        <v>331</v>
      </c>
      <c r="S67" s="1" t="s">
        <v>332</v>
      </c>
      <c r="T67" s="1" t="s">
        <v>158</v>
      </c>
      <c r="U67" s="1" t="s">
        <v>201</v>
      </c>
      <c r="X67" s="1">
        <v>2</v>
      </c>
      <c r="Y67" s="7">
        <v>30558</v>
      </c>
      <c r="Z67" s="7">
        <v>31166</v>
      </c>
      <c r="AA67" s="1">
        <v>315</v>
      </c>
      <c r="AB67" s="1">
        <v>0</v>
      </c>
      <c r="AC67" s="1">
        <v>0</v>
      </c>
      <c r="AD67" s="1" t="s">
        <v>333</v>
      </c>
    </row>
    <row r="68" spans="1:33" ht="13">
      <c r="A68" s="1" t="s">
        <v>334</v>
      </c>
      <c r="B68" s="1" t="s">
        <v>34</v>
      </c>
      <c r="C68" s="1" t="s">
        <v>35</v>
      </c>
      <c r="D68" s="1"/>
      <c r="E68" s="6">
        <v>13872</v>
      </c>
      <c r="F68" s="1" t="s">
        <v>84</v>
      </c>
      <c r="G68" s="1">
        <v>1969</v>
      </c>
      <c r="H68" s="1">
        <v>7</v>
      </c>
      <c r="I68" s="7">
        <v>25429</v>
      </c>
      <c r="J68" s="7">
        <v>32157</v>
      </c>
      <c r="K68" s="8" t="s">
        <v>37</v>
      </c>
      <c r="L68" s="9" t="e">
        <f t="shared" ca="1" si="0"/>
        <v>#NAME?</v>
      </c>
      <c r="M68" s="9" t="e">
        <f t="shared" ca="1" si="1"/>
        <v>#NAME?</v>
      </c>
      <c r="N68" s="10" t="e">
        <f t="shared" ca="1" si="2"/>
        <v>#NAME?</v>
      </c>
      <c r="O68" s="1" t="s">
        <v>38</v>
      </c>
      <c r="P68" s="1"/>
      <c r="Q68" s="1" t="s">
        <v>90</v>
      </c>
      <c r="R68" s="1" t="s">
        <v>326</v>
      </c>
      <c r="S68" s="1" t="s">
        <v>335</v>
      </c>
      <c r="U68" s="1" t="s">
        <v>87</v>
      </c>
      <c r="V68" s="1" t="s">
        <v>49</v>
      </c>
      <c r="W68" s="1" t="s">
        <v>50</v>
      </c>
      <c r="X68" s="1">
        <v>3</v>
      </c>
      <c r="Y68" s="7">
        <v>30410</v>
      </c>
      <c r="Z68" s="7">
        <v>31323</v>
      </c>
      <c r="AA68" s="1">
        <v>386</v>
      </c>
      <c r="AB68" s="1">
        <v>0</v>
      </c>
      <c r="AC68" s="1">
        <v>0</v>
      </c>
      <c r="AD68" s="1" t="s">
        <v>336</v>
      </c>
    </row>
    <row r="69" spans="1:33" ht="13">
      <c r="A69" s="1" t="s">
        <v>337</v>
      </c>
      <c r="B69" s="1" t="s">
        <v>34</v>
      </c>
      <c r="C69" s="1" t="s">
        <v>35</v>
      </c>
      <c r="D69" s="1"/>
      <c r="E69" s="6">
        <v>13769</v>
      </c>
      <c r="F69" s="1" t="s">
        <v>36</v>
      </c>
      <c r="G69" s="1">
        <v>1969</v>
      </c>
      <c r="H69" s="1">
        <v>7</v>
      </c>
      <c r="I69" s="7">
        <v>25429</v>
      </c>
      <c r="J69" s="7">
        <v>34714</v>
      </c>
      <c r="K69" s="8" t="s">
        <v>37</v>
      </c>
      <c r="L69" s="9" t="e">
        <f t="shared" ca="1" si="0"/>
        <v>#NAME?</v>
      </c>
      <c r="M69" s="9" t="e">
        <f t="shared" ca="1" si="1"/>
        <v>#NAME?</v>
      </c>
      <c r="N69" s="10" t="e">
        <f t="shared" ca="1" si="2"/>
        <v>#NAME?</v>
      </c>
      <c r="O69" s="1" t="s">
        <v>38</v>
      </c>
      <c r="P69" s="1"/>
      <c r="Q69" s="1" t="s">
        <v>90</v>
      </c>
      <c r="R69" s="1" t="s">
        <v>338</v>
      </c>
      <c r="S69" s="1" t="s">
        <v>142</v>
      </c>
      <c r="T69" s="1" t="s">
        <v>87</v>
      </c>
      <c r="V69" s="1" t="s">
        <v>71</v>
      </c>
      <c r="W69" s="1" t="s">
        <v>44</v>
      </c>
      <c r="X69" s="1">
        <v>4</v>
      </c>
      <c r="Y69" s="7">
        <v>29688</v>
      </c>
      <c r="Z69" s="7">
        <v>30960</v>
      </c>
      <c r="AA69" s="1">
        <v>565</v>
      </c>
      <c r="AB69" s="1">
        <v>0</v>
      </c>
      <c r="AC69" s="1">
        <v>0</v>
      </c>
      <c r="AD69" s="1" t="s">
        <v>339</v>
      </c>
    </row>
    <row r="70" spans="1:33" ht="13">
      <c r="A70" s="1" t="s">
        <v>340</v>
      </c>
      <c r="B70" s="1" t="s">
        <v>34</v>
      </c>
      <c r="C70" s="1" t="s">
        <v>35</v>
      </c>
      <c r="D70" s="1"/>
      <c r="E70" s="6">
        <v>13434</v>
      </c>
      <c r="F70" s="1" t="s">
        <v>84</v>
      </c>
      <c r="G70" s="1">
        <v>1969</v>
      </c>
      <c r="H70" s="1">
        <v>7</v>
      </c>
      <c r="I70" s="7">
        <v>25429</v>
      </c>
      <c r="J70" s="7">
        <v>39447</v>
      </c>
      <c r="K70" s="8" t="s">
        <v>37</v>
      </c>
      <c r="L70" s="9" t="e">
        <f t="shared" ca="1" si="0"/>
        <v>#NAME?</v>
      </c>
      <c r="M70" s="9" t="e">
        <f t="shared" ca="1" si="1"/>
        <v>#NAME?</v>
      </c>
      <c r="N70" s="10" t="e">
        <f t="shared" ca="1" si="2"/>
        <v>#NAME?</v>
      </c>
      <c r="O70" s="1" t="s">
        <v>38</v>
      </c>
      <c r="P70" s="1"/>
      <c r="Q70" s="1" t="s">
        <v>90</v>
      </c>
      <c r="R70" s="1" t="s">
        <v>341</v>
      </c>
      <c r="S70" s="1" t="s">
        <v>205</v>
      </c>
      <c r="T70" s="1" t="s">
        <v>62</v>
      </c>
      <c r="U70" s="1" t="s">
        <v>62</v>
      </c>
      <c r="V70" s="1" t="s">
        <v>49</v>
      </c>
      <c r="W70" s="1" t="s">
        <v>50</v>
      </c>
      <c r="X70" s="1">
        <v>2</v>
      </c>
      <c r="Y70" s="7">
        <v>30032</v>
      </c>
      <c r="Z70" s="7">
        <v>31257</v>
      </c>
      <c r="AA70" s="1">
        <v>382</v>
      </c>
      <c r="AB70" s="1">
        <v>0</v>
      </c>
      <c r="AC70" s="1">
        <v>0</v>
      </c>
      <c r="AD70" s="1" t="s">
        <v>342</v>
      </c>
    </row>
    <row r="71" spans="1:33" ht="13">
      <c r="A71" s="1" t="s">
        <v>343</v>
      </c>
      <c r="B71" s="1" t="s">
        <v>34</v>
      </c>
      <c r="C71" s="1" t="s">
        <v>35</v>
      </c>
      <c r="D71" s="1"/>
      <c r="E71" s="6">
        <v>12379</v>
      </c>
      <c r="F71" s="1" t="s">
        <v>84</v>
      </c>
      <c r="G71" s="1">
        <v>1969</v>
      </c>
      <c r="H71" s="1">
        <v>7</v>
      </c>
      <c r="I71" s="7">
        <v>25429</v>
      </c>
      <c r="J71" s="7">
        <v>35869</v>
      </c>
      <c r="K71" s="8" t="s">
        <v>37</v>
      </c>
      <c r="L71" s="9" t="e">
        <f t="shared" ca="1" si="0"/>
        <v>#NAME?</v>
      </c>
      <c r="M71" s="9" t="e">
        <f t="shared" ca="1" si="1"/>
        <v>#NAME?</v>
      </c>
      <c r="N71" s="10" t="e">
        <f t="shared" ca="1" si="2"/>
        <v>#NAME?</v>
      </c>
      <c r="O71" s="1" t="s">
        <v>38</v>
      </c>
      <c r="P71" s="1"/>
      <c r="Q71" s="1" t="s">
        <v>90</v>
      </c>
      <c r="R71" s="1" t="s">
        <v>344</v>
      </c>
      <c r="S71" s="1" t="s">
        <v>345</v>
      </c>
      <c r="T71" s="1" t="s">
        <v>158</v>
      </c>
      <c r="U71" s="1" t="s">
        <v>346</v>
      </c>
      <c r="V71" s="1" t="s">
        <v>49</v>
      </c>
      <c r="W71" s="1" t="s">
        <v>50</v>
      </c>
      <c r="X71" s="1">
        <v>3</v>
      </c>
      <c r="Y71" s="7">
        <v>30129</v>
      </c>
      <c r="Z71" s="7">
        <v>31350</v>
      </c>
      <c r="AA71" s="1">
        <v>482</v>
      </c>
      <c r="AB71" s="1">
        <v>0</v>
      </c>
      <c r="AC71" s="1">
        <v>0</v>
      </c>
      <c r="AD71" s="1" t="s">
        <v>347</v>
      </c>
    </row>
    <row r="72" spans="1:33" ht="13">
      <c r="A72" s="1" t="s">
        <v>348</v>
      </c>
      <c r="B72" s="1" t="s">
        <v>34</v>
      </c>
      <c r="C72" s="1" t="s">
        <v>35</v>
      </c>
      <c r="D72" s="1"/>
      <c r="E72" s="6">
        <v>13345</v>
      </c>
      <c r="F72" s="1" t="s">
        <v>84</v>
      </c>
      <c r="G72" s="1">
        <v>1969</v>
      </c>
      <c r="H72" s="1">
        <v>7</v>
      </c>
      <c r="I72" s="7">
        <v>25429</v>
      </c>
      <c r="J72" s="7">
        <v>31547</v>
      </c>
      <c r="K72" s="8" t="s">
        <v>37</v>
      </c>
      <c r="L72" s="9" t="e">
        <f t="shared" ca="1" si="0"/>
        <v>#NAME?</v>
      </c>
      <c r="M72" s="9" t="e">
        <f t="shared" ca="1" si="1"/>
        <v>#NAME?</v>
      </c>
      <c r="N72" s="10" t="e">
        <f t="shared" ca="1" si="2"/>
        <v>#NAME?</v>
      </c>
      <c r="O72" s="1" t="s">
        <v>38</v>
      </c>
      <c r="P72" s="1"/>
      <c r="Q72" s="1" t="s">
        <v>39</v>
      </c>
      <c r="R72" s="1" t="s">
        <v>349</v>
      </c>
      <c r="S72" s="1" t="s">
        <v>350</v>
      </c>
      <c r="T72" s="1" t="s">
        <v>158</v>
      </c>
      <c r="U72" s="1" t="s">
        <v>228</v>
      </c>
      <c r="V72" s="1" t="s">
        <v>49</v>
      </c>
      <c r="W72" s="1" t="s">
        <v>56</v>
      </c>
      <c r="X72" s="1">
        <v>2</v>
      </c>
      <c r="Y72" s="7">
        <v>30266</v>
      </c>
      <c r="Z72" s="7">
        <v>31166</v>
      </c>
      <c r="AA72" s="1">
        <v>290</v>
      </c>
      <c r="AB72" s="1">
        <v>0</v>
      </c>
      <c r="AC72" s="1">
        <v>0</v>
      </c>
      <c r="AD72" s="1" t="s">
        <v>351</v>
      </c>
      <c r="AE72" s="6">
        <v>35146</v>
      </c>
    </row>
    <row r="73" spans="1:33" ht="13">
      <c r="A73" s="1" t="s">
        <v>352</v>
      </c>
      <c r="B73" s="1" t="s">
        <v>34</v>
      </c>
      <c r="C73" s="1" t="s">
        <v>35</v>
      </c>
      <c r="D73" s="1"/>
      <c r="E73" s="6">
        <v>12349</v>
      </c>
      <c r="F73" s="1" t="s">
        <v>84</v>
      </c>
      <c r="G73" s="1">
        <v>1969</v>
      </c>
      <c r="H73" s="1">
        <v>7</v>
      </c>
      <c r="I73" s="7">
        <v>25429</v>
      </c>
      <c r="J73" s="7">
        <v>31001</v>
      </c>
      <c r="K73" s="8" t="s">
        <v>37</v>
      </c>
      <c r="L73" s="9" t="e">
        <f t="shared" ca="1" si="0"/>
        <v>#NAME?</v>
      </c>
      <c r="M73" s="9" t="e">
        <f t="shared" ca="1" si="1"/>
        <v>#NAME?</v>
      </c>
      <c r="N73" s="10" t="e">
        <f t="shared" ca="1" si="2"/>
        <v>#NAME?</v>
      </c>
      <c r="O73" s="1" t="s">
        <v>38</v>
      </c>
      <c r="P73" s="1"/>
      <c r="Q73" s="1" t="s">
        <v>90</v>
      </c>
      <c r="R73" s="1" t="s">
        <v>353</v>
      </c>
      <c r="S73" s="1" t="s">
        <v>354</v>
      </c>
      <c r="U73" s="1" t="s">
        <v>132</v>
      </c>
      <c r="V73" s="1" t="s">
        <v>49</v>
      </c>
      <c r="W73" s="1" t="s">
        <v>50</v>
      </c>
      <c r="X73" s="1">
        <v>1</v>
      </c>
      <c r="Y73" s="7">
        <v>30410</v>
      </c>
      <c r="Z73" s="7">
        <v>30410</v>
      </c>
      <c r="AA73" s="1">
        <v>120</v>
      </c>
      <c r="AB73" s="1">
        <v>1</v>
      </c>
      <c r="AC73" s="1">
        <v>4</v>
      </c>
      <c r="AD73" s="1" t="s">
        <v>355</v>
      </c>
    </row>
    <row r="74" spans="1:33" ht="13">
      <c r="A74" s="1" t="s">
        <v>356</v>
      </c>
      <c r="B74" s="1" t="s">
        <v>34</v>
      </c>
      <c r="C74" s="1" t="s">
        <v>35</v>
      </c>
      <c r="D74" s="1"/>
      <c r="E74" s="6">
        <v>13831</v>
      </c>
      <c r="F74" s="1" t="s">
        <v>36</v>
      </c>
      <c r="G74" s="1">
        <v>1969</v>
      </c>
      <c r="H74" s="1">
        <v>7</v>
      </c>
      <c r="I74" s="7">
        <v>25429</v>
      </c>
      <c r="J74" s="7">
        <v>33739</v>
      </c>
      <c r="K74" s="8" t="s">
        <v>37</v>
      </c>
      <c r="L74" s="9" t="e">
        <f t="shared" ca="1" si="0"/>
        <v>#NAME?</v>
      </c>
      <c r="M74" s="9" t="e">
        <f t="shared" ca="1" si="1"/>
        <v>#NAME?</v>
      </c>
      <c r="N74" s="10" t="e">
        <f t="shared" ca="1" si="2"/>
        <v>#NAME?</v>
      </c>
      <c r="O74" s="1" t="s">
        <v>38</v>
      </c>
      <c r="P74" s="1"/>
      <c r="Q74" s="1" t="s">
        <v>90</v>
      </c>
      <c r="R74" s="1" t="s">
        <v>357</v>
      </c>
      <c r="S74" s="1" t="s">
        <v>121</v>
      </c>
      <c r="T74" s="1" t="s">
        <v>42</v>
      </c>
      <c r="V74" s="1" t="s">
        <v>358</v>
      </c>
      <c r="W74" s="1" t="s">
        <v>44</v>
      </c>
      <c r="X74" s="1">
        <v>2</v>
      </c>
      <c r="Y74" s="7">
        <v>28349</v>
      </c>
      <c r="Z74" s="7">
        <v>30558</v>
      </c>
      <c r="AA74" s="1">
        <v>199</v>
      </c>
      <c r="AB74" s="1">
        <v>0</v>
      </c>
      <c r="AC74" s="1">
        <v>0</v>
      </c>
      <c r="AD74" s="1" t="s">
        <v>359</v>
      </c>
    </row>
    <row r="75" spans="1:33" ht="13">
      <c r="A75" s="1" t="s">
        <v>360</v>
      </c>
      <c r="B75" s="1" t="s">
        <v>34</v>
      </c>
      <c r="C75" s="1" t="s">
        <v>361</v>
      </c>
      <c r="D75" s="1"/>
      <c r="E75" s="6">
        <v>15667</v>
      </c>
      <c r="F75" s="1" t="s">
        <v>124</v>
      </c>
      <c r="G75" s="1">
        <v>1978</v>
      </c>
      <c r="H75" s="1">
        <v>8</v>
      </c>
      <c r="I75" s="7">
        <v>28506</v>
      </c>
      <c r="J75" s="7">
        <v>34165</v>
      </c>
      <c r="K75" s="8" t="s">
        <v>37</v>
      </c>
      <c r="L75" s="9" t="e">
        <f t="shared" ca="1" si="0"/>
        <v>#NAME?</v>
      </c>
      <c r="M75" s="9" t="e">
        <f t="shared" ca="1" si="1"/>
        <v>#NAME?</v>
      </c>
      <c r="N75" s="10" t="e">
        <f t="shared" ca="1" si="2"/>
        <v>#NAME?</v>
      </c>
      <c r="O75" s="1" t="s">
        <v>38</v>
      </c>
      <c r="P75" s="1"/>
      <c r="Q75" s="1" t="s">
        <v>90</v>
      </c>
      <c r="R75" s="1" t="s">
        <v>95</v>
      </c>
      <c r="S75" s="1" t="s">
        <v>362</v>
      </c>
      <c r="T75" s="1" t="s">
        <v>87</v>
      </c>
      <c r="U75" s="1" t="s">
        <v>363</v>
      </c>
      <c r="V75" s="1" t="s">
        <v>49</v>
      </c>
      <c r="W75" s="1" t="s">
        <v>50</v>
      </c>
      <c r="X75" s="1">
        <v>4</v>
      </c>
      <c r="Y75" s="7">
        <v>30558</v>
      </c>
      <c r="Z75" s="7">
        <v>33940</v>
      </c>
      <c r="AA75" s="1">
        <v>689</v>
      </c>
      <c r="AB75" s="1">
        <v>0</v>
      </c>
      <c r="AC75" s="1">
        <v>0</v>
      </c>
      <c r="AD75" s="1" t="s">
        <v>364</v>
      </c>
    </row>
    <row r="76" spans="1:33" ht="13">
      <c r="A76" s="1" t="s">
        <v>365</v>
      </c>
      <c r="B76" s="1" t="s">
        <v>34</v>
      </c>
      <c r="C76" s="1" t="s">
        <v>35</v>
      </c>
      <c r="D76" s="1"/>
      <c r="E76" s="6">
        <v>15723</v>
      </c>
      <c r="F76" s="1" t="s">
        <v>36</v>
      </c>
      <c r="G76" s="1">
        <v>1978</v>
      </c>
      <c r="H76" s="1">
        <v>8</v>
      </c>
      <c r="I76" s="7">
        <v>28506</v>
      </c>
      <c r="J76" s="7">
        <v>33892</v>
      </c>
      <c r="K76" s="8" t="s">
        <v>37</v>
      </c>
      <c r="L76" s="9" t="e">
        <f t="shared" ca="1" si="0"/>
        <v>#NAME?</v>
      </c>
      <c r="M76" s="9" t="e">
        <f t="shared" ca="1" si="1"/>
        <v>#NAME?</v>
      </c>
      <c r="N76" s="10" t="e">
        <f t="shared" ca="1" si="2"/>
        <v>#NAME?</v>
      </c>
      <c r="O76" s="1" t="s">
        <v>38</v>
      </c>
      <c r="P76" s="1"/>
      <c r="Q76" s="1" t="s">
        <v>90</v>
      </c>
      <c r="R76" s="1" t="s">
        <v>366</v>
      </c>
      <c r="S76" s="1" t="s">
        <v>367</v>
      </c>
      <c r="T76" s="1" t="s">
        <v>289</v>
      </c>
      <c r="V76" s="1" t="s">
        <v>71</v>
      </c>
      <c r="W76" s="1" t="s">
        <v>44</v>
      </c>
      <c r="X76" s="1">
        <v>4</v>
      </c>
      <c r="Y76" s="7">
        <v>30558</v>
      </c>
      <c r="Z76" s="7">
        <v>33731</v>
      </c>
      <c r="AA76" s="1">
        <v>789</v>
      </c>
      <c r="AB76" s="1">
        <v>0</v>
      </c>
      <c r="AC76" s="1">
        <v>0</v>
      </c>
      <c r="AD76" s="1" t="s">
        <v>368</v>
      </c>
    </row>
    <row r="77" spans="1:33" ht="13">
      <c r="A77" s="1" t="s">
        <v>369</v>
      </c>
      <c r="B77" s="1" t="s">
        <v>34</v>
      </c>
      <c r="C77" s="1" t="s">
        <v>35</v>
      </c>
      <c r="D77" s="1"/>
      <c r="E77" s="6">
        <v>16608</v>
      </c>
      <c r="F77" s="1" t="s">
        <v>84</v>
      </c>
      <c r="G77" s="1">
        <v>1978</v>
      </c>
      <c r="H77" s="1">
        <v>8</v>
      </c>
      <c r="I77" s="7">
        <v>28506</v>
      </c>
      <c r="J77" s="7">
        <v>33848</v>
      </c>
      <c r="K77" s="8" t="s">
        <v>37</v>
      </c>
      <c r="L77" s="9" t="e">
        <f t="shared" ca="1" si="0"/>
        <v>#NAME?</v>
      </c>
      <c r="M77" s="9" t="e">
        <f t="shared" ca="1" si="1"/>
        <v>#NAME?</v>
      </c>
      <c r="N77" s="10" t="e">
        <f t="shared" ca="1" si="2"/>
        <v>#NAME?</v>
      </c>
      <c r="O77" s="1" t="s">
        <v>38</v>
      </c>
      <c r="P77" s="1"/>
      <c r="Q77" s="1" t="s">
        <v>90</v>
      </c>
      <c r="R77" s="1" t="s">
        <v>370</v>
      </c>
      <c r="S77" s="1" t="s">
        <v>371</v>
      </c>
      <c r="T77" s="1" t="s">
        <v>42</v>
      </c>
      <c r="U77" s="1" t="s">
        <v>372</v>
      </c>
      <c r="V77" s="1" t="s">
        <v>49</v>
      </c>
      <c r="W77" s="1" t="s">
        <v>56</v>
      </c>
      <c r="X77" s="1">
        <v>4</v>
      </c>
      <c r="Y77" s="7">
        <v>31071</v>
      </c>
      <c r="Z77" s="7">
        <v>33493</v>
      </c>
      <c r="AA77" s="1">
        <v>490</v>
      </c>
      <c r="AB77" s="1">
        <v>0</v>
      </c>
      <c r="AC77" s="1">
        <v>0</v>
      </c>
      <c r="AD77" s="1" t="s">
        <v>373</v>
      </c>
    </row>
    <row r="78" spans="1:33" ht="13">
      <c r="A78" s="1" t="s">
        <v>374</v>
      </c>
      <c r="B78" s="1" t="s">
        <v>34</v>
      </c>
      <c r="C78" s="1" t="s">
        <v>35</v>
      </c>
      <c r="D78" s="1"/>
      <c r="E78" s="6">
        <v>16818</v>
      </c>
      <c r="F78" s="1" t="s">
        <v>84</v>
      </c>
      <c r="G78" s="1">
        <v>1978</v>
      </c>
      <c r="H78" s="1">
        <v>8</v>
      </c>
      <c r="I78" s="7">
        <v>28506</v>
      </c>
      <c r="J78" s="7">
        <v>33451</v>
      </c>
      <c r="K78" s="8" t="s">
        <v>37</v>
      </c>
      <c r="L78" s="9" t="e">
        <f t="shared" ca="1" si="0"/>
        <v>#NAME?</v>
      </c>
      <c r="M78" s="9" t="e">
        <f t="shared" ca="1" si="1"/>
        <v>#NAME?</v>
      </c>
      <c r="N78" s="10" t="e">
        <f t="shared" ca="1" si="2"/>
        <v>#NAME?</v>
      </c>
      <c r="O78" s="1" t="s">
        <v>38</v>
      </c>
      <c r="P78" s="1"/>
      <c r="Q78" s="1" t="s">
        <v>90</v>
      </c>
      <c r="R78" s="1" t="s">
        <v>375</v>
      </c>
      <c r="S78" s="1" t="s">
        <v>376</v>
      </c>
      <c r="U78" s="1" t="s">
        <v>377</v>
      </c>
      <c r="V78" s="1" t="s">
        <v>71</v>
      </c>
      <c r="W78" s="1" t="s">
        <v>44</v>
      </c>
      <c r="X78" s="1">
        <v>3</v>
      </c>
      <c r="Y78" s="7">
        <v>30924</v>
      </c>
      <c r="Z78" s="7">
        <v>33356</v>
      </c>
      <c r="AA78" s="1">
        <v>463</v>
      </c>
      <c r="AB78" s="1">
        <v>0</v>
      </c>
      <c r="AC78" s="1">
        <v>0</v>
      </c>
      <c r="AD78" s="1" t="s">
        <v>378</v>
      </c>
    </row>
    <row r="79" spans="1:33" ht="13">
      <c r="A79" s="1" t="s">
        <v>379</v>
      </c>
      <c r="B79" s="1" t="s">
        <v>34</v>
      </c>
      <c r="C79" s="1" t="s">
        <v>35</v>
      </c>
      <c r="D79" s="1"/>
      <c r="E79" s="6">
        <v>17015</v>
      </c>
      <c r="F79" s="1" t="s">
        <v>84</v>
      </c>
      <c r="G79" s="1">
        <v>1978</v>
      </c>
      <c r="H79" s="1">
        <v>8</v>
      </c>
      <c r="I79" s="7">
        <v>28506</v>
      </c>
      <c r="J79" s="7">
        <v>34547</v>
      </c>
      <c r="K79" s="8" t="s">
        <v>37</v>
      </c>
      <c r="L79" s="9" t="e">
        <f t="shared" ca="1" si="0"/>
        <v>#NAME?</v>
      </c>
      <c r="M79" s="9" t="e">
        <f t="shared" ca="1" si="1"/>
        <v>#NAME?</v>
      </c>
      <c r="N79" s="10" t="e">
        <f t="shared" ca="1" si="2"/>
        <v>#NAME?</v>
      </c>
      <c r="O79" s="1" t="s">
        <v>38</v>
      </c>
      <c r="P79" s="1"/>
      <c r="Q79" s="1" t="s">
        <v>90</v>
      </c>
      <c r="R79" s="1" t="s">
        <v>380</v>
      </c>
      <c r="S79" s="1" t="s">
        <v>381</v>
      </c>
      <c r="T79" s="1" t="s">
        <v>346</v>
      </c>
      <c r="U79" s="1" t="s">
        <v>175</v>
      </c>
      <c r="V79" s="1" t="s">
        <v>49</v>
      </c>
      <c r="W79" s="1" t="s">
        <v>50</v>
      </c>
      <c r="X79" s="1">
        <v>4</v>
      </c>
      <c r="Y79" s="7">
        <v>31286</v>
      </c>
      <c r="Z79" s="7">
        <v>34305</v>
      </c>
      <c r="AA79" s="1">
        <v>645</v>
      </c>
      <c r="AB79" s="1">
        <v>0</v>
      </c>
      <c r="AC79" s="1">
        <v>0</v>
      </c>
      <c r="AD79" s="1" t="s">
        <v>382</v>
      </c>
    </row>
    <row r="80" spans="1:33" ht="13">
      <c r="A80" s="1" t="s">
        <v>383</v>
      </c>
      <c r="B80" s="1" t="s">
        <v>34</v>
      </c>
      <c r="C80" s="1" t="s">
        <v>35</v>
      </c>
      <c r="D80" s="1"/>
      <c r="E80" s="6">
        <v>15824</v>
      </c>
      <c r="F80" s="1" t="s">
        <v>84</v>
      </c>
      <c r="G80" s="1">
        <v>1978</v>
      </c>
      <c r="H80" s="1">
        <v>8</v>
      </c>
      <c r="I80" s="7">
        <v>28506</v>
      </c>
      <c r="J80" s="7">
        <v>33786</v>
      </c>
      <c r="K80" s="8" t="s">
        <v>37</v>
      </c>
      <c r="L80" s="9" t="e">
        <f t="shared" ca="1" si="0"/>
        <v>#NAME?</v>
      </c>
      <c r="M80" s="9" t="e">
        <f t="shared" ca="1" si="1"/>
        <v>#NAME?</v>
      </c>
      <c r="N80" s="10" t="e">
        <f t="shared" ca="1" si="2"/>
        <v>#NAME?</v>
      </c>
      <c r="O80" s="1" t="s">
        <v>38</v>
      </c>
      <c r="P80" s="1"/>
      <c r="Q80" s="1" t="s">
        <v>90</v>
      </c>
      <c r="R80" s="1" t="s">
        <v>384</v>
      </c>
      <c r="S80" s="1" t="s">
        <v>385</v>
      </c>
      <c r="U80" s="1" t="s">
        <v>386</v>
      </c>
      <c r="V80" s="1" t="s">
        <v>71</v>
      </c>
      <c r="W80" s="1" t="s">
        <v>44</v>
      </c>
      <c r="X80" s="1">
        <v>3</v>
      </c>
      <c r="Y80" s="7">
        <v>31215</v>
      </c>
      <c r="Z80" s="7">
        <v>33493</v>
      </c>
      <c r="AA80" s="1">
        <v>404</v>
      </c>
      <c r="AB80" s="1">
        <v>0</v>
      </c>
      <c r="AC80" s="1">
        <v>0</v>
      </c>
      <c r="AD80" s="1" t="s">
        <v>387</v>
      </c>
    </row>
    <row r="81" spans="1:39" ht="13">
      <c r="A81" s="1" t="s">
        <v>388</v>
      </c>
      <c r="B81" s="1" t="s">
        <v>34</v>
      </c>
      <c r="C81" s="1" t="s">
        <v>35</v>
      </c>
      <c r="D81" s="1"/>
      <c r="E81" s="6">
        <v>14273</v>
      </c>
      <c r="F81" s="1" t="s">
        <v>124</v>
      </c>
      <c r="G81" s="1">
        <v>1978</v>
      </c>
      <c r="H81" s="1">
        <v>8</v>
      </c>
      <c r="I81" s="7">
        <v>28506</v>
      </c>
      <c r="J81" s="7">
        <v>31413</v>
      </c>
      <c r="K81" s="8" t="s">
        <v>37</v>
      </c>
      <c r="L81" s="9" t="e">
        <f t="shared" ca="1" si="0"/>
        <v>#NAME?</v>
      </c>
      <c r="M81" s="9" t="e">
        <f t="shared" ca="1" si="1"/>
        <v>#NAME?</v>
      </c>
      <c r="N81" s="10" t="e">
        <f t="shared" ca="1" si="2"/>
        <v>#NAME?</v>
      </c>
      <c r="O81" s="1" t="s">
        <v>38</v>
      </c>
      <c r="P81" s="1"/>
      <c r="Q81" s="1" t="s">
        <v>90</v>
      </c>
      <c r="R81" s="1" t="s">
        <v>389</v>
      </c>
      <c r="S81" s="1" t="s">
        <v>390</v>
      </c>
      <c r="T81" s="1" t="s">
        <v>62</v>
      </c>
      <c r="U81" s="1" t="s">
        <v>391</v>
      </c>
      <c r="V81" s="1" t="s">
        <v>49</v>
      </c>
      <c r="W81" s="1" t="s">
        <v>50</v>
      </c>
      <c r="X81" s="1">
        <v>2</v>
      </c>
      <c r="Y81" s="7">
        <v>30485</v>
      </c>
      <c r="Z81" s="7">
        <v>31215</v>
      </c>
      <c r="AA81" s="1">
        <v>316</v>
      </c>
      <c r="AB81" s="1">
        <v>0</v>
      </c>
      <c r="AC81" s="1">
        <v>0</v>
      </c>
      <c r="AD81" s="1" t="s">
        <v>392</v>
      </c>
    </row>
    <row r="82" spans="1:39" ht="13">
      <c r="A82" s="15" t="s">
        <v>393</v>
      </c>
      <c r="B82" s="15" t="s">
        <v>394</v>
      </c>
      <c r="C82" s="15" t="s">
        <v>35</v>
      </c>
      <c r="D82" s="15"/>
      <c r="E82" s="16">
        <v>18134</v>
      </c>
      <c r="F82" s="15" t="s">
        <v>124</v>
      </c>
      <c r="G82" s="15">
        <v>1978</v>
      </c>
      <c r="H82" s="15">
        <v>8</v>
      </c>
      <c r="I82" s="7">
        <v>28506</v>
      </c>
      <c r="J82" s="17">
        <v>42853</v>
      </c>
      <c r="K82" s="8" t="s">
        <v>37</v>
      </c>
      <c r="L82" s="9" t="e">
        <f t="shared" ca="1" si="0"/>
        <v>#NAME?</v>
      </c>
      <c r="M82" s="9" t="e">
        <f t="shared" ca="1" si="1"/>
        <v>#NAME?</v>
      </c>
      <c r="N82" s="10" t="e">
        <f t="shared" ca="1" si="2"/>
        <v>#NAME?</v>
      </c>
      <c r="O82" s="15" t="s">
        <v>38</v>
      </c>
      <c r="P82" s="15"/>
      <c r="Q82" s="15" t="s">
        <v>90</v>
      </c>
      <c r="R82" s="15" t="s">
        <v>326</v>
      </c>
      <c r="S82" s="15" t="s">
        <v>157</v>
      </c>
      <c r="T82" s="15" t="s">
        <v>170</v>
      </c>
      <c r="U82" s="15" t="s">
        <v>395</v>
      </c>
      <c r="V82" s="18"/>
      <c r="W82" s="18"/>
      <c r="X82" s="15">
        <v>1</v>
      </c>
      <c r="Y82" s="7">
        <v>30994</v>
      </c>
      <c r="Z82" s="7">
        <v>30994</v>
      </c>
      <c r="AA82" s="15">
        <v>191</v>
      </c>
      <c r="AB82" s="15">
        <v>0</v>
      </c>
      <c r="AC82" s="15">
        <v>0</v>
      </c>
      <c r="AD82" s="15" t="s">
        <v>396</v>
      </c>
      <c r="AE82" s="18"/>
      <c r="AF82" s="18"/>
      <c r="AG82" s="18"/>
      <c r="AH82" s="18"/>
      <c r="AI82" s="18"/>
      <c r="AJ82" s="18"/>
      <c r="AK82" s="18"/>
      <c r="AL82" s="18"/>
      <c r="AM82" s="18"/>
    </row>
    <row r="83" spans="1:39" ht="13">
      <c r="A83" s="1" t="s">
        <v>397</v>
      </c>
      <c r="B83" s="1" t="s">
        <v>34</v>
      </c>
      <c r="C83" s="1" t="s">
        <v>35</v>
      </c>
      <c r="D83" s="1"/>
      <c r="E83" s="6">
        <v>17845</v>
      </c>
      <c r="F83" s="1" t="s">
        <v>36</v>
      </c>
      <c r="G83" s="1">
        <v>1978</v>
      </c>
      <c r="H83" s="1">
        <v>8</v>
      </c>
      <c r="I83" s="7">
        <v>28506</v>
      </c>
      <c r="J83" s="7">
        <v>31700</v>
      </c>
      <c r="K83" s="8" t="s">
        <v>37</v>
      </c>
      <c r="L83" s="9" t="e">
        <f t="shared" ca="1" si="0"/>
        <v>#NAME?</v>
      </c>
      <c r="M83" s="9" t="e">
        <f t="shared" ca="1" si="1"/>
        <v>#NAME?</v>
      </c>
      <c r="N83" s="10" t="e">
        <f t="shared" ca="1" si="2"/>
        <v>#NAME?</v>
      </c>
      <c r="O83" s="1" t="s">
        <v>38</v>
      </c>
      <c r="P83" s="1"/>
      <c r="Q83" s="1" t="s">
        <v>90</v>
      </c>
      <c r="R83" s="1" t="s">
        <v>398</v>
      </c>
      <c r="S83" s="1" t="s">
        <v>399</v>
      </c>
      <c r="T83" s="1" t="s">
        <v>400</v>
      </c>
      <c r="V83" s="1" t="s">
        <v>71</v>
      </c>
      <c r="W83" s="1" t="s">
        <v>44</v>
      </c>
      <c r="X83" s="1">
        <v>2</v>
      </c>
      <c r="Y83" s="7">
        <v>30558</v>
      </c>
      <c r="Z83" s="7">
        <v>30994</v>
      </c>
      <c r="AA83" s="1">
        <v>336</v>
      </c>
      <c r="AB83" s="1">
        <v>2</v>
      </c>
      <c r="AC83" s="1">
        <v>12</v>
      </c>
      <c r="AD83" s="1" t="s">
        <v>401</v>
      </c>
    </row>
    <row r="84" spans="1:39" ht="13">
      <c r="A84" s="1" t="s">
        <v>402</v>
      </c>
      <c r="B84" s="1" t="s">
        <v>34</v>
      </c>
      <c r="C84" s="1" t="s">
        <v>35</v>
      </c>
      <c r="D84" s="1"/>
      <c r="E84" s="6">
        <v>17105</v>
      </c>
      <c r="F84" s="1" t="s">
        <v>36</v>
      </c>
      <c r="G84" s="1">
        <v>1978</v>
      </c>
      <c r="H84" s="1">
        <v>8</v>
      </c>
      <c r="I84" s="7">
        <v>28506</v>
      </c>
      <c r="J84" s="7">
        <v>35384</v>
      </c>
      <c r="K84" s="8" t="s">
        <v>37</v>
      </c>
      <c r="L84" s="9" t="e">
        <f t="shared" ca="1" si="0"/>
        <v>#NAME?</v>
      </c>
      <c r="M84" s="9" t="e">
        <f t="shared" ca="1" si="1"/>
        <v>#NAME?</v>
      </c>
      <c r="N84" s="10" t="e">
        <f t="shared" ca="1" si="2"/>
        <v>#NAME?</v>
      </c>
      <c r="O84" s="1" t="s">
        <v>38</v>
      </c>
      <c r="P84" s="1"/>
      <c r="Q84" s="1" t="s">
        <v>90</v>
      </c>
      <c r="R84" s="1" t="s">
        <v>403</v>
      </c>
      <c r="S84" s="1" t="s">
        <v>404</v>
      </c>
      <c r="T84" s="1" t="s">
        <v>42</v>
      </c>
      <c r="V84" s="1" t="s">
        <v>71</v>
      </c>
      <c r="W84" s="1" t="s">
        <v>44</v>
      </c>
      <c r="X84" s="1">
        <v>5</v>
      </c>
      <c r="Y84" s="7">
        <v>30715</v>
      </c>
      <c r="Z84" s="7">
        <v>34877</v>
      </c>
      <c r="AA84" s="1">
        <v>868</v>
      </c>
      <c r="AB84" s="1">
        <v>0</v>
      </c>
      <c r="AC84" s="1">
        <v>0</v>
      </c>
      <c r="AD84" s="1" t="s">
        <v>405</v>
      </c>
    </row>
    <row r="85" spans="1:39" ht="13">
      <c r="A85" s="1" t="s">
        <v>406</v>
      </c>
      <c r="B85" s="1" t="s">
        <v>34</v>
      </c>
      <c r="C85" s="1" t="s">
        <v>35</v>
      </c>
      <c r="D85" s="1"/>
      <c r="E85" s="6">
        <v>14983</v>
      </c>
      <c r="F85" s="1" t="s">
        <v>84</v>
      </c>
      <c r="G85" s="1">
        <v>1978</v>
      </c>
      <c r="H85" s="1">
        <v>8</v>
      </c>
      <c r="I85" s="7">
        <v>28506</v>
      </c>
      <c r="J85" s="7">
        <v>38640</v>
      </c>
      <c r="K85" s="8" t="s">
        <v>37</v>
      </c>
      <c r="L85" s="9" t="e">
        <f t="shared" ca="1" si="0"/>
        <v>#NAME?</v>
      </c>
      <c r="M85" s="9" t="e">
        <f t="shared" ca="1" si="1"/>
        <v>#NAME?</v>
      </c>
      <c r="N85" s="10" t="e">
        <f t="shared" ca="1" si="2"/>
        <v>#NAME?</v>
      </c>
      <c r="O85" s="1" t="s">
        <v>38</v>
      </c>
      <c r="P85" s="1"/>
      <c r="Q85" s="1" t="s">
        <v>90</v>
      </c>
      <c r="R85" s="1" t="s">
        <v>407</v>
      </c>
      <c r="S85" s="1" t="s">
        <v>408</v>
      </c>
      <c r="U85" s="1" t="s">
        <v>409</v>
      </c>
      <c r="V85" s="1" t="s">
        <v>49</v>
      </c>
      <c r="W85" s="1" t="s">
        <v>50</v>
      </c>
      <c r="X85" s="1">
        <v>3</v>
      </c>
      <c r="Y85" s="7">
        <v>31166</v>
      </c>
      <c r="Z85" s="7">
        <v>33566</v>
      </c>
      <c r="AA85" s="1">
        <v>455</v>
      </c>
      <c r="AB85" s="1">
        <v>0</v>
      </c>
      <c r="AC85" s="1">
        <v>0</v>
      </c>
      <c r="AD85" s="1" t="s">
        <v>410</v>
      </c>
    </row>
    <row r="86" spans="1:39" ht="13">
      <c r="A86" s="1" t="s">
        <v>411</v>
      </c>
      <c r="B86" s="1" t="s">
        <v>34</v>
      </c>
      <c r="C86" s="1" t="s">
        <v>35</v>
      </c>
      <c r="D86" s="1"/>
      <c r="E86" s="6">
        <v>14495</v>
      </c>
      <c r="F86" s="1" t="s">
        <v>84</v>
      </c>
      <c r="G86" s="1">
        <v>1978</v>
      </c>
      <c r="H86" s="1">
        <v>8</v>
      </c>
      <c r="I86" s="7">
        <v>28506</v>
      </c>
      <c r="J86" s="12">
        <v>32676</v>
      </c>
      <c r="K86" s="13" t="s">
        <v>59</v>
      </c>
      <c r="L86" s="9" t="e">
        <f t="shared" ca="1" si="0"/>
        <v>#NAME?</v>
      </c>
      <c r="M86" s="9" t="e">
        <f t="shared" ca="1" si="1"/>
        <v>#NAME?</v>
      </c>
      <c r="N86" s="10" t="e">
        <f t="shared" ca="1" si="2"/>
        <v>#NAME?</v>
      </c>
      <c r="O86" s="1" t="s">
        <v>38</v>
      </c>
      <c r="P86" s="1"/>
      <c r="Q86" s="1" t="s">
        <v>39</v>
      </c>
      <c r="R86" s="1" t="s">
        <v>412</v>
      </c>
      <c r="S86" s="1" t="s">
        <v>385</v>
      </c>
      <c r="U86" s="1" t="s">
        <v>216</v>
      </c>
      <c r="X86" s="1">
        <v>1</v>
      </c>
      <c r="Y86" s="7">
        <v>31149</v>
      </c>
      <c r="Z86" s="7">
        <v>31149</v>
      </c>
      <c r="AA86" s="1">
        <v>167</v>
      </c>
      <c r="AB86" s="1">
        <v>1</v>
      </c>
      <c r="AC86" s="1">
        <v>3</v>
      </c>
      <c r="AD86" s="1" t="s">
        <v>413</v>
      </c>
      <c r="AE86" s="6">
        <v>32676</v>
      </c>
    </row>
    <row r="87" spans="1:39" ht="13">
      <c r="A87" s="1" t="s">
        <v>414</v>
      </c>
      <c r="B87" s="1" t="s">
        <v>34</v>
      </c>
      <c r="C87" s="1" t="s">
        <v>35</v>
      </c>
      <c r="D87" s="1"/>
      <c r="E87" s="6">
        <v>17102</v>
      </c>
      <c r="F87" s="1" t="s">
        <v>84</v>
      </c>
      <c r="G87" s="1">
        <v>1978</v>
      </c>
      <c r="H87" s="1">
        <v>8</v>
      </c>
      <c r="I87" s="7">
        <v>28506</v>
      </c>
      <c r="J87" s="7">
        <v>30848</v>
      </c>
      <c r="K87" s="8" t="s">
        <v>37</v>
      </c>
      <c r="L87" s="9" t="e">
        <f t="shared" ca="1" si="0"/>
        <v>#NAME?</v>
      </c>
      <c r="M87" s="9" t="e">
        <f t="shared" ca="1" si="1"/>
        <v>#NAME?</v>
      </c>
      <c r="N87" s="10" t="e">
        <f t="shared" ca="1" si="2"/>
        <v>#NAME?</v>
      </c>
      <c r="O87" s="1" t="s">
        <v>38</v>
      </c>
      <c r="P87" s="1"/>
      <c r="Q87" s="1" t="s">
        <v>90</v>
      </c>
      <c r="R87" s="1" t="s">
        <v>245</v>
      </c>
      <c r="S87" s="1" t="s">
        <v>415</v>
      </c>
      <c r="T87" s="1" t="s">
        <v>62</v>
      </c>
      <c r="U87" s="1" t="s">
        <v>416</v>
      </c>
      <c r="X87" s="1">
        <v>1</v>
      </c>
      <c r="Y87" s="7">
        <v>30778</v>
      </c>
      <c r="Z87" s="7">
        <v>30778</v>
      </c>
      <c r="AA87" s="1">
        <v>167</v>
      </c>
      <c r="AB87" s="1">
        <v>0</v>
      </c>
      <c r="AC87" s="1">
        <v>0</v>
      </c>
      <c r="AD87" s="1" t="s">
        <v>417</v>
      </c>
    </row>
    <row r="88" spans="1:39" ht="13">
      <c r="A88" s="1" t="s">
        <v>418</v>
      </c>
      <c r="B88" s="1" t="s">
        <v>34</v>
      </c>
      <c r="C88" s="1" t="s">
        <v>35</v>
      </c>
      <c r="D88" s="1"/>
      <c r="E88" s="6">
        <v>15077</v>
      </c>
      <c r="F88" s="1" t="s">
        <v>84</v>
      </c>
      <c r="G88" s="1">
        <v>1978</v>
      </c>
      <c r="H88" s="1">
        <v>8</v>
      </c>
      <c r="I88" s="7">
        <v>28506</v>
      </c>
      <c r="J88" s="7">
        <v>33025</v>
      </c>
      <c r="K88" s="8" t="s">
        <v>37</v>
      </c>
      <c r="L88" s="9" t="e">
        <f t="shared" ca="1" si="0"/>
        <v>#NAME?</v>
      </c>
      <c r="M88" s="9" t="e">
        <f t="shared" ca="1" si="1"/>
        <v>#NAME?</v>
      </c>
      <c r="N88" s="10" t="e">
        <f t="shared" ca="1" si="2"/>
        <v>#NAME?</v>
      </c>
      <c r="O88" s="1" t="s">
        <v>38</v>
      </c>
      <c r="P88" s="1"/>
      <c r="Q88" s="1" t="s">
        <v>90</v>
      </c>
      <c r="R88" s="1" t="s">
        <v>419</v>
      </c>
      <c r="S88" s="1" t="s">
        <v>420</v>
      </c>
      <c r="T88" s="1" t="s">
        <v>158</v>
      </c>
      <c r="U88" s="1" t="s">
        <v>132</v>
      </c>
      <c r="V88" s="1" t="s">
        <v>71</v>
      </c>
      <c r="W88" s="1" t="s">
        <v>44</v>
      </c>
      <c r="X88" s="1">
        <v>3</v>
      </c>
      <c r="Y88" s="7">
        <v>30485</v>
      </c>
      <c r="Z88" s="7">
        <v>32415</v>
      </c>
      <c r="AA88" s="1">
        <v>435</v>
      </c>
      <c r="AB88" s="1">
        <v>0</v>
      </c>
      <c r="AC88" s="1">
        <v>0</v>
      </c>
      <c r="AD88" s="1" t="s">
        <v>421</v>
      </c>
    </row>
    <row r="89" spans="1:39" ht="13">
      <c r="A89" s="1" t="s">
        <v>422</v>
      </c>
      <c r="B89" s="1" t="s">
        <v>34</v>
      </c>
      <c r="C89" s="1" t="s">
        <v>35</v>
      </c>
      <c r="D89" s="1"/>
      <c r="E89" s="6">
        <v>18974</v>
      </c>
      <c r="F89" s="1" t="s">
        <v>124</v>
      </c>
      <c r="G89" s="1">
        <v>1978</v>
      </c>
      <c r="H89" s="1">
        <v>8</v>
      </c>
      <c r="I89" s="7">
        <v>28506</v>
      </c>
      <c r="J89" s="7">
        <v>39583</v>
      </c>
      <c r="K89" s="8" t="s">
        <v>37</v>
      </c>
      <c r="L89" s="9" t="e">
        <f t="shared" ca="1" si="0"/>
        <v>#NAME?</v>
      </c>
      <c r="M89" s="9" t="e">
        <f t="shared" ca="1" si="1"/>
        <v>#NAME?</v>
      </c>
      <c r="N89" s="10" t="e">
        <f t="shared" ca="1" si="2"/>
        <v>#NAME?</v>
      </c>
      <c r="O89" s="1" t="s">
        <v>38</v>
      </c>
      <c r="P89" s="1"/>
      <c r="Q89" s="1" t="s">
        <v>90</v>
      </c>
      <c r="R89" s="1" t="s">
        <v>423</v>
      </c>
      <c r="S89" s="1" t="s">
        <v>424</v>
      </c>
      <c r="T89" s="1" t="s">
        <v>328</v>
      </c>
      <c r="U89" s="1" t="s">
        <v>425</v>
      </c>
      <c r="X89" s="1">
        <v>5</v>
      </c>
      <c r="Y89" s="7">
        <v>30924</v>
      </c>
      <c r="Z89" s="7">
        <v>36363</v>
      </c>
      <c r="AA89" s="1">
        <v>770</v>
      </c>
      <c r="AB89" s="1">
        <v>0</v>
      </c>
      <c r="AC89" s="1">
        <v>0</v>
      </c>
      <c r="AD89" s="1" t="s">
        <v>426</v>
      </c>
    </row>
    <row r="90" spans="1:39" ht="13">
      <c r="A90" s="1" t="s">
        <v>427</v>
      </c>
      <c r="B90" s="1" t="s">
        <v>34</v>
      </c>
      <c r="C90" s="1" t="s">
        <v>35</v>
      </c>
      <c r="D90" s="1"/>
      <c r="E90" s="6">
        <v>16378</v>
      </c>
      <c r="F90" s="1" t="s">
        <v>124</v>
      </c>
      <c r="G90" s="1">
        <v>1978</v>
      </c>
      <c r="H90" s="1">
        <v>8</v>
      </c>
      <c r="I90" s="7">
        <v>28506</v>
      </c>
      <c r="J90" s="7">
        <v>37118</v>
      </c>
      <c r="K90" s="8" t="s">
        <v>37</v>
      </c>
      <c r="L90" s="9" t="e">
        <f t="shared" ca="1" si="0"/>
        <v>#NAME?</v>
      </c>
      <c r="M90" s="9" t="e">
        <f t="shared" ca="1" si="1"/>
        <v>#NAME?</v>
      </c>
      <c r="N90" s="10" t="e">
        <f t="shared" ca="1" si="2"/>
        <v>#NAME?</v>
      </c>
      <c r="O90" s="1" t="s">
        <v>38</v>
      </c>
      <c r="P90" s="1"/>
      <c r="Q90" s="1" t="s">
        <v>90</v>
      </c>
      <c r="R90" s="1" t="s">
        <v>428</v>
      </c>
      <c r="S90" s="1" t="s">
        <v>429</v>
      </c>
      <c r="T90" s="1" t="s">
        <v>305</v>
      </c>
      <c r="U90" s="1" t="s">
        <v>430</v>
      </c>
      <c r="X90" s="1">
        <v>5</v>
      </c>
      <c r="Y90" s="7">
        <v>31149</v>
      </c>
      <c r="Z90" s="7">
        <v>35117</v>
      </c>
      <c r="AA90" s="1">
        <v>1211</v>
      </c>
      <c r="AB90" s="1">
        <v>4</v>
      </c>
      <c r="AC90" s="1">
        <v>25</v>
      </c>
      <c r="AD90" s="1" t="s">
        <v>431</v>
      </c>
    </row>
    <row r="91" spans="1:39" ht="13">
      <c r="A91" s="1" t="s">
        <v>432</v>
      </c>
      <c r="B91" s="1" t="s">
        <v>394</v>
      </c>
      <c r="C91" s="1" t="s">
        <v>35</v>
      </c>
      <c r="D91" s="1"/>
      <c r="E91" s="6">
        <v>15720</v>
      </c>
      <c r="F91" s="1" t="s">
        <v>124</v>
      </c>
      <c r="G91" s="1">
        <v>1978</v>
      </c>
      <c r="H91" s="1">
        <v>8</v>
      </c>
      <c r="I91" s="7">
        <v>28506</v>
      </c>
      <c r="J91" s="7">
        <v>40939</v>
      </c>
      <c r="K91" s="8" t="s">
        <v>37</v>
      </c>
      <c r="L91" s="9" t="e">
        <f t="shared" ca="1" si="0"/>
        <v>#NAME?</v>
      </c>
      <c r="M91" s="9" t="e">
        <f t="shared" ca="1" si="1"/>
        <v>#NAME?</v>
      </c>
      <c r="N91" s="10" t="e">
        <f t="shared" ca="1" si="2"/>
        <v>#NAME?</v>
      </c>
      <c r="O91" s="1" t="s">
        <v>38</v>
      </c>
      <c r="P91" s="1"/>
      <c r="Q91" s="1" t="s">
        <v>90</v>
      </c>
      <c r="R91" s="1" t="s">
        <v>433</v>
      </c>
      <c r="S91" s="1" t="s">
        <v>242</v>
      </c>
      <c r="T91" s="1" t="s">
        <v>170</v>
      </c>
      <c r="U91" s="1" t="s">
        <v>434</v>
      </c>
      <c r="X91" s="1">
        <v>5</v>
      </c>
      <c r="Y91" s="7">
        <v>31215</v>
      </c>
      <c r="Z91" s="7">
        <v>35146</v>
      </c>
      <c r="AA91" s="1">
        <v>5354</v>
      </c>
      <c r="AB91" s="1">
        <v>0</v>
      </c>
      <c r="AC91" s="1">
        <v>0</v>
      </c>
      <c r="AD91" s="1" t="s">
        <v>435</v>
      </c>
    </row>
    <row r="92" spans="1:39" ht="13">
      <c r="A92" s="1" t="s">
        <v>436</v>
      </c>
      <c r="B92" s="1" t="s">
        <v>34</v>
      </c>
      <c r="C92" s="1" t="s">
        <v>35</v>
      </c>
      <c r="D92" s="1"/>
      <c r="E92" s="6">
        <v>15932</v>
      </c>
      <c r="F92" s="1" t="s">
        <v>36</v>
      </c>
      <c r="G92" s="1">
        <v>1978</v>
      </c>
      <c r="H92" s="1">
        <v>8</v>
      </c>
      <c r="I92" s="7">
        <v>28506</v>
      </c>
      <c r="J92" s="7">
        <v>32640</v>
      </c>
      <c r="K92" s="8" t="s">
        <v>37</v>
      </c>
      <c r="L92" s="9" t="e">
        <f t="shared" ca="1" si="0"/>
        <v>#NAME?</v>
      </c>
      <c r="M92" s="9" t="e">
        <f t="shared" ca="1" si="1"/>
        <v>#NAME?</v>
      </c>
      <c r="N92" s="10" t="e">
        <f t="shared" ca="1" si="2"/>
        <v>#NAME?</v>
      </c>
      <c r="O92" s="1" t="s">
        <v>38</v>
      </c>
      <c r="P92" s="1"/>
      <c r="Q92" s="1" t="s">
        <v>90</v>
      </c>
      <c r="R92" s="1" t="s">
        <v>437</v>
      </c>
      <c r="S92" s="1" t="s">
        <v>438</v>
      </c>
      <c r="T92" s="1" t="s">
        <v>42</v>
      </c>
      <c r="V92" s="1" t="s">
        <v>71</v>
      </c>
      <c r="W92" s="1" t="s">
        <v>44</v>
      </c>
      <c r="X92" s="1">
        <v>1</v>
      </c>
      <c r="Y92" s="7">
        <v>30960</v>
      </c>
      <c r="Z92" s="7">
        <v>30960</v>
      </c>
      <c r="AA92" s="1">
        <v>197</v>
      </c>
      <c r="AB92" s="1">
        <v>0</v>
      </c>
      <c r="AC92" s="1">
        <v>0</v>
      </c>
      <c r="AD92" s="1" t="s">
        <v>439</v>
      </c>
    </row>
    <row r="93" spans="1:39" ht="13">
      <c r="A93" s="1" t="s">
        <v>440</v>
      </c>
      <c r="B93" s="1" t="s">
        <v>34</v>
      </c>
      <c r="C93" s="1" t="s">
        <v>361</v>
      </c>
      <c r="D93" s="1"/>
      <c r="E93" s="6">
        <v>18557</v>
      </c>
      <c r="F93" s="1" t="s">
        <v>124</v>
      </c>
      <c r="G93" s="1">
        <v>1978</v>
      </c>
      <c r="H93" s="1">
        <v>8</v>
      </c>
      <c r="I93" s="7">
        <v>28506</v>
      </c>
      <c r="J93" s="12">
        <v>31440</v>
      </c>
      <c r="K93" s="13" t="s">
        <v>59</v>
      </c>
      <c r="L93" s="9" t="e">
        <f t="shared" ca="1" si="0"/>
        <v>#NAME?</v>
      </c>
      <c r="M93" s="9" t="e">
        <f t="shared" ca="1" si="1"/>
        <v>#NAME?</v>
      </c>
      <c r="N93" s="10" t="e">
        <f t="shared" ca="1" si="2"/>
        <v>#NAME?</v>
      </c>
      <c r="O93" s="1" t="s">
        <v>38</v>
      </c>
      <c r="P93" s="1"/>
      <c r="Q93" s="1" t="s">
        <v>39</v>
      </c>
      <c r="R93" s="1" t="s">
        <v>441</v>
      </c>
      <c r="S93" s="1" t="s">
        <v>442</v>
      </c>
      <c r="T93" s="1" t="s">
        <v>158</v>
      </c>
      <c r="U93" s="1" t="s">
        <v>158</v>
      </c>
      <c r="X93" s="1">
        <v>2</v>
      </c>
      <c r="Y93" s="7">
        <v>30715</v>
      </c>
      <c r="Z93" s="7">
        <v>31440</v>
      </c>
      <c r="AA93" s="1">
        <v>191</v>
      </c>
      <c r="AB93" s="1">
        <v>0</v>
      </c>
      <c r="AC93" s="1">
        <v>0</v>
      </c>
      <c r="AD93" s="1" t="s">
        <v>443</v>
      </c>
      <c r="AE93" s="6">
        <v>31440</v>
      </c>
      <c r="AF93" s="1" t="s">
        <v>444</v>
      </c>
    </row>
    <row r="94" spans="1:39" ht="13">
      <c r="A94" s="1" t="s">
        <v>445</v>
      </c>
      <c r="B94" s="1" t="s">
        <v>34</v>
      </c>
      <c r="C94" s="1" t="s">
        <v>35</v>
      </c>
      <c r="D94" s="1"/>
      <c r="E94" s="6">
        <v>16690</v>
      </c>
      <c r="F94" s="1" t="s">
        <v>84</v>
      </c>
      <c r="G94" s="1">
        <v>1978</v>
      </c>
      <c r="H94" s="1">
        <v>8</v>
      </c>
      <c r="I94" s="7">
        <v>28506</v>
      </c>
      <c r="J94" s="7">
        <v>33131</v>
      </c>
      <c r="K94" s="8" t="s">
        <v>37</v>
      </c>
      <c r="L94" s="9" t="e">
        <f t="shared" ca="1" si="0"/>
        <v>#NAME?</v>
      </c>
      <c r="M94" s="9" t="e">
        <f t="shared" ca="1" si="1"/>
        <v>#NAME?</v>
      </c>
      <c r="N94" s="10" t="e">
        <f t="shared" ca="1" si="2"/>
        <v>#NAME?</v>
      </c>
      <c r="O94" s="1" t="s">
        <v>38</v>
      </c>
      <c r="P94" s="1"/>
      <c r="Q94" s="1" t="s">
        <v>90</v>
      </c>
      <c r="R94" s="1" t="s">
        <v>446</v>
      </c>
      <c r="S94" s="1" t="s">
        <v>354</v>
      </c>
      <c r="T94" s="1" t="s">
        <v>447</v>
      </c>
      <c r="U94" s="1" t="s">
        <v>42</v>
      </c>
      <c r="V94" s="1" t="s">
        <v>49</v>
      </c>
      <c r="W94" s="1" t="s">
        <v>50</v>
      </c>
      <c r="X94" s="1">
        <v>3</v>
      </c>
      <c r="Y94" s="7">
        <v>30924</v>
      </c>
      <c r="Z94" s="7">
        <v>32932</v>
      </c>
      <c r="AA94" s="1">
        <v>356</v>
      </c>
      <c r="AB94" s="1">
        <v>0</v>
      </c>
      <c r="AC94" s="1">
        <v>0</v>
      </c>
      <c r="AD94" s="1" t="s">
        <v>448</v>
      </c>
    </row>
    <row r="95" spans="1:39" ht="13">
      <c r="A95" s="1" t="s">
        <v>449</v>
      </c>
      <c r="B95" s="1" t="s">
        <v>34</v>
      </c>
      <c r="C95" s="1" t="s">
        <v>35</v>
      </c>
      <c r="D95" s="1"/>
      <c r="E95" s="6">
        <v>17102</v>
      </c>
      <c r="F95" s="1" t="s">
        <v>84</v>
      </c>
      <c r="G95" s="1">
        <v>1978</v>
      </c>
      <c r="H95" s="1">
        <v>8</v>
      </c>
      <c r="I95" s="7">
        <v>28506</v>
      </c>
      <c r="J95" s="7">
        <v>34759</v>
      </c>
      <c r="K95" s="8" t="s">
        <v>37</v>
      </c>
      <c r="L95" s="9" t="e">
        <f t="shared" ca="1" si="0"/>
        <v>#NAME?</v>
      </c>
      <c r="M95" s="9" t="e">
        <f t="shared" ca="1" si="1"/>
        <v>#NAME?</v>
      </c>
      <c r="N95" s="10" t="e">
        <f t="shared" ca="1" si="2"/>
        <v>#NAME?</v>
      </c>
      <c r="O95" s="1" t="s">
        <v>38</v>
      </c>
      <c r="P95" s="1"/>
      <c r="Q95" s="1" t="s">
        <v>90</v>
      </c>
      <c r="R95" s="1" t="s">
        <v>450</v>
      </c>
      <c r="S95" s="1" t="s">
        <v>451</v>
      </c>
      <c r="T95" s="1" t="s">
        <v>87</v>
      </c>
      <c r="U95" s="1" t="s">
        <v>452</v>
      </c>
      <c r="V95" s="1" t="s">
        <v>49</v>
      </c>
      <c r="W95" s="1" t="s">
        <v>50</v>
      </c>
      <c r="X95" s="1">
        <v>4</v>
      </c>
      <c r="Y95" s="7">
        <v>31215</v>
      </c>
      <c r="Z95" s="7">
        <v>34085</v>
      </c>
      <c r="AA95" s="1">
        <v>721</v>
      </c>
      <c r="AB95" s="1">
        <v>0</v>
      </c>
      <c r="AC95" s="1">
        <v>0</v>
      </c>
      <c r="AD95" s="1" t="s">
        <v>453</v>
      </c>
    </row>
    <row r="96" spans="1:39" ht="13">
      <c r="A96" s="1" t="s">
        <v>454</v>
      </c>
      <c r="B96" s="1" t="s">
        <v>34</v>
      </c>
      <c r="C96" s="1" t="s">
        <v>35</v>
      </c>
      <c r="D96" s="1"/>
      <c r="E96" s="6">
        <v>18457</v>
      </c>
      <c r="F96" s="1" t="s">
        <v>124</v>
      </c>
      <c r="G96" s="1">
        <v>1978</v>
      </c>
      <c r="H96" s="1">
        <v>8</v>
      </c>
      <c r="I96" s="7">
        <v>28506</v>
      </c>
      <c r="J96" s="7">
        <v>32689</v>
      </c>
      <c r="K96" s="8" t="s">
        <v>37</v>
      </c>
      <c r="L96" s="9" t="e">
        <f t="shared" ca="1" si="0"/>
        <v>#NAME?</v>
      </c>
      <c r="M96" s="9" t="e">
        <f t="shared" ca="1" si="1"/>
        <v>#NAME?</v>
      </c>
      <c r="N96" s="10" t="e">
        <f t="shared" ca="1" si="2"/>
        <v>#NAME?</v>
      </c>
      <c r="O96" s="1" t="s">
        <v>38</v>
      </c>
      <c r="P96" s="1"/>
      <c r="Q96" s="1" t="s">
        <v>90</v>
      </c>
      <c r="R96" s="1" t="s">
        <v>455</v>
      </c>
      <c r="S96" s="1" t="s">
        <v>456</v>
      </c>
      <c r="T96" s="1" t="s">
        <v>158</v>
      </c>
      <c r="U96" s="1" t="s">
        <v>305</v>
      </c>
      <c r="X96" s="1">
        <v>3</v>
      </c>
      <c r="Y96" s="7">
        <v>31424</v>
      </c>
      <c r="Z96" s="7">
        <v>31424</v>
      </c>
      <c r="AA96" s="1">
        <v>411</v>
      </c>
      <c r="AB96" s="1">
        <v>2</v>
      </c>
      <c r="AC96" s="1">
        <v>10</v>
      </c>
      <c r="AD96" s="1" t="s">
        <v>457</v>
      </c>
    </row>
    <row r="97" spans="1:32" ht="13">
      <c r="A97" s="1" t="s">
        <v>458</v>
      </c>
      <c r="B97" s="1" t="s">
        <v>34</v>
      </c>
      <c r="C97" s="1" t="s">
        <v>459</v>
      </c>
      <c r="D97" s="1" t="s">
        <v>460</v>
      </c>
      <c r="E97" s="6">
        <v>16977</v>
      </c>
      <c r="F97" s="1" t="s">
        <v>84</v>
      </c>
      <c r="G97" s="1">
        <v>1978</v>
      </c>
      <c r="H97" s="1">
        <v>8</v>
      </c>
      <c r="I97" s="7">
        <v>28506</v>
      </c>
      <c r="J97" s="12">
        <v>31440</v>
      </c>
      <c r="K97" s="13" t="s">
        <v>59</v>
      </c>
      <c r="L97" s="9" t="e">
        <f t="shared" ca="1" si="0"/>
        <v>#NAME?</v>
      </c>
      <c r="M97" s="9" t="e">
        <f t="shared" ca="1" si="1"/>
        <v>#NAME?</v>
      </c>
      <c r="N97" s="10" t="e">
        <f t="shared" ca="1" si="2"/>
        <v>#NAME?</v>
      </c>
      <c r="O97" s="1" t="s">
        <v>38</v>
      </c>
      <c r="P97" s="1"/>
      <c r="Q97" s="1" t="s">
        <v>39</v>
      </c>
      <c r="R97" s="1" t="s">
        <v>461</v>
      </c>
      <c r="S97" s="1" t="s">
        <v>41</v>
      </c>
      <c r="T97" s="1" t="s">
        <v>87</v>
      </c>
      <c r="U97" s="1" t="s">
        <v>87</v>
      </c>
      <c r="V97" s="1" t="s">
        <v>63</v>
      </c>
      <c r="W97" s="1" t="s">
        <v>64</v>
      </c>
      <c r="X97" s="1">
        <v>2</v>
      </c>
      <c r="Y97" s="7">
        <v>31071</v>
      </c>
      <c r="Z97" s="7">
        <v>31440</v>
      </c>
      <c r="AA97" s="1">
        <v>73</v>
      </c>
      <c r="AB97" s="1">
        <v>0</v>
      </c>
      <c r="AC97" s="1">
        <v>0</v>
      </c>
      <c r="AD97" s="1" t="s">
        <v>462</v>
      </c>
      <c r="AE97" s="6">
        <v>31440</v>
      </c>
      <c r="AF97" s="1" t="s">
        <v>444</v>
      </c>
    </row>
    <row r="98" spans="1:32" ht="13">
      <c r="A98" s="1" t="s">
        <v>463</v>
      </c>
      <c r="B98" s="1" t="s">
        <v>394</v>
      </c>
      <c r="C98" s="1" t="s">
        <v>35</v>
      </c>
      <c r="D98" s="1"/>
      <c r="E98" s="6">
        <v>17993</v>
      </c>
      <c r="F98" s="1" t="s">
        <v>124</v>
      </c>
      <c r="G98" s="1">
        <v>1978</v>
      </c>
      <c r="H98" s="1">
        <v>8</v>
      </c>
      <c r="I98" s="7">
        <v>28506</v>
      </c>
      <c r="J98" s="12">
        <v>31440</v>
      </c>
      <c r="K98" s="13" t="s">
        <v>59</v>
      </c>
      <c r="L98" s="9" t="e">
        <f t="shared" ca="1" si="0"/>
        <v>#NAME?</v>
      </c>
      <c r="M98" s="9" t="e">
        <f t="shared" ca="1" si="1"/>
        <v>#NAME?</v>
      </c>
      <c r="N98" s="10" t="e">
        <f t="shared" ca="1" si="2"/>
        <v>#NAME?</v>
      </c>
      <c r="O98" s="1" t="s">
        <v>38</v>
      </c>
      <c r="P98" s="1"/>
      <c r="Q98" s="1" t="s">
        <v>39</v>
      </c>
      <c r="R98" s="1" t="s">
        <v>464</v>
      </c>
      <c r="S98" s="1" t="s">
        <v>465</v>
      </c>
      <c r="T98" s="1" t="s">
        <v>139</v>
      </c>
      <c r="U98" s="1" t="s">
        <v>139</v>
      </c>
      <c r="X98" s="1">
        <v>2</v>
      </c>
      <c r="Y98" s="7">
        <v>30924</v>
      </c>
      <c r="Z98" s="7">
        <v>31440</v>
      </c>
      <c r="AA98" s="1">
        <v>144</v>
      </c>
      <c r="AB98" s="1">
        <v>0</v>
      </c>
      <c r="AC98" s="1">
        <v>0</v>
      </c>
      <c r="AD98" s="1" t="s">
        <v>466</v>
      </c>
      <c r="AE98" s="6">
        <v>31440</v>
      </c>
      <c r="AF98" s="1" t="s">
        <v>444</v>
      </c>
    </row>
    <row r="99" spans="1:32" ht="13">
      <c r="A99" s="1" t="s">
        <v>467</v>
      </c>
      <c r="B99" s="1" t="s">
        <v>394</v>
      </c>
      <c r="C99" s="1" t="s">
        <v>35</v>
      </c>
      <c r="D99" s="1"/>
      <c r="E99" s="6">
        <v>18774</v>
      </c>
      <c r="F99" s="1" t="s">
        <v>124</v>
      </c>
      <c r="G99" s="1">
        <v>1978</v>
      </c>
      <c r="H99" s="1">
        <v>8</v>
      </c>
      <c r="I99" s="7">
        <v>28506</v>
      </c>
      <c r="J99" s="7">
        <v>32004</v>
      </c>
      <c r="K99" s="8" t="s">
        <v>37</v>
      </c>
      <c r="L99" s="9" t="e">
        <f t="shared" ca="1" si="0"/>
        <v>#NAME?</v>
      </c>
      <c r="M99" s="9" t="e">
        <f t="shared" ca="1" si="1"/>
        <v>#NAME?</v>
      </c>
      <c r="N99" s="10" t="e">
        <f t="shared" ca="1" si="2"/>
        <v>#NAME?</v>
      </c>
      <c r="O99" s="1" t="s">
        <v>38</v>
      </c>
      <c r="P99" s="1"/>
      <c r="Q99" s="1" t="s">
        <v>39</v>
      </c>
      <c r="R99" s="1" t="s">
        <v>468</v>
      </c>
      <c r="S99" s="1" t="s">
        <v>469</v>
      </c>
      <c r="T99" s="1" t="s">
        <v>470</v>
      </c>
      <c r="U99" s="1" t="s">
        <v>158</v>
      </c>
      <c r="X99" s="1">
        <v>2</v>
      </c>
      <c r="Y99" s="7">
        <v>30485</v>
      </c>
      <c r="Z99" s="7">
        <v>30960</v>
      </c>
      <c r="AA99" s="1">
        <v>343</v>
      </c>
      <c r="AB99" s="1">
        <v>0</v>
      </c>
      <c r="AC99" s="1">
        <v>0</v>
      </c>
      <c r="AD99" s="1" t="s">
        <v>471</v>
      </c>
      <c r="AE99" s="6">
        <v>41113</v>
      </c>
    </row>
    <row r="100" spans="1:32" ht="13">
      <c r="A100" s="1" t="s">
        <v>472</v>
      </c>
      <c r="B100" s="1" t="s">
        <v>34</v>
      </c>
      <c r="C100" s="1" t="s">
        <v>35</v>
      </c>
      <c r="D100" s="1"/>
      <c r="E100" s="6">
        <v>14384</v>
      </c>
      <c r="F100" s="1" t="s">
        <v>36</v>
      </c>
      <c r="G100" s="1">
        <v>1978</v>
      </c>
      <c r="H100" s="1">
        <v>8</v>
      </c>
      <c r="I100" s="7">
        <v>28506</v>
      </c>
      <c r="J100" s="12">
        <v>31440</v>
      </c>
      <c r="K100" s="13" t="s">
        <v>59</v>
      </c>
      <c r="L100" s="9" t="e">
        <f t="shared" ca="1" si="0"/>
        <v>#NAME?</v>
      </c>
      <c r="M100" s="9" t="e">
        <f t="shared" ca="1" si="1"/>
        <v>#NAME?</v>
      </c>
      <c r="N100" s="10" t="e">
        <f t="shared" ca="1" si="2"/>
        <v>#NAME?</v>
      </c>
      <c r="O100" s="1" t="s">
        <v>38</v>
      </c>
      <c r="P100" s="1"/>
      <c r="Q100" s="1" t="s">
        <v>39</v>
      </c>
      <c r="R100" s="1" t="s">
        <v>473</v>
      </c>
      <c r="S100" s="1" t="s">
        <v>474</v>
      </c>
      <c r="T100" s="1" t="s">
        <v>87</v>
      </c>
      <c r="V100" s="1" t="s">
        <v>80</v>
      </c>
      <c r="W100" s="1" t="s">
        <v>50</v>
      </c>
      <c r="X100" s="1">
        <v>2</v>
      </c>
      <c r="Y100" s="7">
        <v>30778</v>
      </c>
      <c r="Z100" s="7">
        <v>31440</v>
      </c>
      <c r="AA100" s="1">
        <v>167</v>
      </c>
      <c r="AB100" s="1">
        <v>0</v>
      </c>
      <c r="AC100" s="1">
        <v>0</v>
      </c>
      <c r="AD100" s="1" t="s">
        <v>475</v>
      </c>
      <c r="AE100" s="6">
        <v>31440</v>
      </c>
      <c r="AF100" s="1" t="s">
        <v>444</v>
      </c>
    </row>
    <row r="101" spans="1:32" ht="13">
      <c r="A101" s="1" t="s">
        <v>476</v>
      </c>
      <c r="B101" s="1" t="s">
        <v>394</v>
      </c>
      <c r="C101" s="1" t="s">
        <v>35</v>
      </c>
      <c r="D101" s="1"/>
      <c r="E101" s="6">
        <v>17479</v>
      </c>
      <c r="F101" s="1" t="s">
        <v>124</v>
      </c>
      <c r="G101" s="1">
        <v>1978</v>
      </c>
      <c r="H101" s="1">
        <v>8</v>
      </c>
      <c r="I101" s="7">
        <v>28506</v>
      </c>
      <c r="J101" s="7">
        <v>35749</v>
      </c>
      <c r="K101" s="8" t="s">
        <v>37</v>
      </c>
      <c r="L101" s="9" t="e">
        <f t="shared" ca="1" si="0"/>
        <v>#NAME?</v>
      </c>
      <c r="M101" s="9" t="e">
        <f t="shared" ca="1" si="1"/>
        <v>#NAME?</v>
      </c>
      <c r="N101" s="10" t="e">
        <f t="shared" ca="1" si="2"/>
        <v>#NAME?</v>
      </c>
      <c r="O101" s="1" t="s">
        <v>38</v>
      </c>
      <c r="P101" s="1"/>
      <c r="Q101" s="1" t="s">
        <v>90</v>
      </c>
      <c r="R101" s="1" t="s">
        <v>477</v>
      </c>
      <c r="S101" s="1" t="s">
        <v>478</v>
      </c>
      <c r="T101" s="1" t="s">
        <v>479</v>
      </c>
      <c r="U101" s="1" t="s">
        <v>201</v>
      </c>
      <c r="X101" s="1">
        <v>3</v>
      </c>
      <c r="Y101" s="7">
        <v>31149</v>
      </c>
      <c r="Z101" s="7">
        <v>34260</v>
      </c>
      <c r="AA101" s="1">
        <v>722</v>
      </c>
      <c r="AB101" s="1">
        <v>0</v>
      </c>
      <c r="AC101" s="1">
        <v>0</v>
      </c>
      <c r="AD101" s="1" t="s">
        <v>480</v>
      </c>
    </row>
    <row r="102" spans="1:32" ht="13">
      <c r="A102" s="1" t="s">
        <v>481</v>
      </c>
      <c r="B102" s="1" t="s">
        <v>34</v>
      </c>
      <c r="C102" s="1" t="s">
        <v>35</v>
      </c>
      <c r="D102" s="1"/>
      <c r="E102" s="6">
        <v>16573</v>
      </c>
      <c r="F102" s="1" t="s">
        <v>84</v>
      </c>
      <c r="G102" s="1">
        <v>1978</v>
      </c>
      <c r="H102" s="1">
        <v>8</v>
      </c>
      <c r="I102" s="7">
        <v>28506</v>
      </c>
      <c r="J102" s="7">
        <v>35079</v>
      </c>
      <c r="K102" s="8" t="s">
        <v>37</v>
      </c>
      <c r="L102" s="9" t="e">
        <f t="shared" ca="1" si="0"/>
        <v>#NAME?</v>
      </c>
      <c r="M102" s="9" t="e">
        <f t="shared" ca="1" si="1"/>
        <v>#NAME?</v>
      </c>
      <c r="N102" s="10" t="e">
        <f t="shared" ca="1" si="2"/>
        <v>#NAME?</v>
      </c>
      <c r="O102" s="1" t="s">
        <v>38</v>
      </c>
      <c r="P102" s="1"/>
      <c r="Q102" s="1" t="s">
        <v>90</v>
      </c>
      <c r="R102" s="1" t="s">
        <v>482</v>
      </c>
      <c r="S102" s="1" t="s">
        <v>367</v>
      </c>
      <c r="T102" s="1" t="s">
        <v>483</v>
      </c>
      <c r="U102" s="1" t="s">
        <v>483</v>
      </c>
      <c r="V102" s="1" t="s">
        <v>49</v>
      </c>
      <c r="W102" s="1" t="s">
        <v>50</v>
      </c>
      <c r="X102" s="1">
        <v>3</v>
      </c>
      <c r="Y102" s="7">
        <v>30648</v>
      </c>
      <c r="Z102" s="7">
        <v>32728</v>
      </c>
      <c r="AA102" s="1">
        <v>533</v>
      </c>
      <c r="AB102" s="1">
        <v>0</v>
      </c>
      <c r="AC102" s="1">
        <v>0</v>
      </c>
      <c r="AD102" s="1" t="s">
        <v>484</v>
      </c>
    </row>
    <row r="103" spans="1:32" ht="13">
      <c r="A103" s="1" t="s">
        <v>485</v>
      </c>
      <c r="B103" s="1" t="s">
        <v>34</v>
      </c>
      <c r="C103" s="1" t="s">
        <v>35</v>
      </c>
      <c r="D103" s="1"/>
      <c r="E103" s="6">
        <v>16338</v>
      </c>
      <c r="F103" s="1" t="s">
        <v>84</v>
      </c>
      <c r="G103" s="1">
        <v>1978</v>
      </c>
      <c r="H103" s="1">
        <v>8</v>
      </c>
      <c r="I103" s="7">
        <v>28506</v>
      </c>
      <c r="J103" s="7">
        <v>34104</v>
      </c>
      <c r="K103" s="8" t="s">
        <v>37</v>
      </c>
      <c r="L103" s="9" t="e">
        <f t="shared" ca="1" si="0"/>
        <v>#NAME?</v>
      </c>
      <c r="M103" s="9" t="e">
        <f t="shared" ca="1" si="1"/>
        <v>#NAME?</v>
      </c>
      <c r="N103" s="10" t="e">
        <f t="shared" ca="1" si="2"/>
        <v>#NAME?</v>
      </c>
      <c r="O103" s="1" t="s">
        <v>38</v>
      </c>
      <c r="P103" s="1"/>
      <c r="Q103" s="1" t="s">
        <v>90</v>
      </c>
      <c r="R103" s="1" t="s">
        <v>486</v>
      </c>
      <c r="S103" s="1" t="s">
        <v>381</v>
      </c>
      <c r="T103" s="1" t="s">
        <v>42</v>
      </c>
      <c r="U103" s="1" t="s">
        <v>104</v>
      </c>
      <c r="V103" s="1" t="s">
        <v>49</v>
      </c>
      <c r="W103" s="1" t="s">
        <v>50</v>
      </c>
      <c r="X103" s="1">
        <v>3</v>
      </c>
      <c r="Y103" s="7">
        <v>31071</v>
      </c>
      <c r="Z103" s="7">
        <v>33816</v>
      </c>
      <c r="AA103" s="1">
        <v>386</v>
      </c>
      <c r="AB103" s="1">
        <v>0</v>
      </c>
      <c r="AC103" s="1">
        <v>0</v>
      </c>
      <c r="AD103" s="1" t="s">
        <v>487</v>
      </c>
    </row>
    <row r="104" spans="1:32" ht="13">
      <c r="A104" s="1" t="s">
        <v>488</v>
      </c>
      <c r="B104" s="1" t="s">
        <v>34</v>
      </c>
      <c r="C104" s="1" t="s">
        <v>35</v>
      </c>
      <c r="D104" s="1"/>
      <c r="E104" s="6">
        <v>15566</v>
      </c>
      <c r="F104" s="1" t="s">
        <v>84</v>
      </c>
      <c r="G104" s="1">
        <v>1978</v>
      </c>
      <c r="H104" s="1">
        <v>8</v>
      </c>
      <c r="I104" s="7">
        <v>28506</v>
      </c>
      <c r="J104" s="7">
        <v>31670</v>
      </c>
      <c r="K104" s="8" t="s">
        <v>37</v>
      </c>
      <c r="L104" s="9" t="e">
        <f t="shared" ca="1" si="0"/>
        <v>#NAME?</v>
      </c>
      <c r="M104" s="9" t="e">
        <f t="shared" ca="1" si="1"/>
        <v>#NAME?</v>
      </c>
      <c r="N104" s="10" t="e">
        <f t="shared" ca="1" si="2"/>
        <v>#NAME?</v>
      </c>
      <c r="O104" s="1" t="s">
        <v>38</v>
      </c>
      <c r="P104" s="1"/>
      <c r="Q104" s="1" t="s">
        <v>90</v>
      </c>
      <c r="R104" s="1" t="s">
        <v>407</v>
      </c>
      <c r="S104" s="1" t="s">
        <v>489</v>
      </c>
      <c r="T104" s="1" t="s">
        <v>272</v>
      </c>
      <c r="U104" s="1" t="s">
        <v>87</v>
      </c>
      <c r="V104" s="1" t="s">
        <v>105</v>
      </c>
      <c r="W104" s="1" t="s">
        <v>490</v>
      </c>
      <c r="X104" s="1">
        <v>2</v>
      </c>
      <c r="Y104" s="7">
        <v>30715</v>
      </c>
      <c r="Z104" s="7">
        <v>31323</v>
      </c>
      <c r="AA104" s="1">
        <v>289</v>
      </c>
      <c r="AB104" s="1">
        <v>2</v>
      </c>
      <c r="AC104" s="1">
        <v>12</v>
      </c>
      <c r="AD104" s="1" t="s">
        <v>491</v>
      </c>
    </row>
    <row r="105" spans="1:32" ht="13">
      <c r="A105" s="1" t="s">
        <v>492</v>
      </c>
      <c r="B105" s="1" t="s">
        <v>394</v>
      </c>
      <c r="C105" s="1" t="s">
        <v>35</v>
      </c>
      <c r="D105" s="1"/>
      <c r="E105" s="6">
        <v>18904</v>
      </c>
      <c r="F105" s="1" t="s">
        <v>124</v>
      </c>
      <c r="G105" s="1">
        <v>1978</v>
      </c>
      <c r="H105" s="1">
        <v>8</v>
      </c>
      <c r="I105" s="7">
        <v>28506</v>
      </c>
      <c r="J105" s="7">
        <v>34135</v>
      </c>
      <c r="K105" s="8" t="s">
        <v>37</v>
      </c>
      <c r="L105" s="9" t="e">
        <f t="shared" ca="1" si="0"/>
        <v>#NAME?</v>
      </c>
      <c r="M105" s="9" t="e">
        <f t="shared" ca="1" si="1"/>
        <v>#NAME?</v>
      </c>
      <c r="N105" s="10" t="e">
        <f t="shared" ca="1" si="2"/>
        <v>#NAME?</v>
      </c>
      <c r="O105" s="1" t="s">
        <v>38</v>
      </c>
      <c r="P105" s="1"/>
      <c r="Q105" s="1" t="s">
        <v>90</v>
      </c>
      <c r="R105" s="1" t="s">
        <v>493</v>
      </c>
      <c r="S105" s="1" t="s">
        <v>494</v>
      </c>
      <c r="T105" s="1" t="s">
        <v>495</v>
      </c>
      <c r="U105" s="1" t="s">
        <v>496</v>
      </c>
      <c r="X105" s="1">
        <v>3</v>
      </c>
      <c r="Y105" s="7">
        <v>30960</v>
      </c>
      <c r="Z105" s="7">
        <v>33687</v>
      </c>
      <c r="AA105" s="1">
        <v>532</v>
      </c>
      <c r="AB105" s="1">
        <v>1</v>
      </c>
      <c r="AC105" s="1">
        <v>3</v>
      </c>
      <c r="AD105" s="1" t="s">
        <v>497</v>
      </c>
    </row>
    <row r="106" spans="1:32" ht="13">
      <c r="A106" s="1" t="s">
        <v>498</v>
      </c>
      <c r="B106" s="1" t="s">
        <v>34</v>
      </c>
      <c r="C106" s="1" t="s">
        <v>35</v>
      </c>
      <c r="D106" s="1"/>
      <c r="E106" s="6">
        <v>15890</v>
      </c>
      <c r="F106" s="1" t="s">
        <v>84</v>
      </c>
      <c r="G106" s="1">
        <v>1978</v>
      </c>
      <c r="H106" s="1">
        <v>8</v>
      </c>
      <c r="I106" s="7">
        <v>28506</v>
      </c>
      <c r="J106" s="7">
        <v>35048</v>
      </c>
      <c r="K106" s="8" t="s">
        <v>37</v>
      </c>
      <c r="L106" s="9" t="e">
        <f t="shared" ca="1" si="0"/>
        <v>#NAME?</v>
      </c>
      <c r="M106" s="9" t="e">
        <f t="shared" ca="1" si="1"/>
        <v>#NAME?</v>
      </c>
      <c r="N106" s="10" t="e">
        <f t="shared" ca="1" si="2"/>
        <v>#NAME?</v>
      </c>
      <c r="O106" s="1" t="s">
        <v>38</v>
      </c>
      <c r="P106" s="1"/>
      <c r="Q106" s="1" t="s">
        <v>90</v>
      </c>
      <c r="R106" s="1" t="s">
        <v>499</v>
      </c>
      <c r="S106" s="1" t="s">
        <v>500</v>
      </c>
      <c r="T106" s="1" t="s">
        <v>346</v>
      </c>
      <c r="U106" s="1" t="s">
        <v>501</v>
      </c>
      <c r="X106" s="1">
        <v>5</v>
      </c>
      <c r="Y106" s="7">
        <v>30475</v>
      </c>
      <c r="Z106" s="7">
        <v>34772</v>
      </c>
      <c r="AA106" s="1">
        <v>3373</v>
      </c>
      <c r="AB106" s="1">
        <v>0</v>
      </c>
      <c r="AC106" s="1">
        <v>0</v>
      </c>
      <c r="AD106" s="1" t="s">
        <v>502</v>
      </c>
    </row>
    <row r="107" spans="1:32" ht="13">
      <c r="A107" s="1" t="s">
        <v>503</v>
      </c>
      <c r="B107" s="1" t="s">
        <v>34</v>
      </c>
      <c r="C107" s="1" t="s">
        <v>35</v>
      </c>
      <c r="D107" s="1"/>
      <c r="E107" s="6">
        <v>16234</v>
      </c>
      <c r="F107" s="1" t="s">
        <v>124</v>
      </c>
      <c r="G107" s="1">
        <v>1978</v>
      </c>
      <c r="H107" s="1">
        <v>8</v>
      </c>
      <c r="I107" s="7">
        <v>28506</v>
      </c>
      <c r="J107" s="7">
        <v>31639</v>
      </c>
      <c r="K107" s="8" t="s">
        <v>37</v>
      </c>
      <c r="L107" s="9" t="e">
        <f t="shared" ca="1" si="0"/>
        <v>#NAME?</v>
      </c>
      <c r="M107" s="9" t="e">
        <f t="shared" ca="1" si="1"/>
        <v>#NAME?</v>
      </c>
      <c r="N107" s="10" t="e">
        <f t="shared" ca="1" si="2"/>
        <v>#NAME?</v>
      </c>
      <c r="O107" s="1" t="s">
        <v>38</v>
      </c>
      <c r="P107" s="1"/>
      <c r="Q107" s="1" t="s">
        <v>90</v>
      </c>
      <c r="R107" s="1" t="s">
        <v>504</v>
      </c>
      <c r="S107" s="1" t="s">
        <v>505</v>
      </c>
      <c r="T107" s="1" t="s">
        <v>506</v>
      </c>
      <c r="U107" s="1" t="s">
        <v>507</v>
      </c>
      <c r="X107" s="1">
        <v>2</v>
      </c>
      <c r="Y107" s="7">
        <v>30778</v>
      </c>
      <c r="Z107" s="7">
        <v>31286</v>
      </c>
      <c r="AA107" s="1">
        <v>338</v>
      </c>
      <c r="AB107" s="1">
        <v>4</v>
      </c>
      <c r="AC107" s="1">
        <v>22</v>
      </c>
      <c r="AD107" s="1" t="s">
        <v>508</v>
      </c>
    </row>
    <row r="108" spans="1:32" ht="13">
      <c r="A108" s="1" t="s">
        <v>509</v>
      </c>
      <c r="B108" s="1" t="s">
        <v>34</v>
      </c>
      <c r="C108" s="1" t="s">
        <v>35</v>
      </c>
      <c r="D108" s="1"/>
      <c r="E108" s="6">
        <v>16212</v>
      </c>
      <c r="F108" s="1" t="s">
        <v>36</v>
      </c>
      <c r="G108" s="1">
        <v>1978</v>
      </c>
      <c r="H108" s="1">
        <v>8</v>
      </c>
      <c r="I108" s="7">
        <v>28506</v>
      </c>
      <c r="J108" s="7">
        <v>35170</v>
      </c>
      <c r="K108" s="8" t="s">
        <v>37</v>
      </c>
      <c r="L108" s="9" t="e">
        <f t="shared" ca="1" si="0"/>
        <v>#NAME?</v>
      </c>
      <c r="M108" s="9" t="e">
        <f t="shared" ca="1" si="1"/>
        <v>#NAME?</v>
      </c>
      <c r="N108" s="10" t="e">
        <f t="shared" ca="1" si="2"/>
        <v>#NAME?</v>
      </c>
      <c r="O108" s="1" t="s">
        <v>38</v>
      </c>
      <c r="P108" s="1"/>
      <c r="Q108" s="1" t="s">
        <v>39</v>
      </c>
      <c r="R108" s="1" t="s">
        <v>510</v>
      </c>
      <c r="S108" s="1" t="s">
        <v>69</v>
      </c>
      <c r="T108" s="1" t="s">
        <v>70</v>
      </c>
      <c r="V108" s="1" t="s">
        <v>71</v>
      </c>
      <c r="W108" s="1" t="s">
        <v>44</v>
      </c>
      <c r="X108" s="1">
        <v>4</v>
      </c>
      <c r="Y108" s="7">
        <v>30994</v>
      </c>
      <c r="Z108" s="7">
        <v>34949</v>
      </c>
      <c r="AA108" s="1">
        <v>724</v>
      </c>
      <c r="AB108" s="1">
        <v>0</v>
      </c>
      <c r="AC108" s="1">
        <v>0</v>
      </c>
      <c r="AD108" s="1" t="s">
        <v>511</v>
      </c>
      <c r="AE108" s="6">
        <v>37004</v>
      </c>
    </row>
    <row r="109" spans="1:32" ht="13">
      <c r="A109" s="1" t="s">
        <v>512</v>
      </c>
      <c r="B109" s="1" t="s">
        <v>34</v>
      </c>
      <c r="C109" s="1" t="s">
        <v>35</v>
      </c>
      <c r="D109" s="1"/>
      <c r="E109" s="6">
        <v>21229</v>
      </c>
      <c r="F109" s="1" t="s">
        <v>36</v>
      </c>
      <c r="G109" s="1">
        <v>1978</v>
      </c>
      <c r="H109" s="1">
        <v>8</v>
      </c>
      <c r="I109" s="7">
        <v>28506</v>
      </c>
      <c r="J109" s="7">
        <v>32947</v>
      </c>
      <c r="K109" s="8" t="s">
        <v>37</v>
      </c>
      <c r="L109" s="9" t="e">
        <f t="shared" ca="1" si="0"/>
        <v>#NAME?</v>
      </c>
      <c r="M109" s="9" t="e">
        <f t="shared" ca="1" si="1"/>
        <v>#NAME?</v>
      </c>
      <c r="N109" s="10" t="e">
        <f t="shared" ca="1" si="2"/>
        <v>#NAME?</v>
      </c>
      <c r="O109" s="1" t="s">
        <v>38</v>
      </c>
      <c r="P109" s="1"/>
      <c r="Q109" s="1" t="s">
        <v>90</v>
      </c>
      <c r="R109" s="1" t="s">
        <v>513</v>
      </c>
      <c r="S109" s="1" t="s">
        <v>61</v>
      </c>
      <c r="T109" s="1" t="s">
        <v>62</v>
      </c>
      <c r="V109" s="1" t="s">
        <v>71</v>
      </c>
      <c r="W109" s="1" t="s">
        <v>44</v>
      </c>
      <c r="X109" s="1">
        <v>2</v>
      </c>
      <c r="Y109" s="7">
        <v>31149</v>
      </c>
      <c r="Z109" s="7">
        <v>32799</v>
      </c>
      <c r="AA109" s="1">
        <v>287</v>
      </c>
      <c r="AB109" s="1">
        <v>0</v>
      </c>
      <c r="AC109" s="1">
        <v>0</v>
      </c>
      <c r="AD109" s="1" t="s">
        <v>514</v>
      </c>
    </row>
    <row r="110" spans="1:32" ht="13">
      <c r="A110" s="1" t="s">
        <v>515</v>
      </c>
      <c r="B110" s="1" t="s">
        <v>34</v>
      </c>
      <c r="C110" s="1" t="s">
        <v>35</v>
      </c>
      <c r="D110" s="1"/>
      <c r="E110" s="6">
        <v>19046</v>
      </c>
      <c r="F110" s="1" t="s">
        <v>124</v>
      </c>
      <c r="G110" s="1">
        <v>1980</v>
      </c>
      <c r="H110" s="1">
        <v>9</v>
      </c>
      <c r="I110" s="7">
        <v>29370</v>
      </c>
      <c r="J110" s="7">
        <v>34926</v>
      </c>
      <c r="K110" s="8" t="s">
        <v>37</v>
      </c>
      <c r="L110" s="9" t="e">
        <f t="shared" ca="1" si="0"/>
        <v>#NAME?</v>
      </c>
      <c r="M110" s="9" t="e">
        <f t="shared" ca="1" si="1"/>
        <v>#NAME?</v>
      </c>
      <c r="N110" s="10" t="e">
        <f t="shared" ca="1" si="2"/>
        <v>#NAME?</v>
      </c>
      <c r="O110" s="1" t="s">
        <v>38</v>
      </c>
      <c r="P110" s="1"/>
      <c r="Q110" s="1" t="s">
        <v>90</v>
      </c>
      <c r="R110" s="1" t="s">
        <v>95</v>
      </c>
      <c r="S110" s="1" t="s">
        <v>516</v>
      </c>
      <c r="T110" s="1" t="s">
        <v>62</v>
      </c>
      <c r="U110" s="1" t="s">
        <v>201</v>
      </c>
      <c r="X110" s="1">
        <v>2</v>
      </c>
      <c r="Y110" s="7">
        <v>32580</v>
      </c>
      <c r="Z110" s="7">
        <v>33394</v>
      </c>
      <c r="AA110" s="1">
        <v>337</v>
      </c>
      <c r="AB110" s="1">
        <v>0</v>
      </c>
      <c r="AC110" s="1">
        <v>0</v>
      </c>
      <c r="AD110" s="1" t="s">
        <v>517</v>
      </c>
    </row>
    <row r="111" spans="1:32" ht="13">
      <c r="A111" s="1" t="s">
        <v>518</v>
      </c>
      <c r="B111" s="1" t="s">
        <v>34</v>
      </c>
      <c r="C111" s="1" t="s">
        <v>35</v>
      </c>
      <c r="D111" s="1"/>
      <c r="E111" s="6">
        <v>15579</v>
      </c>
      <c r="F111" s="1" t="s">
        <v>84</v>
      </c>
      <c r="G111" s="1">
        <v>1980</v>
      </c>
      <c r="H111" s="1">
        <v>9</v>
      </c>
      <c r="I111" s="7">
        <v>29370</v>
      </c>
      <c r="J111" s="7">
        <v>35699</v>
      </c>
      <c r="K111" s="8" t="s">
        <v>37</v>
      </c>
      <c r="L111" s="9" t="e">
        <f t="shared" ca="1" si="0"/>
        <v>#NAME?</v>
      </c>
      <c r="M111" s="9" t="e">
        <f t="shared" ca="1" si="1"/>
        <v>#NAME?</v>
      </c>
      <c r="N111" s="10" t="e">
        <f t="shared" ca="1" si="2"/>
        <v>#NAME?</v>
      </c>
      <c r="O111" s="1" t="s">
        <v>38</v>
      </c>
      <c r="P111" s="1"/>
      <c r="Q111" s="1" t="s">
        <v>90</v>
      </c>
      <c r="R111" s="1" t="s">
        <v>116</v>
      </c>
      <c r="S111" s="1" t="s">
        <v>381</v>
      </c>
      <c r="T111" s="1" t="s">
        <v>346</v>
      </c>
      <c r="U111" s="1" t="s">
        <v>104</v>
      </c>
      <c r="V111" s="1" t="s">
        <v>49</v>
      </c>
      <c r="W111" s="1" t="s">
        <v>50</v>
      </c>
      <c r="X111" s="1">
        <v>5</v>
      </c>
      <c r="Y111" s="7">
        <v>32580</v>
      </c>
      <c r="Z111" s="7">
        <v>35324</v>
      </c>
      <c r="AA111" s="1">
        <v>3861</v>
      </c>
      <c r="AB111" s="1">
        <v>0</v>
      </c>
      <c r="AC111" s="1">
        <v>0</v>
      </c>
      <c r="AD111" s="1" t="s">
        <v>519</v>
      </c>
    </row>
    <row r="112" spans="1:32" ht="13">
      <c r="A112" s="1" t="s">
        <v>520</v>
      </c>
      <c r="B112" s="1" t="s">
        <v>34</v>
      </c>
      <c r="C112" s="1" t="s">
        <v>361</v>
      </c>
      <c r="D112" s="1"/>
      <c r="E112" s="6">
        <v>17033</v>
      </c>
      <c r="F112" s="1" t="s">
        <v>36</v>
      </c>
      <c r="G112" s="1">
        <v>1980</v>
      </c>
      <c r="H112" s="1">
        <v>9</v>
      </c>
      <c r="I112" s="19">
        <v>29360</v>
      </c>
      <c r="J112" s="19">
        <v>34512</v>
      </c>
      <c r="K112" s="8" t="s">
        <v>37</v>
      </c>
      <c r="L112" s="9" t="e">
        <f t="shared" ca="1" si="0"/>
        <v>#NAME?</v>
      </c>
      <c r="M112" s="9" t="e">
        <f t="shared" ca="1" si="1"/>
        <v>#NAME?</v>
      </c>
      <c r="N112" s="10" t="e">
        <f t="shared" ca="1" si="2"/>
        <v>#NAME?</v>
      </c>
      <c r="O112" s="1" t="s">
        <v>38</v>
      </c>
      <c r="P112" s="1"/>
      <c r="Q112" s="1" t="s">
        <v>521</v>
      </c>
      <c r="R112" s="1" t="s">
        <v>522</v>
      </c>
      <c r="S112" s="1" t="s">
        <v>523</v>
      </c>
      <c r="T112" s="1" t="s">
        <v>524</v>
      </c>
      <c r="U112" s="1" t="s">
        <v>525</v>
      </c>
      <c r="V112" s="1" t="s">
        <v>133</v>
      </c>
      <c r="W112" s="1" t="s">
        <v>56</v>
      </c>
      <c r="X112" s="1">
        <v>4</v>
      </c>
      <c r="Y112" s="19">
        <v>31424</v>
      </c>
      <c r="Z112" s="19">
        <v>34368</v>
      </c>
      <c r="AA112" s="1">
        <v>680</v>
      </c>
      <c r="AB112" s="1">
        <v>0</v>
      </c>
      <c r="AC112" s="1">
        <v>0</v>
      </c>
      <c r="AD112" s="1" t="s">
        <v>526</v>
      </c>
    </row>
    <row r="113" spans="1:32" ht="13">
      <c r="A113" s="1" t="s">
        <v>527</v>
      </c>
      <c r="B113" s="1" t="s">
        <v>34</v>
      </c>
      <c r="C113" s="1" t="s">
        <v>35</v>
      </c>
      <c r="D113" s="1"/>
      <c r="E113" s="6">
        <v>15906</v>
      </c>
      <c r="F113" s="1" t="s">
        <v>36</v>
      </c>
      <c r="G113" s="1">
        <v>1980</v>
      </c>
      <c r="H113" s="1">
        <v>9</v>
      </c>
      <c r="I113" s="7">
        <v>29370</v>
      </c>
      <c r="J113" s="7">
        <v>35490</v>
      </c>
      <c r="K113" s="8" t="s">
        <v>37</v>
      </c>
      <c r="L113" s="9" t="e">
        <f t="shared" ca="1" si="0"/>
        <v>#NAME?</v>
      </c>
      <c r="M113" s="9" t="e">
        <f t="shared" ca="1" si="1"/>
        <v>#NAME?</v>
      </c>
      <c r="N113" s="10" t="e">
        <f t="shared" ca="1" si="2"/>
        <v>#NAME?</v>
      </c>
      <c r="O113" s="1" t="s">
        <v>38</v>
      </c>
      <c r="P113" s="1"/>
      <c r="Q113" s="1" t="s">
        <v>90</v>
      </c>
      <c r="R113" s="1" t="s">
        <v>528</v>
      </c>
      <c r="S113" s="1" t="s">
        <v>381</v>
      </c>
      <c r="T113" s="1" t="s">
        <v>346</v>
      </c>
      <c r="U113" s="1" t="s">
        <v>127</v>
      </c>
      <c r="V113" s="1" t="s">
        <v>133</v>
      </c>
      <c r="W113" s="1" t="s">
        <v>50</v>
      </c>
      <c r="X113" s="1">
        <v>1</v>
      </c>
      <c r="Y113" s="7">
        <v>31257</v>
      </c>
      <c r="Z113" s="7">
        <v>31257</v>
      </c>
      <c r="AA113" s="1">
        <v>190</v>
      </c>
      <c r="AB113" s="1">
        <v>0</v>
      </c>
      <c r="AC113" s="1">
        <v>0</v>
      </c>
      <c r="AD113" s="1" t="s">
        <v>301</v>
      </c>
    </row>
    <row r="114" spans="1:32" ht="13">
      <c r="A114" s="1" t="s">
        <v>529</v>
      </c>
      <c r="B114" s="1" t="s">
        <v>34</v>
      </c>
      <c r="C114" s="1" t="s">
        <v>530</v>
      </c>
      <c r="D114" s="1" t="s">
        <v>531</v>
      </c>
      <c r="E114" s="6">
        <v>18358</v>
      </c>
      <c r="F114" s="1" t="s">
        <v>124</v>
      </c>
      <c r="G114" s="1">
        <v>1980</v>
      </c>
      <c r="H114" s="1">
        <v>9</v>
      </c>
      <c r="I114" s="7">
        <v>29370</v>
      </c>
      <c r="J114" s="7">
        <v>38548</v>
      </c>
      <c r="K114" s="8" t="s">
        <v>37</v>
      </c>
      <c r="L114" s="9" t="e">
        <f t="shared" ca="1" si="0"/>
        <v>#NAME?</v>
      </c>
      <c r="M114" s="9" t="e">
        <f t="shared" ca="1" si="1"/>
        <v>#NAME?</v>
      </c>
      <c r="N114" s="10" t="e">
        <f t="shared" ca="1" si="2"/>
        <v>#NAME?</v>
      </c>
      <c r="O114" s="1" t="s">
        <v>38</v>
      </c>
      <c r="P114" s="1"/>
      <c r="Q114" s="1" t="s">
        <v>90</v>
      </c>
      <c r="R114" s="1" t="s">
        <v>532</v>
      </c>
      <c r="S114" s="1" t="s">
        <v>533</v>
      </c>
      <c r="T114" s="1" t="s">
        <v>62</v>
      </c>
      <c r="U114" s="1" t="s">
        <v>534</v>
      </c>
      <c r="X114" s="1">
        <v>7</v>
      </c>
      <c r="Y114" s="7">
        <v>31424</v>
      </c>
      <c r="Z114" s="7">
        <v>37412</v>
      </c>
      <c r="AA114" s="1">
        <v>1602</v>
      </c>
      <c r="AB114" s="1">
        <v>3</v>
      </c>
      <c r="AC114" s="1">
        <v>19</v>
      </c>
      <c r="AD114" s="1" t="s">
        <v>535</v>
      </c>
    </row>
    <row r="115" spans="1:32" ht="13">
      <c r="A115" s="1" t="s">
        <v>536</v>
      </c>
      <c r="B115" s="1" t="s">
        <v>394</v>
      </c>
      <c r="C115" s="1" t="s">
        <v>35</v>
      </c>
      <c r="D115" s="1"/>
      <c r="E115" s="6">
        <v>17203</v>
      </c>
      <c r="F115" s="1" t="s">
        <v>124</v>
      </c>
      <c r="G115" s="1">
        <v>1980</v>
      </c>
      <c r="H115" s="1">
        <v>9</v>
      </c>
      <c r="I115" s="7">
        <v>29370</v>
      </c>
      <c r="J115" s="7">
        <v>39128</v>
      </c>
      <c r="K115" s="8" t="s">
        <v>37</v>
      </c>
      <c r="L115" s="9" t="e">
        <f t="shared" ca="1" si="0"/>
        <v>#NAME?</v>
      </c>
      <c r="M115" s="9" t="e">
        <f t="shared" ca="1" si="1"/>
        <v>#NAME?</v>
      </c>
      <c r="N115" s="10" t="e">
        <f t="shared" ca="1" si="2"/>
        <v>#NAME?</v>
      </c>
      <c r="O115" s="1" t="s">
        <v>38</v>
      </c>
      <c r="P115" s="1"/>
      <c r="Q115" s="1" t="s">
        <v>90</v>
      </c>
      <c r="R115" s="1" t="s">
        <v>537</v>
      </c>
      <c r="S115" s="1" t="s">
        <v>538</v>
      </c>
      <c r="T115" s="1" t="s">
        <v>539</v>
      </c>
      <c r="U115" s="1" t="s">
        <v>540</v>
      </c>
      <c r="X115" s="1">
        <v>2</v>
      </c>
      <c r="Y115" s="7">
        <v>31377</v>
      </c>
      <c r="Z115" s="7">
        <v>32632</v>
      </c>
      <c r="AA115" s="1">
        <v>262</v>
      </c>
      <c r="AB115" s="1">
        <v>0</v>
      </c>
      <c r="AC115" s="1">
        <v>0</v>
      </c>
      <c r="AD115" s="1" t="s">
        <v>541</v>
      </c>
    </row>
    <row r="116" spans="1:32" ht="13">
      <c r="A116" s="1" t="s">
        <v>542</v>
      </c>
      <c r="B116" s="1" t="s">
        <v>394</v>
      </c>
      <c r="C116" s="1" t="s">
        <v>35</v>
      </c>
      <c r="D116" s="1"/>
      <c r="E116" s="6">
        <v>17960</v>
      </c>
      <c r="F116" s="1" t="s">
        <v>124</v>
      </c>
      <c r="G116" s="1">
        <v>1980</v>
      </c>
      <c r="H116" s="1">
        <v>9</v>
      </c>
      <c r="I116" s="7">
        <v>29370</v>
      </c>
      <c r="J116" s="7">
        <v>38610</v>
      </c>
      <c r="K116" s="8" t="s">
        <v>37</v>
      </c>
      <c r="L116" s="9" t="e">
        <f t="shared" ca="1" si="0"/>
        <v>#NAME?</v>
      </c>
      <c r="M116" s="9" t="e">
        <f t="shared" ca="1" si="1"/>
        <v>#NAME?</v>
      </c>
      <c r="N116" s="10" t="e">
        <f t="shared" ca="1" si="2"/>
        <v>#NAME?</v>
      </c>
      <c r="O116" s="1" t="s">
        <v>38</v>
      </c>
      <c r="P116" s="1"/>
      <c r="Q116" s="1" t="s">
        <v>90</v>
      </c>
      <c r="R116" s="1" t="s">
        <v>543</v>
      </c>
      <c r="S116" s="1" t="s">
        <v>544</v>
      </c>
      <c r="T116" s="1" t="s">
        <v>545</v>
      </c>
      <c r="U116" s="1" t="s">
        <v>546</v>
      </c>
      <c r="X116" s="1">
        <v>5</v>
      </c>
      <c r="Y116" s="7">
        <v>31350</v>
      </c>
      <c r="Z116" s="7">
        <v>35817</v>
      </c>
      <c r="AA116" s="1">
        <v>1207</v>
      </c>
      <c r="AB116" s="1">
        <v>0</v>
      </c>
      <c r="AC116" s="1">
        <v>0</v>
      </c>
      <c r="AD116" s="1" t="s">
        <v>547</v>
      </c>
    </row>
    <row r="117" spans="1:32" ht="13">
      <c r="A117" s="1" t="s">
        <v>548</v>
      </c>
      <c r="B117" s="1" t="s">
        <v>34</v>
      </c>
      <c r="C117" s="1" t="s">
        <v>35</v>
      </c>
      <c r="D117" s="1"/>
      <c r="E117" s="6">
        <v>16893</v>
      </c>
      <c r="F117" s="1" t="s">
        <v>84</v>
      </c>
      <c r="G117" s="1">
        <v>1980</v>
      </c>
      <c r="H117" s="1">
        <v>9</v>
      </c>
      <c r="I117" s="7">
        <v>29370</v>
      </c>
      <c r="J117" s="7">
        <v>33269</v>
      </c>
      <c r="K117" s="8" t="s">
        <v>37</v>
      </c>
      <c r="L117" s="9" t="e">
        <f t="shared" ca="1" si="0"/>
        <v>#NAME?</v>
      </c>
      <c r="M117" s="9" t="e">
        <f t="shared" ca="1" si="1"/>
        <v>#NAME?</v>
      </c>
      <c r="N117" s="10" t="e">
        <f t="shared" ca="1" si="2"/>
        <v>#NAME?</v>
      </c>
      <c r="O117" s="1" t="s">
        <v>38</v>
      </c>
      <c r="P117" s="1"/>
      <c r="Q117" s="1" t="s">
        <v>90</v>
      </c>
      <c r="R117" s="1" t="s">
        <v>108</v>
      </c>
      <c r="S117" s="1" t="s">
        <v>549</v>
      </c>
      <c r="U117" s="1" t="s">
        <v>550</v>
      </c>
      <c r="X117" s="1">
        <v>1</v>
      </c>
      <c r="Y117" s="7">
        <v>31286</v>
      </c>
      <c r="Z117" s="7">
        <v>31286</v>
      </c>
      <c r="AA117" s="1">
        <v>170</v>
      </c>
      <c r="AB117" s="1">
        <v>2</v>
      </c>
      <c r="AC117" s="1">
        <v>12</v>
      </c>
      <c r="AD117" s="1" t="s">
        <v>551</v>
      </c>
    </row>
    <row r="118" spans="1:32" ht="13">
      <c r="A118" s="1" t="s">
        <v>552</v>
      </c>
      <c r="B118" s="1" t="s">
        <v>34</v>
      </c>
      <c r="C118" s="1" t="s">
        <v>35</v>
      </c>
      <c r="D118" s="1"/>
      <c r="E118" s="6">
        <v>17538</v>
      </c>
      <c r="F118" s="1" t="s">
        <v>84</v>
      </c>
      <c r="G118" s="1">
        <v>1980</v>
      </c>
      <c r="H118" s="1">
        <v>9</v>
      </c>
      <c r="I118" s="7">
        <v>29370</v>
      </c>
      <c r="J118" s="7">
        <v>33404</v>
      </c>
      <c r="K118" s="8" t="s">
        <v>37</v>
      </c>
      <c r="L118" s="9" t="e">
        <f t="shared" ca="1" si="0"/>
        <v>#NAME?</v>
      </c>
      <c r="M118" s="9" t="e">
        <f t="shared" ca="1" si="1"/>
        <v>#NAME?</v>
      </c>
      <c r="N118" s="10" t="e">
        <f t="shared" ca="1" si="2"/>
        <v>#NAME?</v>
      </c>
      <c r="O118" s="1" t="s">
        <v>38</v>
      </c>
      <c r="P118" s="1"/>
      <c r="Q118" s="1" t="s">
        <v>90</v>
      </c>
      <c r="R118" s="1" t="s">
        <v>553</v>
      </c>
      <c r="S118" s="1" t="s">
        <v>381</v>
      </c>
      <c r="T118" s="1" t="s">
        <v>554</v>
      </c>
      <c r="U118" s="1" t="s">
        <v>127</v>
      </c>
      <c r="V118" s="1" t="s">
        <v>49</v>
      </c>
      <c r="W118" s="1" t="s">
        <v>50</v>
      </c>
      <c r="X118" s="1">
        <v>2</v>
      </c>
      <c r="Y118" s="7">
        <v>32479</v>
      </c>
      <c r="Z118" s="7">
        <v>33209</v>
      </c>
      <c r="AA118" s="1">
        <v>320</v>
      </c>
      <c r="AB118" s="1">
        <v>0</v>
      </c>
      <c r="AC118" s="1">
        <v>0</v>
      </c>
      <c r="AD118" s="1" t="s">
        <v>555</v>
      </c>
    </row>
    <row r="119" spans="1:32" ht="13">
      <c r="A119" s="1" t="s">
        <v>556</v>
      </c>
      <c r="B119" s="1" t="s">
        <v>34</v>
      </c>
      <c r="C119" s="1" t="s">
        <v>35</v>
      </c>
      <c r="D119" s="1"/>
      <c r="E119" s="6">
        <v>16601</v>
      </c>
      <c r="F119" s="1" t="s">
        <v>36</v>
      </c>
      <c r="G119" s="1">
        <v>1980</v>
      </c>
      <c r="H119" s="1">
        <v>9</v>
      </c>
      <c r="I119" s="7">
        <v>29370</v>
      </c>
      <c r="J119" s="7">
        <v>34435</v>
      </c>
      <c r="K119" s="8" t="s">
        <v>37</v>
      </c>
      <c r="L119" s="9" t="e">
        <f t="shared" ca="1" si="0"/>
        <v>#NAME?</v>
      </c>
      <c r="M119" s="9" t="e">
        <f t="shared" ca="1" si="1"/>
        <v>#NAME?</v>
      </c>
      <c r="N119" s="10" t="e">
        <f t="shared" ca="1" si="2"/>
        <v>#NAME?</v>
      </c>
      <c r="O119" s="1" t="s">
        <v>38</v>
      </c>
      <c r="P119" s="1"/>
      <c r="Q119" s="1" t="s">
        <v>90</v>
      </c>
      <c r="R119" s="1" t="s">
        <v>326</v>
      </c>
      <c r="S119" s="1" t="s">
        <v>557</v>
      </c>
      <c r="T119" s="1" t="s">
        <v>346</v>
      </c>
      <c r="V119" s="1" t="s">
        <v>49</v>
      </c>
      <c r="W119" s="1" t="s">
        <v>50</v>
      </c>
      <c r="X119" s="1">
        <v>4</v>
      </c>
      <c r="Y119" s="7">
        <v>31323</v>
      </c>
      <c r="Z119" s="7">
        <v>34141</v>
      </c>
      <c r="AA119" s="1">
        <v>627</v>
      </c>
      <c r="AB119" s="1">
        <v>0</v>
      </c>
      <c r="AC119" s="1">
        <v>0</v>
      </c>
      <c r="AD119" s="1" t="s">
        <v>558</v>
      </c>
    </row>
    <row r="120" spans="1:32" ht="13">
      <c r="A120" s="1" t="s">
        <v>559</v>
      </c>
      <c r="B120" s="1" t="s">
        <v>34</v>
      </c>
      <c r="C120" s="1" t="s">
        <v>35</v>
      </c>
      <c r="D120" s="1"/>
      <c r="E120" s="6">
        <v>18291</v>
      </c>
      <c r="F120" s="1" t="s">
        <v>124</v>
      </c>
      <c r="G120" s="1">
        <v>1980</v>
      </c>
      <c r="H120" s="1">
        <v>9</v>
      </c>
      <c r="I120" s="7">
        <v>29370</v>
      </c>
      <c r="J120" s="7">
        <v>33892</v>
      </c>
      <c r="K120" s="8" t="s">
        <v>37</v>
      </c>
      <c r="L120" s="9" t="e">
        <f t="shared" ca="1" si="0"/>
        <v>#NAME?</v>
      </c>
      <c r="M120" s="9" t="e">
        <f t="shared" ca="1" si="1"/>
        <v>#NAME?</v>
      </c>
      <c r="N120" s="10" t="e">
        <f t="shared" ca="1" si="2"/>
        <v>#NAME?</v>
      </c>
      <c r="O120" s="1" t="s">
        <v>38</v>
      </c>
      <c r="P120" s="1"/>
      <c r="Q120" s="1" t="s">
        <v>90</v>
      </c>
      <c r="R120" s="1" t="s">
        <v>560</v>
      </c>
      <c r="S120" s="1" t="s">
        <v>561</v>
      </c>
      <c r="T120" s="1" t="s">
        <v>272</v>
      </c>
      <c r="U120" s="1" t="s">
        <v>139</v>
      </c>
      <c r="V120" s="1" t="s">
        <v>49</v>
      </c>
      <c r="W120" s="1" t="s">
        <v>56</v>
      </c>
      <c r="X120" s="1">
        <v>4</v>
      </c>
      <c r="Y120" s="7">
        <v>31323</v>
      </c>
      <c r="Z120" s="7">
        <v>33625</v>
      </c>
      <c r="AA120" s="1">
        <v>494</v>
      </c>
      <c r="AB120" s="1">
        <v>0</v>
      </c>
      <c r="AC120" s="1">
        <v>0</v>
      </c>
      <c r="AD120" s="1" t="s">
        <v>562</v>
      </c>
    </row>
    <row r="121" spans="1:32" ht="13">
      <c r="A121" s="1" t="s">
        <v>563</v>
      </c>
      <c r="B121" s="1" t="s">
        <v>34</v>
      </c>
      <c r="C121" s="1" t="s">
        <v>35</v>
      </c>
      <c r="D121" s="1"/>
      <c r="E121" s="6">
        <v>18024</v>
      </c>
      <c r="F121" s="1" t="s">
        <v>84</v>
      </c>
      <c r="G121" s="1">
        <v>1980</v>
      </c>
      <c r="H121" s="1">
        <v>9</v>
      </c>
      <c r="I121" s="7">
        <v>29370</v>
      </c>
      <c r="J121" s="7">
        <v>41789</v>
      </c>
      <c r="K121" s="8" t="s">
        <v>37</v>
      </c>
      <c r="L121" s="9" t="e">
        <f t="shared" ca="1" si="0"/>
        <v>#NAME?</v>
      </c>
      <c r="M121" s="9" t="e">
        <f t="shared" ca="1" si="1"/>
        <v>#NAME?</v>
      </c>
      <c r="N121" s="10" t="e">
        <f t="shared" ca="1" si="2"/>
        <v>#NAME?</v>
      </c>
      <c r="O121" s="1" t="s">
        <v>38</v>
      </c>
      <c r="P121" s="1"/>
      <c r="Q121" s="1" t="s">
        <v>521</v>
      </c>
      <c r="R121" s="1" t="s">
        <v>564</v>
      </c>
      <c r="S121" s="1" t="s">
        <v>565</v>
      </c>
      <c r="T121" s="1" t="s">
        <v>42</v>
      </c>
      <c r="U121" s="1" t="s">
        <v>42</v>
      </c>
      <c r="V121" s="1" t="s">
        <v>71</v>
      </c>
      <c r="W121" s="1" t="s">
        <v>44</v>
      </c>
      <c r="X121" s="1">
        <v>3</v>
      </c>
      <c r="Y121" s="7">
        <v>30960</v>
      </c>
      <c r="Z121" s="7">
        <v>33687</v>
      </c>
      <c r="AA121" s="1">
        <v>532</v>
      </c>
      <c r="AB121" s="1">
        <v>1</v>
      </c>
      <c r="AC121" s="1">
        <v>3</v>
      </c>
      <c r="AD121" s="1" t="s">
        <v>566</v>
      </c>
    </row>
    <row r="122" spans="1:32" ht="13">
      <c r="A122" s="1" t="s">
        <v>567</v>
      </c>
      <c r="B122" s="1" t="s">
        <v>34</v>
      </c>
      <c r="C122" s="1" t="s">
        <v>35</v>
      </c>
      <c r="D122" s="1"/>
      <c r="E122" s="6">
        <v>16981</v>
      </c>
      <c r="F122" s="1" t="s">
        <v>84</v>
      </c>
      <c r="G122" s="1">
        <v>1980</v>
      </c>
      <c r="H122" s="1">
        <v>9</v>
      </c>
      <c r="I122" s="7">
        <v>29370</v>
      </c>
      <c r="J122" s="7">
        <v>33409</v>
      </c>
      <c r="K122" s="8" t="s">
        <v>37</v>
      </c>
      <c r="L122" s="9" t="e">
        <f t="shared" ca="1" si="0"/>
        <v>#NAME?</v>
      </c>
      <c r="M122" s="9" t="e">
        <f t="shared" ca="1" si="1"/>
        <v>#NAME?</v>
      </c>
      <c r="N122" s="10" t="e">
        <f t="shared" ca="1" si="2"/>
        <v>#NAME?</v>
      </c>
      <c r="O122" s="1" t="s">
        <v>38</v>
      </c>
      <c r="P122" s="1"/>
      <c r="Q122" s="1" t="s">
        <v>39</v>
      </c>
      <c r="R122" s="1" t="s">
        <v>223</v>
      </c>
      <c r="S122" s="1" t="s">
        <v>568</v>
      </c>
      <c r="T122" s="1" t="s">
        <v>289</v>
      </c>
      <c r="U122" s="1" t="s">
        <v>569</v>
      </c>
      <c r="X122" s="1">
        <v>3</v>
      </c>
      <c r="Y122" s="7">
        <v>31286</v>
      </c>
      <c r="Z122" s="7">
        <v>33209</v>
      </c>
      <c r="AA122" s="1">
        <v>483</v>
      </c>
      <c r="AB122" s="1">
        <v>0</v>
      </c>
      <c r="AC122" s="1">
        <v>0</v>
      </c>
      <c r="AD122" s="1" t="s">
        <v>570</v>
      </c>
      <c r="AE122" s="6">
        <v>40603</v>
      </c>
    </row>
    <row r="123" spans="1:32" ht="13">
      <c r="A123" s="1" t="s">
        <v>571</v>
      </c>
      <c r="B123" s="1" t="s">
        <v>34</v>
      </c>
      <c r="C123" s="1" t="s">
        <v>35</v>
      </c>
      <c r="D123" s="1"/>
      <c r="E123" s="6">
        <v>17051</v>
      </c>
      <c r="F123" s="1" t="s">
        <v>84</v>
      </c>
      <c r="G123" s="1">
        <v>1980</v>
      </c>
      <c r="H123" s="1">
        <v>9</v>
      </c>
      <c r="I123" s="7">
        <v>29370</v>
      </c>
      <c r="J123" s="7">
        <v>40770</v>
      </c>
      <c r="K123" s="8" t="s">
        <v>37</v>
      </c>
      <c r="L123" s="9" t="e">
        <f t="shared" ca="1" si="0"/>
        <v>#NAME?</v>
      </c>
      <c r="M123" s="9" t="e">
        <f t="shared" ca="1" si="1"/>
        <v>#NAME?</v>
      </c>
      <c r="N123" s="10" t="e">
        <f t="shared" ca="1" si="2"/>
        <v>#NAME?</v>
      </c>
      <c r="O123" s="1" t="s">
        <v>38</v>
      </c>
      <c r="P123" s="1"/>
      <c r="Q123" s="1" t="s">
        <v>90</v>
      </c>
      <c r="R123" s="1" t="s">
        <v>572</v>
      </c>
      <c r="S123" s="1" t="s">
        <v>573</v>
      </c>
      <c r="T123" s="1" t="s">
        <v>55</v>
      </c>
      <c r="U123" s="1" t="s">
        <v>574</v>
      </c>
      <c r="V123" s="1" t="s">
        <v>49</v>
      </c>
      <c r="W123" s="1" t="s">
        <v>56</v>
      </c>
      <c r="X123" s="1">
        <v>2</v>
      </c>
      <c r="Y123" s="7">
        <v>31377</v>
      </c>
      <c r="Z123" s="7">
        <v>33394</v>
      </c>
      <c r="AA123" s="1">
        <v>383</v>
      </c>
      <c r="AB123" s="1">
        <v>0</v>
      </c>
      <c r="AC123" s="1">
        <v>0</v>
      </c>
      <c r="AD123" s="1" t="s">
        <v>575</v>
      </c>
    </row>
    <row r="124" spans="1:32" ht="13">
      <c r="A124" s="1" t="s">
        <v>576</v>
      </c>
      <c r="B124" s="1" t="s">
        <v>34</v>
      </c>
      <c r="C124" s="1" t="s">
        <v>35</v>
      </c>
      <c r="D124" s="1"/>
      <c r="E124" s="6">
        <v>17038</v>
      </c>
      <c r="F124" s="1" t="s">
        <v>84</v>
      </c>
      <c r="G124" s="1">
        <v>1980</v>
      </c>
      <c r="H124" s="1">
        <v>9</v>
      </c>
      <c r="I124" s="7">
        <v>29370</v>
      </c>
      <c r="J124" s="7">
        <v>36022</v>
      </c>
      <c r="K124" s="8" t="s">
        <v>37</v>
      </c>
      <c r="L124" s="9" t="e">
        <f t="shared" ca="1" si="0"/>
        <v>#NAME?</v>
      </c>
      <c r="M124" s="9" t="e">
        <f t="shared" ca="1" si="1"/>
        <v>#NAME?</v>
      </c>
      <c r="N124" s="10" t="e">
        <f t="shared" ca="1" si="2"/>
        <v>#NAME?</v>
      </c>
      <c r="O124" s="1" t="s">
        <v>38</v>
      </c>
      <c r="P124" s="1"/>
      <c r="Q124" s="1" t="s">
        <v>90</v>
      </c>
      <c r="R124" s="1" t="s">
        <v>577</v>
      </c>
      <c r="S124" s="1" t="s">
        <v>578</v>
      </c>
      <c r="T124" s="1" t="s">
        <v>579</v>
      </c>
      <c r="U124" s="1" t="s">
        <v>574</v>
      </c>
      <c r="V124" s="1" t="s">
        <v>71</v>
      </c>
      <c r="W124" s="1" t="s">
        <v>44</v>
      </c>
      <c r="X124" s="1">
        <v>4</v>
      </c>
      <c r="Y124" s="7">
        <v>32728</v>
      </c>
      <c r="Z124" s="7">
        <v>34586</v>
      </c>
      <c r="AA124" s="1">
        <v>813</v>
      </c>
      <c r="AB124" s="1">
        <v>0</v>
      </c>
      <c r="AC124" s="1">
        <v>0</v>
      </c>
      <c r="AD124" s="1" t="s">
        <v>580</v>
      </c>
    </row>
    <row r="125" spans="1:32" ht="13">
      <c r="A125" s="1" t="s">
        <v>581</v>
      </c>
      <c r="B125" s="1" t="s">
        <v>34</v>
      </c>
      <c r="C125" s="1" t="s">
        <v>35</v>
      </c>
      <c r="D125" s="1"/>
      <c r="E125" s="6">
        <v>17552</v>
      </c>
      <c r="F125" s="1" t="s">
        <v>84</v>
      </c>
      <c r="G125" s="1">
        <v>1980</v>
      </c>
      <c r="H125" s="1">
        <v>9</v>
      </c>
      <c r="I125" s="7">
        <v>29370</v>
      </c>
      <c r="J125" s="7">
        <v>40928</v>
      </c>
      <c r="K125" s="8" t="s">
        <v>37</v>
      </c>
      <c r="L125" s="9" t="e">
        <f t="shared" ca="1" si="0"/>
        <v>#NAME?</v>
      </c>
      <c r="M125" s="9" t="e">
        <f t="shared" ca="1" si="1"/>
        <v>#NAME?</v>
      </c>
      <c r="N125" s="10" t="e">
        <f t="shared" ca="1" si="2"/>
        <v>#NAME?</v>
      </c>
      <c r="O125" s="1" t="s">
        <v>38</v>
      </c>
      <c r="P125" s="1"/>
      <c r="Q125" s="1" t="s">
        <v>90</v>
      </c>
      <c r="R125" s="1" t="s">
        <v>582</v>
      </c>
      <c r="S125" s="1" t="s">
        <v>61</v>
      </c>
      <c r="T125" s="1" t="s">
        <v>62</v>
      </c>
      <c r="U125" s="1" t="s">
        <v>62</v>
      </c>
      <c r="V125" s="1" t="s">
        <v>49</v>
      </c>
      <c r="W125" s="1" t="s">
        <v>50</v>
      </c>
      <c r="X125" s="1">
        <v>7</v>
      </c>
      <c r="Y125" s="7">
        <v>31377</v>
      </c>
      <c r="Z125" s="7">
        <v>37354</v>
      </c>
      <c r="AA125" s="1">
        <v>1393</v>
      </c>
      <c r="AB125" s="1">
        <v>9</v>
      </c>
      <c r="AC125" s="1">
        <v>58</v>
      </c>
      <c r="AD125" s="1" t="s">
        <v>583</v>
      </c>
    </row>
    <row r="126" spans="1:32" ht="13">
      <c r="A126" s="1" t="s">
        <v>584</v>
      </c>
      <c r="B126" s="1" t="s">
        <v>34</v>
      </c>
      <c r="C126" s="1" t="s">
        <v>35</v>
      </c>
      <c r="D126" s="1"/>
      <c r="E126" s="6">
        <v>16557</v>
      </c>
      <c r="F126" s="1" t="s">
        <v>84</v>
      </c>
      <c r="G126" s="1">
        <v>1980</v>
      </c>
      <c r="H126" s="1">
        <v>9</v>
      </c>
      <c r="I126" s="7">
        <v>29370</v>
      </c>
      <c r="J126" s="12">
        <v>31440</v>
      </c>
      <c r="K126" s="13" t="s">
        <v>59</v>
      </c>
      <c r="L126" s="9" t="e">
        <f t="shared" ca="1" si="0"/>
        <v>#NAME?</v>
      </c>
      <c r="M126" s="9" t="e">
        <f t="shared" ca="1" si="1"/>
        <v>#NAME?</v>
      </c>
      <c r="N126" s="10" t="e">
        <f t="shared" ca="1" si="2"/>
        <v>#NAME?</v>
      </c>
      <c r="O126" s="1" t="s">
        <v>38</v>
      </c>
      <c r="P126" s="1"/>
      <c r="Q126" s="1" t="s">
        <v>39</v>
      </c>
      <c r="R126" s="1" t="s">
        <v>585</v>
      </c>
      <c r="S126" s="1" t="s">
        <v>565</v>
      </c>
      <c r="T126" s="1" t="s">
        <v>70</v>
      </c>
      <c r="U126" s="1" t="s">
        <v>42</v>
      </c>
      <c r="V126" s="1" t="s">
        <v>71</v>
      </c>
      <c r="W126" s="1" t="s">
        <v>150</v>
      </c>
      <c r="X126" s="1">
        <v>1</v>
      </c>
      <c r="Y126" s="7">
        <v>31440</v>
      </c>
      <c r="Z126" s="7">
        <v>31440</v>
      </c>
      <c r="AA126" s="1">
        <v>0</v>
      </c>
      <c r="AB126" s="1">
        <v>0</v>
      </c>
      <c r="AC126" s="1">
        <v>0</v>
      </c>
      <c r="AD126" s="1" t="s">
        <v>444</v>
      </c>
      <c r="AE126" s="6">
        <v>31440</v>
      </c>
      <c r="AF126" s="1" t="s">
        <v>444</v>
      </c>
    </row>
    <row r="127" spans="1:32" ht="13">
      <c r="A127" s="1" t="s">
        <v>586</v>
      </c>
      <c r="B127" s="1" t="s">
        <v>34</v>
      </c>
      <c r="C127" s="1" t="s">
        <v>35</v>
      </c>
      <c r="D127" s="1"/>
      <c r="E127" s="6">
        <v>16338</v>
      </c>
      <c r="F127" s="1" t="s">
        <v>84</v>
      </c>
      <c r="G127" s="1">
        <v>1980</v>
      </c>
      <c r="H127" s="1">
        <v>9</v>
      </c>
      <c r="I127" s="7">
        <v>29370</v>
      </c>
      <c r="J127" s="7">
        <v>32370</v>
      </c>
      <c r="K127" s="8" t="s">
        <v>37</v>
      </c>
      <c r="L127" s="9" t="e">
        <f t="shared" ca="1" si="0"/>
        <v>#NAME?</v>
      </c>
      <c r="M127" s="9" t="e">
        <f t="shared" ca="1" si="1"/>
        <v>#NAME?</v>
      </c>
      <c r="N127" s="10" t="e">
        <f t="shared" ca="1" si="2"/>
        <v>#NAME?</v>
      </c>
      <c r="O127" s="1" t="s">
        <v>38</v>
      </c>
      <c r="P127" s="1"/>
      <c r="Q127" s="1" t="s">
        <v>90</v>
      </c>
      <c r="R127" s="1" t="s">
        <v>587</v>
      </c>
      <c r="S127" s="1" t="s">
        <v>588</v>
      </c>
      <c r="T127" s="1" t="s">
        <v>55</v>
      </c>
      <c r="U127" s="1" t="s">
        <v>87</v>
      </c>
      <c r="V127" s="1" t="s">
        <v>49</v>
      </c>
      <c r="W127" s="1" t="s">
        <v>490</v>
      </c>
      <c r="X127" s="1">
        <v>1</v>
      </c>
      <c r="Y127" s="7">
        <v>31377</v>
      </c>
      <c r="Z127" s="7">
        <v>31377</v>
      </c>
      <c r="AA127" s="1">
        <v>165</v>
      </c>
      <c r="AB127" s="1">
        <v>2</v>
      </c>
      <c r="AC127" s="1">
        <v>12</v>
      </c>
      <c r="AD127" s="1" t="s">
        <v>589</v>
      </c>
    </row>
    <row r="128" spans="1:32" ht="13">
      <c r="A128" s="1" t="s">
        <v>590</v>
      </c>
      <c r="B128" s="1" t="s">
        <v>34</v>
      </c>
      <c r="C128" s="1" t="s">
        <v>35</v>
      </c>
      <c r="D128" s="1"/>
      <c r="E128" s="6">
        <v>15482</v>
      </c>
      <c r="F128" s="1" t="s">
        <v>84</v>
      </c>
      <c r="G128" s="1">
        <v>1980</v>
      </c>
      <c r="H128" s="1">
        <v>9</v>
      </c>
      <c r="I128" s="7">
        <v>29370</v>
      </c>
      <c r="J128" s="7">
        <v>33222</v>
      </c>
      <c r="K128" s="8" t="s">
        <v>37</v>
      </c>
      <c r="L128" s="9" t="e">
        <f t="shared" ca="1" si="0"/>
        <v>#NAME?</v>
      </c>
      <c r="M128" s="9" t="e">
        <f t="shared" ca="1" si="1"/>
        <v>#NAME?</v>
      </c>
      <c r="N128" s="10" t="e">
        <f t="shared" ca="1" si="2"/>
        <v>#NAME?</v>
      </c>
      <c r="O128" s="1" t="s">
        <v>38</v>
      </c>
      <c r="P128" s="1"/>
      <c r="Q128" s="1" t="s">
        <v>90</v>
      </c>
      <c r="R128" s="1" t="s">
        <v>591</v>
      </c>
      <c r="S128" s="1" t="s">
        <v>565</v>
      </c>
      <c r="T128" s="1" t="s">
        <v>70</v>
      </c>
      <c r="U128" s="1" t="s">
        <v>592</v>
      </c>
      <c r="V128" s="1" t="s">
        <v>49</v>
      </c>
      <c r="W128" s="1" t="s">
        <v>56</v>
      </c>
      <c r="X128" s="1">
        <v>2</v>
      </c>
      <c r="Y128" s="7">
        <v>32580</v>
      </c>
      <c r="Z128" s="7">
        <v>33192</v>
      </c>
      <c r="AA128" s="1">
        <v>237</v>
      </c>
      <c r="AB128" s="1">
        <v>0</v>
      </c>
      <c r="AC128" s="1">
        <v>0</v>
      </c>
      <c r="AD128" s="1" t="s">
        <v>593</v>
      </c>
    </row>
    <row r="129" spans="1:31" ht="13">
      <c r="A129" s="1" t="s">
        <v>594</v>
      </c>
      <c r="B129" s="1" t="s">
        <v>34</v>
      </c>
      <c r="C129" s="1" t="s">
        <v>35</v>
      </c>
      <c r="D129" s="1"/>
      <c r="E129" s="6">
        <v>16864</v>
      </c>
      <c r="F129" s="1" t="s">
        <v>84</v>
      </c>
      <c r="G129" s="1">
        <v>1984</v>
      </c>
      <c r="H129" s="1">
        <v>10</v>
      </c>
      <c r="I129" s="7">
        <v>30825</v>
      </c>
      <c r="J129" s="20">
        <v>33756</v>
      </c>
      <c r="K129" s="8" t="s">
        <v>37</v>
      </c>
      <c r="L129" s="9" t="e">
        <f t="shared" ca="1" si="0"/>
        <v>#NAME?</v>
      </c>
      <c r="M129" s="9" t="e">
        <f t="shared" ca="1" si="1"/>
        <v>#NAME?</v>
      </c>
      <c r="N129" s="10" t="e">
        <f t="shared" ca="1" si="2"/>
        <v>#NAME?</v>
      </c>
      <c r="O129" s="1" t="s">
        <v>38</v>
      </c>
      <c r="P129" s="1"/>
      <c r="Q129" s="1" t="s">
        <v>90</v>
      </c>
      <c r="R129" s="1" t="s">
        <v>595</v>
      </c>
      <c r="S129" s="1" t="s">
        <v>596</v>
      </c>
      <c r="T129" s="1" t="s">
        <v>55</v>
      </c>
      <c r="U129" s="1" t="s">
        <v>87</v>
      </c>
      <c r="V129" s="1" t="s">
        <v>49</v>
      </c>
      <c r="W129" s="1" t="s">
        <v>490</v>
      </c>
      <c r="X129" s="1">
        <v>2</v>
      </c>
      <c r="Y129" s="7">
        <v>32728</v>
      </c>
      <c r="Z129" s="7">
        <v>33452</v>
      </c>
      <c r="AA129" s="1">
        <v>334</v>
      </c>
      <c r="AB129" s="1">
        <v>0</v>
      </c>
      <c r="AC129" s="1">
        <v>0</v>
      </c>
      <c r="AD129" s="1" t="s">
        <v>597</v>
      </c>
    </row>
    <row r="130" spans="1:31" ht="13">
      <c r="A130" s="1" t="s">
        <v>598</v>
      </c>
      <c r="B130" s="1" t="s">
        <v>394</v>
      </c>
      <c r="C130" s="1" t="s">
        <v>35</v>
      </c>
      <c r="D130" s="1"/>
      <c r="E130" s="6">
        <v>19476</v>
      </c>
      <c r="F130" s="1" t="s">
        <v>124</v>
      </c>
      <c r="G130" s="1">
        <v>1984</v>
      </c>
      <c r="H130" s="1">
        <v>10</v>
      </c>
      <c r="I130" s="7">
        <v>30825</v>
      </c>
      <c r="J130" s="7">
        <v>40892</v>
      </c>
      <c r="K130" s="8" t="s">
        <v>37</v>
      </c>
      <c r="L130" s="9" t="e">
        <f t="shared" ca="1" si="0"/>
        <v>#NAME?</v>
      </c>
      <c r="M130" s="9" t="e">
        <f t="shared" ca="1" si="1"/>
        <v>#NAME?</v>
      </c>
      <c r="N130" s="10" t="e">
        <f t="shared" ca="1" si="2"/>
        <v>#NAME?</v>
      </c>
      <c r="O130" s="1" t="s">
        <v>38</v>
      </c>
      <c r="P130" s="1"/>
      <c r="Q130" s="1" t="s">
        <v>90</v>
      </c>
      <c r="R130" s="1" t="s">
        <v>599</v>
      </c>
      <c r="S130" s="1" t="s">
        <v>600</v>
      </c>
      <c r="T130" s="1" t="s">
        <v>210</v>
      </c>
      <c r="U130" s="1" t="s">
        <v>601</v>
      </c>
      <c r="X130" s="1">
        <v>3</v>
      </c>
      <c r="Y130" s="7">
        <v>32799</v>
      </c>
      <c r="Z130" s="7">
        <v>34877</v>
      </c>
      <c r="AA130" s="1">
        <v>686</v>
      </c>
      <c r="AB130" s="1">
        <v>0</v>
      </c>
      <c r="AC130" s="1">
        <v>0</v>
      </c>
      <c r="AD130" s="1" t="s">
        <v>602</v>
      </c>
    </row>
    <row r="131" spans="1:31" ht="13">
      <c r="A131" s="1" t="s">
        <v>603</v>
      </c>
      <c r="B131" s="1" t="s">
        <v>34</v>
      </c>
      <c r="C131" s="1" t="s">
        <v>35</v>
      </c>
      <c r="D131" s="1"/>
      <c r="E131" s="6">
        <v>18950</v>
      </c>
      <c r="F131" s="1" t="s">
        <v>84</v>
      </c>
      <c r="G131" s="1">
        <v>1984</v>
      </c>
      <c r="H131" s="1">
        <v>10</v>
      </c>
      <c r="I131" s="7">
        <v>30825</v>
      </c>
      <c r="J131" s="7">
        <v>34165</v>
      </c>
      <c r="K131" s="8" t="s">
        <v>37</v>
      </c>
      <c r="L131" s="9" t="e">
        <f t="shared" ca="1" si="0"/>
        <v>#NAME?</v>
      </c>
      <c r="M131" s="9" t="e">
        <f t="shared" ca="1" si="1"/>
        <v>#NAME?</v>
      </c>
      <c r="N131" s="10" t="e">
        <f t="shared" ca="1" si="2"/>
        <v>#NAME?</v>
      </c>
      <c r="O131" s="1" t="s">
        <v>38</v>
      </c>
      <c r="P131" s="1"/>
      <c r="Q131" s="1" t="s">
        <v>90</v>
      </c>
      <c r="R131" s="1" t="s">
        <v>604</v>
      </c>
      <c r="S131" s="1" t="s">
        <v>605</v>
      </c>
      <c r="T131" s="1" t="s">
        <v>285</v>
      </c>
      <c r="U131" s="1" t="s">
        <v>104</v>
      </c>
      <c r="V131" s="1" t="s">
        <v>49</v>
      </c>
      <c r="W131" s="1" t="s">
        <v>50</v>
      </c>
      <c r="X131" s="1">
        <v>2</v>
      </c>
      <c r="Y131" s="7">
        <v>32728</v>
      </c>
      <c r="Z131" s="7">
        <v>33493</v>
      </c>
      <c r="AA131" s="1">
        <v>249</v>
      </c>
      <c r="AB131" s="1">
        <v>0</v>
      </c>
      <c r="AC131" s="1">
        <v>0</v>
      </c>
      <c r="AD131" s="1" t="s">
        <v>606</v>
      </c>
    </row>
    <row r="132" spans="1:31" ht="13">
      <c r="A132" s="1" t="s">
        <v>607</v>
      </c>
      <c r="B132" s="1" t="s">
        <v>34</v>
      </c>
      <c r="C132" s="1" t="s">
        <v>35</v>
      </c>
      <c r="D132" s="1"/>
      <c r="E132" s="6">
        <v>18231</v>
      </c>
      <c r="F132" s="1" t="s">
        <v>84</v>
      </c>
      <c r="G132" s="1">
        <v>1984</v>
      </c>
      <c r="H132" s="1">
        <v>10</v>
      </c>
      <c r="I132" s="7">
        <v>30825</v>
      </c>
      <c r="J132" s="7">
        <v>39797</v>
      </c>
      <c r="K132" s="8" t="s">
        <v>37</v>
      </c>
      <c r="L132" s="9" t="e">
        <f t="shared" ca="1" si="0"/>
        <v>#NAME?</v>
      </c>
      <c r="M132" s="9" t="e">
        <f t="shared" ca="1" si="1"/>
        <v>#NAME?</v>
      </c>
      <c r="N132" s="10" t="e">
        <f t="shared" ca="1" si="2"/>
        <v>#NAME?</v>
      </c>
      <c r="O132" s="1" t="s">
        <v>38</v>
      </c>
      <c r="P132" s="1"/>
      <c r="Q132" s="1" t="s">
        <v>90</v>
      </c>
      <c r="R132" s="1" t="s">
        <v>99</v>
      </c>
      <c r="S132" s="1" t="s">
        <v>608</v>
      </c>
      <c r="T132" s="1" t="s">
        <v>175</v>
      </c>
      <c r="U132" s="1" t="s">
        <v>609</v>
      </c>
      <c r="V132" s="1" t="s">
        <v>49</v>
      </c>
      <c r="W132" s="1" t="s">
        <v>56</v>
      </c>
      <c r="X132" s="1">
        <v>3</v>
      </c>
      <c r="Y132" s="7">
        <v>33333</v>
      </c>
      <c r="Z132" s="7">
        <v>35015</v>
      </c>
      <c r="AA132" s="1">
        <v>562</v>
      </c>
      <c r="AB132" s="1">
        <v>0</v>
      </c>
      <c r="AC132" s="1">
        <v>0</v>
      </c>
      <c r="AD132" s="1" t="s">
        <v>610</v>
      </c>
    </row>
    <row r="133" spans="1:31" ht="13">
      <c r="A133" s="1" t="s">
        <v>611</v>
      </c>
      <c r="B133" s="1" t="s">
        <v>34</v>
      </c>
      <c r="C133" s="1" t="s">
        <v>35</v>
      </c>
      <c r="D133" s="1"/>
      <c r="E133" s="6">
        <v>17394</v>
      </c>
      <c r="F133" s="1" t="s">
        <v>124</v>
      </c>
      <c r="G133" s="1">
        <v>1984</v>
      </c>
      <c r="H133" s="1">
        <v>10</v>
      </c>
      <c r="I133" s="7">
        <v>30825</v>
      </c>
      <c r="J133" s="12">
        <v>33333</v>
      </c>
      <c r="K133" s="13" t="s">
        <v>59</v>
      </c>
      <c r="L133" s="9" t="e">
        <f t="shared" ca="1" si="0"/>
        <v>#NAME?</v>
      </c>
      <c r="M133" s="9" t="e">
        <f t="shared" ca="1" si="1"/>
        <v>#NAME?</v>
      </c>
      <c r="N133" s="10" t="e">
        <f t="shared" ca="1" si="2"/>
        <v>#NAME?</v>
      </c>
      <c r="O133" s="1" t="s">
        <v>38</v>
      </c>
      <c r="P133" s="1"/>
      <c r="Q133" s="1" t="s">
        <v>39</v>
      </c>
      <c r="R133" s="1" t="s">
        <v>612</v>
      </c>
      <c r="S133" s="1" t="s">
        <v>613</v>
      </c>
      <c r="T133" s="1" t="s">
        <v>170</v>
      </c>
      <c r="U133" s="1" t="s">
        <v>201</v>
      </c>
      <c r="V133" s="1" t="s">
        <v>71</v>
      </c>
      <c r="W133" s="1" t="s">
        <v>150</v>
      </c>
      <c r="X133" s="1">
        <v>1</v>
      </c>
      <c r="Y133" s="7">
        <v>32834</v>
      </c>
      <c r="Z133" s="7">
        <v>32834</v>
      </c>
      <c r="AA133" s="1">
        <v>120</v>
      </c>
      <c r="AB133" s="1">
        <v>0</v>
      </c>
      <c r="AC133" s="1">
        <v>0</v>
      </c>
      <c r="AD133" s="1" t="s">
        <v>614</v>
      </c>
      <c r="AE133" s="6">
        <v>33333</v>
      </c>
    </row>
    <row r="134" spans="1:31" ht="13">
      <c r="A134" s="1" t="s">
        <v>615</v>
      </c>
      <c r="B134" s="1" t="s">
        <v>34</v>
      </c>
      <c r="C134" s="1" t="s">
        <v>35</v>
      </c>
      <c r="D134" s="1"/>
      <c r="E134" s="6">
        <v>15896</v>
      </c>
      <c r="F134" s="1" t="s">
        <v>84</v>
      </c>
      <c r="G134" s="1">
        <v>1984</v>
      </c>
      <c r="H134" s="1">
        <v>10</v>
      </c>
      <c r="I134" s="7">
        <v>30825</v>
      </c>
      <c r="J134" s="12">
        <v>39800</v>
      </c>
      <c r="K134" s="13" t="s">
        <v>59</v>
      </c>
      <c r="L134" s="9" t="e">
        <f t="shared" ca="1" si="0"/>
        <v>#NAME?</v>
      </c>
      <c r="M134" s="9" t="e">
        <f t="shared" ca="1" si="1"/>
        <v>#NAME?</v>
      </c>
      <c r="N134" s="10" t="e">
        <f t="shared" ca="1" si="2"/>
        <v>#NAME?</v>
      </c>
      <c r="O134" s="1" t="s">
        <v>38</v>
      </c>
      <c r="P134" s="1"/>
      <c r="Q134" s="1" t="s">
        <v>521</v>
      </c>
      <c r="R134" s="1" t="s">
        <v>616</v>
      </c>
      <c r="S134" s="1" t="s">
        <v>381</v>
      </c>
      <c r="T134" s="1" t="s">
        <v>346</v>
      </c>
      <c r="U134" s="1" t="s">
        <v>127</v>
      </c>
      <c r="V134" s="1" t="s">
        <v>49</v>
      </c>
      <c r="W134" s="1" t="s">
        <v>50</v>
      </c>
      <c r="X134" s="1">
        <v>4</v>
      </c>
      <c r="Y134" s="7">
        <v>32932</v>
      </c>
      <c r="Z134" s="7">
        <v>35204</v>
      </c>
      <c r="AA134" s="1">
        <v>825</v>
      </c>
      <c r="AB134" s="1">
        <v>0</v>
      </c>
      <c r="AC134" s="1">
        <v>0</v>
      </c>
      <c r="AD134" s="1" t="s">
        <v>617</v>
      </c>
    </row>
    <row r="135" spans="1:31" ht="13">
      <c r="A135" s="1" t="s">
        <v>618</v>
      </c>
      <c r="B135" s="1" t="s">
        <v>34</v>
      </c>
      <c r="C135" s="1" t="s">
        <v>35</v>
      </c>
      <c r="D135" s="1"/>
      <c r="E135" s="6">
        <v>18033</v>
      </c>
      <c r="F135" s="1" t="s">
        <v>36</v>
      </c>
      <c r="G135" s="1">
        <v>1984</v>
      </c>
      <c r="H135" s="1">
        <v>10</v>
      </c>
      <c r="I135" s="7">
        <v>30825</v>
      </c>
      <c r="J135" s="7">
        <v>37492</v>
      </c>
      <c r="K135" s="8" t="s">
        <v>37</v>
      </c>
      <c r="L135" s="9" t="e">
        <f t="shared" ca="1" si="0"/>
        <v>#NAME?</v>
      </c>
      <c r="M135" s="9" t="e">
        <f t="shared" ca="1" si="1"/>
        <v>#NAME?</v>
      </c>
      <c r="N135" s="10" t="e">
        <f t="shared" ca="1" si="2"/>
        <v>#NAME?</v>
      </c>
      <c r="O135" s="1" t="s">
        <v>38</v>
      </c>
      <c r="P135" s="1"/>
      <c r="Q135" s="1" t="s">
        <v>90</v>
      </c>
      <c r="R135" s="1" t="s">
        <v>619</v>
      </c>
      <c r="S135" s="1" t="s">
        <v>69</v>
      </c>
      <c r="T135" s="1" t="s">
        <v>87</v>
      </c>
      <c r="V135" s="1" t="s">
        <v>71</v>
      </c>
      <c r="W135" s="1" t="s">
        <v>44</v>
      </c>
      <c r="X135" s="1">
        <v>3</v>
      </c>
      <c r="Y135" s="7">
        <v>33192</v>
      </c>
      <c r="Z135" s="7">
        <v>37205</v>
      </c>
      <c r="AA135" s="1">
        <v>3446</v>
      </c>
      <c r="AB135" s="1">
        <v>1</v>
      </c>
      <c r="AC135" s="1">
        <v>5</v>
      </c>
      <c r="AD135" s="1" t="s">
        <v>620</v>
      </c>
    </row>
    <row r="136" spans="1:31" ht="13">
      <c r="A136" s="1" t="s">
        <v>621</v>
      </c>
      <c r="B136" s="1" t="s">
        <v>34</v>
      </c>
      <c r="C136" s="1" t="s">
        <v>530</v>
      </c>
      <c r="D136" s="1"/>
      <c r="E136" s="6">
        <v>18806</v>
      </c>
      <c r="F136" s="1" t="s">
        <v>84</v>
      </c>
      <c r="G136" s="1">
        <v>1984</v>
      </c>
      <c r="H136" s="1">
        <v>10</v>
      </c>
      <c r="I136" s="7">
        <v>30825</v>
      </c>
      <c r="J136" s="7">
        <v>34592</v>
      </c>
      <c r="K136" s="8" t="s">
        <v>37</v>
      </c>
      <c r="L136" s="9" t="e">
        <f t="shared" ca="1" si="0"/>
        <v>#NAME?</v>
      </c>
      <c r="M136" s="9" t="e">
        <f t="shared" ca="1" si="1"/>
        <v>#NAME?</v>
      </c>
      <c r="N136" s="10" t="e">
        <f t="shared" ca="1" si="2"/>
        <v>#NAME?</v>
      </c>
      <c r="O136" s="1" t="s">
        <v>38</v>
      </c>
      <c r="P136" s="1"/>
      <c r="Q136" s="1" t="s">
        <v>90</v>
      </c>
      <c r="R136" s="1" t="s">
        <v>622</v>
      </c>
      <c r="S136" s="1" t="s">
        <v>623</v>
      </c>
      <c r="T136" s="1" t="s">
        <v>42</v>
      </c>
      <c r="U136" s="1" t="s">
        <v>624</v>
      </c>
      <c r="V136" s="1" t="s">
        <v>49</v>
      </c>
      <c r="W136" s="1" t="s">
        <v>50</v>
      </c>
      <c r="X136" s="1">
        <v>2</v>
      </c>
      <c r="Y136" s="7">
        <v>33394</v>
      </c>
      <c r="Z136" s="7">
        <v>34433</v>
      </c>
      <c r="AA136" s="1">
        <v>488</v>
      </c>
      <c r="AB136" s="1">
        <v>0</v>
      </c>
      <c r="AC136" s="1">
        <v>0</v>
      </c>
      <c r="AD136" s="1" t="s">
        <v>625</v>
      </c>
    </row>
    <row r="137" spans="1:31" ht="13">
      <c r="A137" s="1" t="s">
        <v>626</v>
      </c>
      <c r="B137" s="1" t="s">
        <v>34</v>
      </c>
      <c r="C137" s="1" t="s">
        <v>35</v>
      </c>
      <c r="D137" s="1"/>
      <c r="E137" s="6">
        <v>19009</v>
      </c>
      <c r="F137" s="1" t="s">
        <v>84</v>
      </c>
      <c r="G137" s="1">
        <v>1984</v>
      </c>
      <c r="H137" s="1">
        <v>10</v>
      </c>
      <c r="I137" s="7">
        <v>30825</v>
      </c>
      <c r="J137" s="7">
        <v>35849</v>
      </c>
      <c r="K137" s="8" t="s">
        <v>37</v>
      </c>
      <c r="L137" s="9" t="e">
        <f t="shared" ca="1" si="0"/>
        <v>#NAME?</v>
      </c>
      <c r="M137" s="9" t="e">
        <f t="shared" ca="1" si="1"/>
        <v>#NAME?</v>
      </c>
      <c r="N137" s="10" t="e">
        <f t="shared" ca="1" si="2"/>
        <v>#NAME?</v>
      </c>
      <c r="O137" s="1" t="s">
        <v>38</v>
      </c>
      <c r="P137" s="1"/>
      <c r="Q137" s="1" t="s">
        <v>90</v>
      </c>
      <c r="R137" s="1" t="s">
        <v>627</v>
      </c>
      <c r="S137" s="1" t="s">
        <v>628</v>
      </c>
      <c r="T137" s="1" t="s">
        <v>346</v>
      </c>
      <c r="U137" s="1" t="s">
        <v>346</v>
      </c>
      <c r="V137" s="1" t="s">
        <v>49</v>
      </c>
      <c r="W137" s="1" t="s">
        <v>50</v>
      </c>
      <c r="X137" s="1">
        <v>2</v>
      </c>
      <c r="Y137" s="7">
        <v>33356</v>
      </c>
      <c r="Z137" s="7">
        <v>34586</v>
      </c>
      <c r="AA137" s="1">
        <v>462</v>
      </c>
      <c r="AB137" s="1">
        <v>0</v>
      </c>
      <c r="AC137" s="1">
        <v>0</v>
      </c>
      <c r="AD137" s="1" t="s">
        <v>629</v>
      </c>
    </row>
    <row r="138" spans="1:31" ht="13">
      <c r="A138" s="1" t="s">
        <v>630</v>
      </c>
      <c r="B138" s="1" t="s">
        <v>394</v>
      </c>
      <c r="C138" s="1" t="s">
        <v>35</v>
      </c>
      <c r="D138" s="1"/>
      <c r="E138" s="6">
        <v>18733</v>
      </c>
      <c r="F138" s="1" t="s">
        <v>36</v>
      </c>
      <c r="G138" s="1">
        <v>1984</v>
      </c>
      <c r="H138" s="1">
        <v>10</v>
      </c>
      <c r="I138" s="7">
        <v>30825</v>
      </c>
      <c r="J138" s="7">
        <v>40543</v>
      </c>
      <c r="K138" s="8" t="s">
        <v>37</v>
      </c>
      <c r="L138" s="9" t="e">
        <f t="shared" ca="1" si="0"/>
        <v>#NAME?</v>
      </c>
      <c r="M138" s="9" t="e">
        <f t="shared" ca="1" si="1"/>
        <v>#NAME?</v>
      </c>
      <c r="N138" s="10" t="e">
        <f t="shared" ca="1" si="2"/>
        <v>#NAME?</v>
      </c>
      <c r="O138" s="1" t="s">
        <v>38</v>
      </c>
      <c r="P138" s="1"/>
      <c r="Q138" s="1" t="s">
        <v>90</v>
      </c>
      <c r="R138" s="1" t="s">
        <v>631</v>
      </c>
      <c r="S138" s="1" t="s">
        <v>41</v>
      </c>
      <c r="T138" s="1" t="s">
        <v>87</v>
      </c>
      <c r="X138" s="1">
        <v>5</v>
      </c>
      <c r="Y138" s="7">
        <v>32882</v>
      </c>
      <c r="Z138" s="7">
        <v>36929</v>
      </c>
      <c r="AA138" s="1">
        <v>1341</v>
      </c>
      <c r="AB138" s="1">
        <v>0</v>
      </c>
      <c r="AC138" s="1">
        <v>0</v>
      </c>
      <c r="AD138" s="1" t="s">
        <v>632</v>
      </c>
    </row>
    <row r="139" spans="1:31" ht="13">
      <c r="A139" s="1" t="s">
        <v>633</v>
      </c>
      <c r="B139" s="1" t="s">
        <v>34</v>
      </c>
      <c r="C139" s="1" t="s">
        <v>35</v>
      </c>
      <c r="D139" s="1"/>
      <c r="E139" s="6">
        <v>19220</v>
      </c>
      <c r="F139" s="1" t="s">
        <v>84</v>
      </c>
      <c r="G139" s="1">
        <v>1984</v>
      </c>
      <c r="H139" s="1">
        <v>10</v>
      </c>
      <c r="I139" s="7">
        <v>30825</v>
      </c>
      <c r="J139" s="7">
        <v>37073</v>
      </c>
      <c r="K139" s="8" t="s">
        <v>37</v>
      </c>
      <c r="L139" s="9" t="e">
        <f t="shared" ca="1" si="0"/>
        <v>#NAME?</v>
      </c>
      <c r="M139" s="9" t="e">
        <f t="shared" ca="1" si="1"/>
        <v>#NAME?</v>
      </c>
      <c r="N139" s="10" t="e">
        <f t="shared" ca="1" si="2"/>
        <v>#NAME?</v>
      </c>
      <c r="O139" s="1" t="s">
        <v>38</v>
      </c>
      <c r="P139" s="1"/>
      <c r="Q139" s="1" t="s">
        <v>90</v>
      </c>
      <c r="R139" s="1" t="s">
        <v>634</v>
      </c>
      <c r="S139" s="1" t="s">
        <v>635</v>
      </c>
      <c r="T139" s="1" t="s">
        <v>506</v>
      </c>
      <c r="U139" s="1" t="s">
        <v>62</v>
      </c>
      <c r="V139" s="1" t="s">
        <v>49</v>
      </c>
      <c r="W139" s="1" t="s">
        <v>50</v>
      </c>
      <c r="X139" s="1">
        <v>4</v>
      </c>
      <c r="Y139" s="7">
        <v>32632</v>
      </c>
      <c r="Z139" s="7">
        <v>35482</v>
      </c>
      <c r="AA139" s="1">
        <v>789</v>
      </c>
      <c r="AB139" s="1">
        <v>4</v>
      </c>
      <c r="AC139" s="1">
        <v>26</v>
      </c>
      <c r="AD139" s="1" t="s">
        <v>636</v>
      </c>
    </row>
    <row r="140" spans="1:31" ht="13">
      <c r="A140" s="1" t="s">
        <v>637</v>
      </c>
      <c r="B140" s="1" t="s">
        <v>34</v>
      </c>
      <c r="C140" s="1" t="s">
        <v>35</v>
      </c>
      <c r="D140" s="1"/>
      <c r="E140" s="6">
        <v>20504</v>
      </c>
      <c r="F140" s="1" t="s">
        <v>84</v>
      </c>
      <c r="G140" s="1">
        <v>1984</v>
      </c>
      <c r="H140" s="1">
        <v>10</v>
      </c>
      <c r="I140" s="7">
        <v>30825</v>
      </c>
      <c r="J140" s="7">
        <v>35115</v>
      </c>
      <c r="K140" s="8" t="s">
        <v>37</v>
      </c>
      <c r="L140" s="9" t="e">
        <f t="shared" ca="1" si="0"/>
        <v>#NAME?</v>
      </c>
      <c r="M140" s="9" t="e">
        <f t="shared" ca="1" si="1"/>
        <v>#NAME?</v>
      </c>
      <c r="N140" s="10" t="e">
        <f t="shared" ca="1" si="2"/>
        <v>#NAME?</v>
      </c>
      <c r="O140" s="1" t="s">
        <v>38</v>
      </c>
      <c r="P140" s="1"/>
      <c r="Q140" s="1" t="s">
        <v>39</v>
      </c>
      <c r="R140" s="1" t="s">
        <v>99</v>
      </c>
      <c r="S140" s="1" t="s">
        <v>638</v>
      </c>
      <c r="T140" s="1" t="s">
        <v>639</v>
      </c>
      <c r="U140" s="1" t="s">
        <v>640</v>
      </c>
      <c r="X140" s="1">
        <v>3</v>
      </c>
      <c r="Y140" s="7">
        <v>32882</v>
      </c>
      <c r="Z140" s="7">
        <v>34141</v>
      </c>
      <c r="AA140" s="1">
        <v>714</v>
      </c>
      <c r="AB140" s="1">
        <v>1</v>
      </c>
      <c r="AC140" s="1">
        <v>6</v>
      </c>
      <c r="AD140" s="1" t="s">
        <v>641</v>
      </c>
      <c r="AE140" s="6">
        <v>39522</v>
      </c>
    </row>
    <row r="141" spans="1:31" ht="13">
      <c r="A141" s="1" t="s">
        <v>642</v>
      </c>
      <c r="B141" s="1" t="s">
        <v>34</v>
      </c>
      <c r="C141" s="1" t="s">
        <v>35</v>
      </c>
      <c r="D141" s="1"/>
      <c r="E141" s="6">
        <v>15922</v>
      </c>
      <c r="F141" s="1" t="s">
        <v>84</v>
      </c>
      <c r="G141" s="1">
        <v>1984</v>
      </c>
      <c r="H141" s="1">
        <v>10</v>
      </c>
      <c r="I141" s="7">
        <v>30825</v>
      </c>
      <c r="J141" s="7">
        <v>33161</v>
      </c>
      <c r="K141" s="8" t="s">
        <v>37</v>
      </c>
      <c r="L141" s="9" t="e">
        <f t="shared" ca="1" si="0"/>
        <v>#NAME?</v>
      </c>
      <c r="M141" s="9" t="e">
        <f t="shared" ca="1" si="1"/>
        <v>#NAME?</v>
      </c>
      <c r="N141" s="10" t="e">
        <f t="shared" ca="1" si="2"/>
        <v>#NAME?</v>
      </c>
      <c r="O141" s="1" t="s">
        <v>38</v>
      </c>
      <c r="P141" s="1"/>
      <c r="Q141" s="1" t="s">
        <v>90</v>
      </c>
      <c r="R141" s="1" t="s">
        <v>643</v>
      </c>
      <c r="S141" s="1" t="s">
        <v>61</v>
      </c>
      <c r="T141" s="1" t="s">
        <v>644</v>
      </c>
      <c r="U141" s="1" t="s">
        <v>644</v>
      </c>
      <c r="V141" s="1" t="s">
        <v>71</v>
      </c>
      <c r="W141" s="1" t="s">
        <v>44</v>
      </c>
      <c r="X141" s="1">
        <v>1</v>
      </c>
      <c r="Y141" s="7">
        <v>32799</v>
      </c>
      <c r="Z141" s="7">
        <v>32799</v>
      </c>
      <c r="AA141" s="1">
        <v>119</v>
      </c>
      <c r="AB141" s="1">
        <v>0</v>
      </c>
      <c r="AC141" s="1">
        <v>0</v>
      </c>
      <c r="AD141" s="1" t="s">
        <v>645</v>
      </c>
    </row>
    <row r="142" spans="1:31" ht="13">
      <c r="A142" s="1" t="s">
        <v>646</v>
      </c>
      <c r="B142" s="1" t="s">
        <v>34</v>
      </c>
      <c r="C142" s="1" t="s">
        <v>35</v>
      </c>
      <c r="D142" s="1"/>
      <c r="E142" s="6">
        <v>18105</v>
      </c>
      <c r="F142" s="1" t="s">
        <v>84</v>
      </c>
      <c r="G142" s="1">
        <v>1984</v>
      </c>
      <c r="H142" s="1">
        <v>10</v>
      </c>
      <c r="I142" s="7">
        <v>30825</v>
      </c>
      <c r="J142" s="7">
        <v>37271</v>
      </c>
      <c r="K142" s="8" t="s">
        <v>37</v>
      </c>
      <c r="L142" s="9" t="e">
        <f t="shared" ca="1" si="0"/>
        <v>#NAME?</v>
      </c>
      <c r="M142" s="9" t="e">
        <f t="shared" ca="1" si="1"/>
        <v>#NAME?</v>
      </c>
      <c r="N142" s="10" t="e">
        <f t="shared" ca="1" si="2"/>
        <v>#NAME?</v>
      </c>
      <c r="O142" s="1" t="s">
        <v>38</v>
      </c>
      <c r="P142" s="1"/>
      <c r="Q142" s="1" t="s">
        <v>90</v>
      </c>
      <c r="R142" s="1" t="s">
        <v>647</v>
      </c>
      <c r="S142" s="1" t="s">
        <v>227</v>
      </c>
      <c r="T142" s="1" t="s">
        <v>87</v>
      </c>
      <c r="U142" s="1" t="s">
        <v>452</v>
      </c>
      <c r="V142" s="1" t="s">
        <v>71</v>
      </c>
      <c r="W142" s="1" t="s">
        <v>44</v>
      </c>
      <c r="X142" s="1">
        <v>4</v>
      </c>
      <c r="Y142" s="7">
        <v>32479</v>
      </c>
      <c r="Z142" s="7">
        <v>33899</v>
      </c>
      <c r="AA142" s="1">
        <v>3823</v>
      </c>
      <c r="AB142" s="1">
        <v>0</v>
      </c>
      <c r="AC142" s="1">
        <v>0</v>
      </c>
      <c r="AD142" s="1" t="s">
        <v>648</v>
      </c>
    </row>
    <row r="143" spans="1:31" ht="13">
      <c r="A143" s="1" t="s">
        <v>649</v>
      </c>
      <c r="B143" s="1" t="s">
        <v>394</v>
      </c>
      <c r="C143" s="1" t="s">
        <v>35</v>
      </c>
      <c r="D143" s="1"/>
      <c r="E143" s="6">
        <v>19223</v>
      </c>
      <c r="F143" s="1" t="s">
        <v>124</v>
      </c>
      <c r="G143" s="1">
        <v>1984</v>
      </c>
      <c r="H143" s="1">
        <v>10</v>
      </c>
      <c r="I143" s="7">
        <v>30825</v>
      </c>
      <c r="J143" s="7">
        <v>35278</v>
      </c>
      <c r="K143" s="8" t="s">
        <v>37</v>
      </c>
      <c r="L143" s="9" t="e">
        <f t="shared" ca="1" si="0"/>
        <v>#NAME?</v>
      </c>
      <c r="M143" s="9" t="e">
        <f t="shared" ca="1" si="1"/>
        <v>#NAME?</v>
      </c>
      <c r="N143" s="10" t="e">
        <f t="shared" ca="1" si="2"/>
        <v>#NAME?</v>
      </c>
      <c r="O143" s="1" t="s">
        <v>38</v>
      </c>
      <c r="P143" s="1"/>
      <c r="Q143" s="1" t="s">
        <v>90</v>
      </c>
      <c r="R143" s="1" t="s">
        <v>650</v>
      </c>
      <c r="S143" s="1" t="s">
        <v>651</v>
      </c>
      <c r="T143" s="1" t="s">
        <v>158</v>
      </c>
      <c r="U143" s="1" t="s">
        <v>158</v>
      </c>
      <c r="X143" s="1">
        <v>4</v>
      </c>
      <c r="Y143" s="7">
        <v>32834</v>
      </c>
      <c r="Z143" s="7">
        <v>34992</v>
      </c>
      <c r="AA143" s="1">
        <v>975</v>
      </c>
      <c r="AB143" s="1">
        <v>3</v>
      </c>
      <c r="AC143" s="1">
        <v>21</v>
      </c>
      <c r="AD143" s="1" t="s">
        <v>652</v>
      </c>
    </row>
    <row r="144" spans="1:31" ht="13">
      <c r="A144" s="1" t="s">
        <v>653</v>
      </c>
      <c r="B144" s="1" t="s">
        <v>34</v>
      </c>
      <c r="C144" s="1" t="s">
        <v>35</v>
      </c>
      <c r="D144" s="1"/>
      <c r="E144" s="6">
        <v>16333</v>
      </c>
      <c r="F144" s="1" t="s">
        <v>36</v>
      </c>
      <c r="G144" s="1">
        <v>1984</v>
      </c>
      <c r="H144" s="1">
        <v>10</v>
      </c>
      <c r="I144" s="7">
        <v>30825</v>
      </c>
      <c r="J144" s="12">
        <v>34975</v>
      </c>
      <c r="K144" s="13" t="s">
        <v>59</v>
      </c>
      <c r="L144" s="9" t="e">
        <f t="shared" ca="1" si="0"/>
        <v>#NAME?</v>
      </c>
      <c r="M144" s="9" t="e">
        <f t="shared" ca="1" si="1"/>
        <v>#NAME?</v>
      </c>
      <c r="N144" s="10" t="e">
        <f t="shared" ca="1" si="2"/>
        <v>#NAME?</v>
      </c>
      <c r="O144" s="1" t="s">
        <v>38</v>
      </c>
      <c r="P144" s="1"/>
      <c r="Q144" s="1" t="s">
        <v>39</v>
      </c>
      <c r="R144" s="1" t="s">
        <v>102</v>
      </c>
      <c r="S144" s="1" t="s">
        <v>557</v>
      </c>
      <c r="T144" s="1" t="s">
        <v>654</v>
      </c>
      <c r="X144" s="1">
        <v>2</v>
      </c>
      <c r="Y144" s="7">
        <v>33356</v>
      </c>
      <c r="Z144" s="7">
        <v>33899</v>
      </c>
      <c r="AA144" s="1">
        <v>436</v>
      </c>
      <c r="AB144" s="1">
        <v>0</v>
      </c>
      <c r="AC144" s="1">
        <v>0</v>
      </c>
      <c r="AD144" s="1" t="s">
        <v>655</v>
      </c>
      <c r="AE144" s="6">
        <v>34975</v>
      </c>
    </row>
    <row r="145" spans="1:33" ht="13">
      <c r="A145" s="1" t="s">
        <v>656</v>
      </c>
      <c r="B145" s="1" t="s">
        <v>34</v>
      </c>
      <c r="C145" s="1" t="s">
        <v>35</v>
      </c>
      <c r="D145" s="1"/>
      <c r="E145" s="6">
        <v>19325</v>
      </c>
      <c r="F145" s="1" t="s">
        <v>36</v>
      </c>
      <c r="G145" s="1">
        <v>1984</v>
      </c>
      <c r="H145" s="1">
        <v>10</v>
      </c>
      <c r="I145" s="7">
        <v>30825</v>
      </c>
      <c r="J145" s="7">
        <v>38367</v>
      </c>
      <c r="K145" s="8" t="s">
        <v>37</v>
      </c>
      <c r="L145" s="9" t="e">
        <f t="shared" ca="1" si="0"/>
        <v>#NAME?</v>
      </c>
      <c r="M145" s="9" t="e">
        <f t="shared" ca="1" si="1"/>
        <v>#NAME?</v>
      </c>
      <c r="N145" s="10" t="e">
        <f t="shared" ca="1" si="2"/>
        <v>#NAME?</v>
      </c>
      <c r="O145" s="1" t="s">
        <v>38</v>
      </c>
      <c r="P145" s="1"/>
      <c r="Q145" s="1" t="s">
        <v>90</v>
      </c>
      <c r="R145" s="1" t="s">
        <v>657</v>
      </c>
      <c r="S145" s="1" t="s">
        <v>658</v>
      </c>
      <c r="T145" s="1" t="s">
        <v>87</v>
      </c>
      <c r="V145" s="1" t="s">
        <v>71</v>
      </c>
      <c r="W145" s="1" t="s">
        <v>44</v>
      </c>
      <c r="X145" s="1">
        <v>6</v>
      </c>
      <c r="Y145" s="7">
        <v>32882</v>
      </c>
      <c r="Z145" s="7">
        <v>37583</v>
      </c>
      <c r="AA145" s="1">
        <v>1594</v>
      </c>
      <c r="AB145" s="1">
        <v>0</v>
      </c>
      <c r="AC145" s="1">
        <v>0</v>
      </c>
      <c r="AD145" s="1" t="s">
        <v>659</v>
      </c>
    </row>
    <row r="146" spans="1:33" ht="13">
      <c r="A146" s="1" t="s">
        <v>660</v>
      </c>
      <c r="B146" s="1" t="s">
        <v>34</v>
      </c>
      <c r="C146" s="1" t="s">
        <v>35</v>
      </c>
      <c r="D146" s="1"/>
      <c r="E146" s="6">
        <v>18006</v>
      </c>
      <c r="F146" s="1" t="s">
        <v>124</v>
      </c>
      <c r="G146" s="1">
        <v>1985</v>
      </c>
      <c r="H146" s="1">
        <v>11</v>
      </c>
      <c r="I146" s="7">
        <v>31202</v>
      </c>
      <c r="J146" s="7">
        <v>35565</v>
      </c>
      <c r="K146" s="8" t="s">
        <v>37</v>
      </c>
      <c r="L146" s="9" t="e">
        <f t="shared" ca="1" si="0"/>
        <v>#NAME?</v>
      </c>
      <c r="M146" s="9" t="e">
        <f t="shared" ca="1" si="1"/>
        <v>#NAME?</v>
      </c>
      <c r="N146" s="10" t="e">
        <f t="shared" ca="1" si="2"/>
        <v>#NAME?</v>
      </c>
      <c r="O146" s="1" t="s">
        <v>38</v>
      </c>
      <c r="P146" s="1"/>
      <c r="Q146" s="1" t="s">
        <v>90</v>
      </c>
      <c r="R146" s="1" t="s">
        <v>661</v>
      </c>
      <c r="S146" s="1" t="s">
        <v>662</v>
      </c>
      <c r="T146" s="1" t="s">
        <v>158</v>
      </c>
      <c r="U146" s="1" t="s">
        <v>158</v>
      </c>
      <c r="X146" s="1">
        <v>4</v>
      </c>
      <c r="Y146" s="7">
        <v>33333</v>
      </c>
      <c r="Z146" s="7">
        <v>35324</v>
      </c>
      <c r="AA146" s="1">
        <v>847</v>
      </c>
      <c r="AB146" s="1">
        <v>2</v>
      </c>
      <c r="AC146" s="1">
        <v>11</v>
      </c>
      <c r="AD146" s="1" t="s">
        <v>663</v>
      </c>
    </row>
    <row r="147" spans="1:33" ht="13">
      <c r="A147" s="1" t="s">
        <v>664</v>
      </c>
      <c r="B147" s="1" t="s">
        <v>34</v>
      </c>
      <c r="C147" s="1" t="s">
        <v>35</v>
      </c>
      <c r="D147" s="1"/>
      <c r="E147" s="6">
        <v>19659</v>
      </c>
      <c r="F147" s="1" t="s">
        <v>36</v>
      </c>
      <c r="G147" s="1">
        <v>1985</v>
      </c>
      <c r="H147" s="1">
        <v>11</v>
      </c>
      <c r="I147" s="7">
        <v>31202</v>
      </c>
      <c r="J147" s="17">
        <v>42742</v>
      </c>
      <c r="K147" s="8" t="s">
        <v>37</v>
      </c>
      <c r="L147" s="9" t="e">
        <f t="shared" ca="1" si="0"/>
        <v>#NAME?</v>
      </c>
      <c r="M147" s="9" t="e">
        <f t="shared" ca="1" si="1"/>
        <v>#NAME?</v>
      </c>
      <c r="N147" s="10" t="e">
        <f t="shared" ca="1" si="2"/>
        <v>#NAME?</v>
      </c>
      <c r="O147" s="1" t="s">
        <v>38</v>
      </c>
      <c r="P147" s="1"/>
      <c r="Q147" s="1" t="s">
        <v>521</v>
      </c>
      <c r="R147" s="1" t="s">
        <v>219</v>
      </c>
      <c r="S147" s="1" t="s">
        <v>142</v>
      </c>
      <c r="T147" s="1" t="s">
        <v>87</v>
      </c>
      <c r="V147" s="1" t="s">
        <v>71</v>
      </c>
      <c r="W147" s="1" t="s">
        <v>44</v>
      </c>
      <c r="X147" s="1">
        <v>4</v>
      </c>
      <c r="Y147" s="7">
        <v>33452</v>
      </c>
      <c r="Z147" s="7">
        <v>35442</v>
      </c>
      <c r="AA147" s="1">
        <v>965</v>
      </c>
      <c r="AB147" s="1">
        <v>0</v>
      </c>
      <c r="AC147" s="1">
        <v>0</v>
      </c>
      <c r="AD147" s="1" t="s">
        <v>665</v>
      </c>
    </row>
    <row r="148" spans="1:33" ht="13">
      <c r="A148" s="1" t="s">
        <v>666</v>
      </c>
      <c r="B148" s="1" t="s">
        <v>34</v>
      </c>
      <c r="C148" s="1" t="s">
        <v>35</v>
      </c>
      <c r="D148" s="1"/>
      <c r="E148" s="6">
        <v>17921</v>
      </c>
      <c r="F148" s="1" t="s">
        <v>36</v>
      </c>
      <c r="G148" s="1">
        <v>1985</v>
      </c>
      <c r="H148" s="1">
        <v>11</v>
      </c>
      <c r="I148" s="7">
        <v>31202</v>
      </c>
      <c r="J148" s="7">
        <f ca="1">TODAY()</f>
        <v>44606</v>
      </c>
      <c r="K148" s="8" t="s">
        <v>667</v>
      </c>
      <c r="L148" s="9" t="e">
        <f t="shared" ca="1" si="0"/>
        <v>#NAME?</v>
      </c>
      <c r="M148" s="9" t="e">
        <f t="shared" ca="1" si="1"/>
        <v>#NAME?</v>
      </c>
      <c r="N148" s="10" t="e">
        <f t="shared" ca="1" si="2"/>
        <v>#NAME?</v>
      </c>
      <c r="O148" s="1" t="s">
        <v>38</v>
      </c>
      <c r="P148" s="1"/>
      <c r="Q148" s="1" t="s">
        <v>521</v>
      </c>
      <c r="R148" s="1" t="s">
        <v>668</v>
      </c>
      <c r="S148" s="1" t="s">
        <v>69</v>
      </c>
      <c r="T148" s="1" t="s">
        <v>272</v>
      </c>
      <c r="V148" s="1" t="s">
        <v>49</v>
      </c>
      <c r="W148" s="1" t="s">
        <v>56</v>
      </c>
      <c r="X148" s="1">
        <v>4</v>
      </c>
      <c r="Y148" s="7">
        <v>33152</v>
      </c>
      <c r="Z148" s="7">
        <v>36133</v>
      </c>
      <c r="AA148" s="1">
        <v>910</v>
      </c>
      <c r="AB148" s="1">
        <v>0</v>
      </c>
      <c r="AC148" s="1">
        <v>0</v>
      </c>
      <c r="AD148" s="1" t="s">
        <v>669</v>
      </c>
    </row>
    <row r="149" spans="1:33" ht="13">
      <c r="A149" s="1" t="s">
        <v>670</v>
      </c>
      <c r="B149" s="1" t="s">
        <v>34</v>
      </c>
      <c r="C149" s="1" t="s">
        <v>35</v>
      </c>
      <c r="D149" s="1"/>
      <c r="E149" s="6">
        <v>19530</v>
      </c>
      <c r="F149" s="1" t="s">
        <v>84</v>
      </c>
      <c r="G149" s="1">
        <v>1985</v>
      </c>
      <c r="H149" s="1">
        <v>11</v>
      </c>
      <c r="I149" s="7">
        <v>31202</v>
      </c>
      <c r="J149" s="7">
        <v>37055</v>
      </c>
      <c r="K149" s="8" t="s">
        <v>37</v>
      </c>
      <c r="L149" s="9" t="e">
        <f t="shared" ca="1" si="0"/>
        <v>#NAME?</v>
      </c>
      <c r="M149" s="9" t="e">
        <f t="shared" ca="1" si="1"/>
        <v>#NAME?</v>
      </c>
      <c r="N149" s="10" t="e">
        <f t="shared" ca="1" si="2"/>
        <v>#NAME?</v>
      </c>
      <c r="O149" s="1" t="s">
        <v>38</v>
      </c>
      <c r="P149" s="1"/>
      <c r="Q149" s="1" t="s">
        <v>90</v>
      </c>
      <c r="R149" s="1" t="s">
        <v>258</v>
      </c>
      <c r="S149" s="1" t="s">
        <v>335</v>
      </c>
      <c r="T149" s="1" t="s">
        <v>272</v>
      </c>
      <c r="U149" s="1" t="s">
        <v>525</v>
      </c>
      <c r="V149" s="1" t="s">
        <v>49</v>
      </c>
      <c r="W149" s="1" t="s">
        <v>50</v>
      </c>
      <c r="X149" s="1">
        <v>4</v>
      </c>
      <c r="Y149" s="7">
        <v>33687</v>
      </c>
      <c r="Z149" s="7">
        <v>36810</v>
      </c>
      <c r="AA149" s="1">
        <v>977</v>
      </c>
      <c r="AB149" s="1">
        <v>0</v>
      </c>
      <c r="AC149" s="1">
        <v>0</v>
      </c>
      <c r="AD149" s="1" t="s">
        <v>671</v>
      </c>
    </row>
    <row r="150" spans="1:33" ht="13">
      <c r="A150" s="1" t="s">
        <v>672</v>
      </c>
      <c r="B150" s="1" t="s">
        <v>34</v>
      </c>
      <c r="C150" s="1" t="s">
        <v>35</v>
      </c>
      <c r="D150" s="1"/>
      <c r="E150" s="6">
        <v>20305</v>
      </c>
      <c r="F150" s="1" t="s">
        <v>36</v>
      </c>
      <c r="G150" s="1">
        <v>1985</v>
      </c>
      <c r="H150" s="1">
        <v>11</v>
      </c>
      <c r="I150" s="7">
        <v>31202</v>
      </c>
      <c r="J150" s="7">
        <v>35248</v>
      </c>
      <c r="K150" s="8" t="s">
        <v>37</v>
      </c>
      <c r="L150" s="9" t="e">
        <f t="shared" ca="1" si="0"/>
        <v>#NAME?</v>
      </c>
      <c r="M150" s="9" t="e">
        <f t="shared" ca="1" si="1"/>
        <v>#NAME?</v>
      </c>
      <c r="N150" s="10" t="e">
        <f t="shared" ca="1" si="2"/>
        <v>#NAME?</v>
      </c>
      <c r="O150" s="1" t="s">
        <v>38</v>
      </c>
      <c r="P150" s="1"/>
      <c r="Q150" s="1" t="s">
        <v>90</v>
      </c>
      <c r="R150" s="1" t="s">
        <v>673</v>
      </c>
      <c r="S150" s="1" t="s">
        <v>153</v>
      </c>
      <c r="T150" s="1" t="s">
        <v>55</v>
      </c>
      <c r="V150" s="1" t="s">
        <v>63</v>
      </c>
      <c r="W150" s="1" t="s">
        <v>674</v>
      </c>
      <c r="X150" s="1">
        <v>3</v>
      </c>
      <c r="Y150" s="7">
        <v>33192</v>
      </c>
      <c r="Z150" s="7">
        <v>34397</v>
      </c>
      <c r="AA150" s="1">
        <v>581</v>
      </c>
      <c r="AB150" s="1">
        <v>0</v>
      </c>
      <c r="AC150" s="1">
        <v>0</v>
      </c>
      <c r="AD150" s="1" t="s">
        <v>675</v>
      </c>
    </row>
    <row r="151" spans="1:33" ht="13">
      <c r="A151" s="1" t="s">
        <v>676</v>
      </c>
      <c r="B151" s="1" t="s">
        <v>394</v>
      </c>
      <c r="C151" s="1" t="s">
        <v>35</v>
      </c>
      <c r="D151" s="1"/>
      <c r="E151" s="6">
        <v>19177</v>
      </c>
      <c r="F151" s="1" t="s">
        <v>124</v>
      </c>
      <c r="G151" s="1">
        <v>1985</v>
      </c>
      <c r="H151" s="1">
        <v>11</v>
      </c>
      <c r="I151" s="7">
        <v>31202</v>
      </c>
      <c r="J151" s="7">
        <v>40405</v>
      </c>
      <c r="K151" s="8" t="s">
        <v>37</v>
      </c>
      <c r="L151" s="9" t="e">
        <f t="shared" ca="1" si="0"/>
        <v>#NAME?</v>
      </c>
      <c r="M151" s="9" t="e">
        <f t="shared" ca="1" si="1"/>
        <v>#NAME?</v>
      </c>
      <c r="N151" s="10" t="e">
        <f t="shared" ca="1" si="2"/>
        <v>#NAME?</v>
      </c>
      <c r="O151" s="1" t="s">
        <v>38</v>
      </c>
      <c r="P151" s="1"/>
      <c r="Q151" s="1" t="s">
        <v>90</v>
      </c>
      <c r="R151" s="1" t="s">
        <v>677</v>
      </c>
      <c r="S151" s="1" t="s">
        <v>678</v>
      </c>
      <c r="T151" s="1" t="s">
        <v>289</v>
      </c>
      <c r="U151" s="1" t="s">
        <v>158</v>
      </c>
      <c r="X151" s="1">
        <v>4</v>
      </c>
      <c r="Y151" s="7">
        <v>33333</v>
      </c>
      <c r="Z151" s="7">
        <v>37230</v>
      </c>
      <c r="AA151" s="1">
        <v>918</v>
      </c>
      <c r="AB151" s="1">
        <v>2</v>
      </c>
      <c r="AC151" s="1">
        <v>10</v>
      </c>
      <c r="AD151" s="1" t="s">
        <v>679</v>
      </c>
    </row>
    <row r="152" spans="1:33" ht="13">
      <c r="A152" s="1" t="s">
        <v>680</v>
      </c>
      <c r="B152" s="1" t="s">
        <v>34</v>
      </c>
      <c r="C152" s="1" t="s">
        <v>35</v>
      </c>
      <c r="D152" s="1"/>
      <c r="E152" s="6">
        <v>19180</v>
      </c>
      <c r="F152" s="1" t="s">
        <v>84</v>
      </c>
      <c r="G152" s="1">
        <v>1985</v>
      </c>
      <c r="H152" s="1">
        <v>11</v>
      </c>
      <c r="I152" s="7">
        <v>31202</v>
      </c>
      <c r="J152" s="7">
        <v>35749</v>
      </c>
      <c r="K152" s="8" t="s">
        <v>37</v>
      </c>
      <c r="L152" s="9" t="e">
        <f t="shared" ca="1" si="0"/>
        <v>#NAME?</v>
      </c>
      <c r="M152" s="9" t="e">
        <f t="shared" ca="1" si="1"/>
        <v>#NAME?</v>
      </c>
      <c r="N152" s="10" t="e">
        <f t="shared" ca="1" si="2"/>
        <v>#NAME?</v>
      </c>
      <c r="O152" s="1" t="s">
        <v>38</v>
      </c>
      <c r="P152" s="1"/>
      <c r="Q152" s="1" t="s">
        <v>90</v>
      </c>
      <c r="R152" s="1" t="s">
        <v>681</v>
      </c>
      <c r="S152" s="1" t="s">
        <v>682</v>
      </c>
      <c r="T152" s="1" t="s">
        <v>506</v>
      </c>
      <c r="U152" s="1" t="s">
        <v>683</v>
      </c>
      <c r="V152" s="1" t="s">
        <v>49</v>
      </c>
      <c r="W152" s="1" t="s">
        <v>50</v>
      </c>
      <c r="X152" s="1">
        <v>4</v>
      </c>
      <c r="Y152" s="7">
        <v>33566</v>
      </c>
      <c r="Z152" s="7">
        <v>35236</v>
      </c>
      <c r="AA152" s="1">
        <v>1026</v>
      </c>
      <c r="AB152" s="1">
        <v>0</v>
      </c>
      <c r="AC152" s="1">
        <v>0</v>
      </c>
      <c r="AD152" s="1" t="s">
        <v>684</v>
      </c>
    </row>
    <row r="153" spans="1:33" ht="13">
      <c r="A153" s="1" t="s">
        <v>685</v>
      </c>
      <c r="B153" s="1" t="s">
        <v>34</v>
      </c>
      <c r="C153" s="1" t="s">
        <v>35</v>
      </c>
      <c r="D153" s="1"/>
      <c r="E153" s="6">
        <v>20353</v>
      </c>
      <c r="F153" s="1" t="s">
        <v>84</v>
      </c>
      <c r="G153" s="1">
        <v>1985</v>
      </c>
      <c r="H153" s="1">
        <v>11</v>
      </c>
      <c r="I153" s="7">
        <v>31202</v>
      </c>
      <c r="J153" s="7">
        <v>34762</v>
      </c>
      <c r="K153" s="8" t="s">
        <v>37</v>
      </c>
      <c r="L153" s="9" t="e">
        <f t="shared" ca="1" si="0"/>
        <v>#NAME?</v>
      </c>
      <c r="M153" s="9" t="e">
        <f t="shared" ca="1" si="1"/>
        <v>#NAME?</v>
      </c>
      <c r="N153" s="10" t="e">
        <f t="shared" ca="1" si="2"/>
        <v>#NAME?</v>
      </c>
      <c r="O153" s="1" t="s">
        <v>38</v>
      </c>
      <c r="P153" s="1"/>
      <c r="Q153" s="1" t="s">
        <v>90</v>
      </c>
      <c r="R153" s="1" t="s">
        <v>686</v>
      </c>
      <c r="S153" s="1" t="s">
        <v>687</v>
      </c>
      <c r="T153" s="1" t="s">
        <v>289</v>
      </c>
      <c r="U153" s="1" t="s">
        <v>87</v>
      </c>
      <c r="X153" s="1">
        <v>3</v>
      </c>
      <c r="Y153" s="7">
        <v>33356</v>
      </c>
      <c r="Z153" s="7">
        <v>34523</v>
      </c>
      <c r="AA153" s="1">
        <v>766</v>
      </c>
      <c r="AB153" s="1">
        <v>3</v>
      </c>
      <c r="AC153" s="1">
        <v>18</v>
      </c>
      <c r="AD153" s="1" t="s">
        <v>688</v>
      </c>
    </row>
    <row r="154" spans="1:33" ht="13">
      <c r="A154" s="1" t="s">
        <v>689</v>
      </c>
      <c r="B154" s="1" t="s">
        <v>394</v>
      </c>
      <c r="C154" s="1" t="s">
        <v>35</v>
      </c>
      <c r="D154" s="1"/>
      <c r="E154" s="6">
        <v>21677</v>
      </c>
      <c r="F154" s="1" t="s">
        <v>124</v>
      </c>
      <c r="G154" s="1">
        <v>1985</v>
      </c>
      <c r="H154" s="1">
        <v>11</v>
      </c>
      <c r="I154" s="7">
        <v>31202</v>
      </c>
      <c r="J154" s="7">
        <v>37155</v>
      </c>
      <c r="K154" s="8" t="s">
        <v>37</v>
      </c>
      <c r="L154" s="9" t="e">
        <f t="shared" ca="1" si="0"/>
        <v>#NAME?</v>
      </c>
      <c r="M154" s="9" t="e">
        <f t="shared" ca="1" si="1"/>
        <v>#NAME?</v>
      </c>
      <c r="N154" s="10" t="e">
        <f t="shared" ca="1" si="2"/>
        <v>#NAME?</v>
      </c>
      <c r="O154" s="1" t="s">
        <v>38</v>
      </c>
      <c r="P154" s="1"/>
      <c r="Q154" s="1" t="s">
        <v>90</v>
      </c>
      <c r="R154" s="1" t="s">
        <v>690</v>
      </c>
      <c r="S154" s="1" t="s">
        <v>691</v>
      </c>
      <c r="T154" s="1" t="s">
        <v>158</v>
      </c>
      <c r="U154" s="1" t="s">
        <v>692</v>
      </c>
      <c r="X154" s="1">
        <v>5</v>
      </c>
      <c r="Y154" s="7">
        <v>33394</v>
      </c>
      <c r="Z154" s="7">
        <v>36307</v>
      </c>
      <c r="AA154" s="1">
        <v>1489</v>
      </c>
      <c r="AB154" s="1">
        <v>1</v>
      </c>
      <c r="AC154" s="1">
        <v>8</v>
      </c>
      <c r="AD154" s="1" t="s">
        <v>693</v>
      </c>
    </row>
    <row r="155" spans="1:33" ht="13">
      <c r="A155" s="1" t="s">
        <v>694</v>
      </c>
      <c r="B155" s="1" t="s">
        <v>34</v>
      </c>
      <c r="C155" s="1" t="s">
        <v>35</v>
      </c>
      <c r="D155" s="1"/>
      <c r="E155" s="6">
        <v>18583</v>
      </c>
      <c r="F155" s="1" t="s">
        <v>84</v>
      </c>
      <c r="G155" s="1">
        <v>1985</v>
      </c>
      <c r="H155" s="1">
        <v>11</v>
      </c>
      <c r="I155" s="7">
        <v>31202</v>
      </c>
      <c r="J155" s="7">
        <v>35139</v>
      </c>
      <c r="K155" s="8" t="s">
        <v>37</v>
      </c>
      <c r="L155" s="9" t="e">
        <f t="shared" ca="1" si="0"/>
        <v>#NAME?</v>
      </c>
      <c r="M155" s="9" t="e">
        <f t="shared" ca="1" si="1"/>
        <v>#NAME?</v>
      </c>
      <c r="N155" s="10" t="e">
        <f t="shared" ca="1" si="2"/>
        <v>#NAME?</v>
      </c>
      <c r="O155" s="1" t="s">
        <v>38</v>
      </c>
      <c r="P155" s="1"/>
      <c r="Q155" s="1" t="s">
        <v>90</v>
      </c>
      <c r="R155" s="1" t="s">
        <v>695</v>
      </c>
      <c r="S155" s="1" t="s">
        <v>696</v>
      </c>
      <c r="T155" s="1" t="s">
        <v>697</v>
      </c>
      <c r="U155" s="1" t="s">
        <v>697</v>
      </c>
      <c r="V155" s="1" t="s">
        <v>49</v>
      </c>
      <c r="W155" s="1" t="s">
        <v>50</v>
      </c>
      <c r="X155" s="1">
        <v>3</v>
      </c>
      <c r="Y155" s="7">
        <v>33192</v>
      </c>
      <c r="Z155" s="7">
        <v>34586</v>
      </c>
      <c r="AA155" s="1">
        <v>712</v>
      </c>
      <c r="AB155" s="1">
        <v>1</v>
      </c>
      <c r="AC155" s="1">
        <v>6</v>
      </c>
      <c r="AD155" s="1" t="s">
        <v>698</v>
      </c>
    </row>
    <row r="156" spans="1:33" ht="13">
      <c r="A156" s="1" t="s">
        <v>699</v>
      </c>
      <c r="B156" s="1" t="s">
        <v>34</v>
      </c>
      <c r="C156" s="1" t="s">
        <v>35</v>
      </c>
      <c r="D156" s="1"/>
      <c r="E156" s="6">
        <v>18809</v>
      </c>
      <c r="F156" s="1" t="s">
        <v>36</v>
      </c>
      <c r="G156" s="1">
        <v>1985</v>
      </c>
      <c r="H156" s="1">
        <v>11</v>
      </c>
      <c r="I156" s="7">
        <v>31202</v>
      </c>
      <c r="J156" s="7">
        <v>36540</v>
      </c>
      <c r="K156" s="8" t="s">
        <v>37</v>
      </c>
      <c r="L156" s="9" t="e">
        <f t="shared" ca="1" si="0"/>
        <v>#NAME?</v>
      </c>
      <c r="M156" s="9" t="e">
        <f t="shared" ca="1" si="1"/>
        <v>#NAME?</v>
      </c>
      <c r="N156" s="10" t="e">
        <f t="shared" ca="1" si="2"/>
        <v>#NAME?</v>
      </c>
      <c r="O156" s="1" t="s">
        <v>38</v>
      </c>
      <c r="P156" s="1"/>
      <c r="Q156" s="1" t="s">
        <v>90</v>
      </c>
      <c r="R156" s="1" t="s">
        <v>168</v>
      </c>
      <c r="S156" s="1" t="s">
        <v>69</v>
      </c>
      <c r="T156" s="1" t="s">
        <v>87</v>
      </c>
      <c r="X156" s="1">
        <v>3</v>
      </c>
      <c r="Y156" s="7">
        <v>33625</v>
      </c>
      <c r="Z156" s="7">
        <v>34760</v>
      </c>
      <c r="AA156" s="1">
        <v>814</v>
      </c>
      <c r="AB156" s="1">
        <v>0</v>
      </c>
      <c r="AC156" s="1">
        <v>0</v>
      </c>
      <c r="AD156" s="1" t="s">
        <v>700</v>
      </c>
    </row>
    <row r="157" spans="1:33" ht="13">
      <c r="A157" s="1" t="s">
        <v>701</v>
      </c>
      <c r="B157" s="1" t="s">
        <v>34</v>
      </c>
      <c r="C157" s="1" t="s">
        <v>35</v>
      </c>
      <c r="D157" s="1"/>
      <c r="E157" s="6">
        <v>19401</v>
      </c>
      <c r="F157" s="1" t="s">
        <v>36</v>
      </c>
      <c r="G157" s="1">
        <v>1985</v>
      </c>
      <c r="H157" s="1">
        <v>11</v>
      </c>
      <c r="I157" s="7">
        <v>31202</v>
      </c>
      <c r="J157" s="12">
        <v>31556</v>
      </c>
      <c r="K157" s="13" t="s">
        <v>59</v>
      </c>
      <c r="L157" s="9" t="e">
        <f t="shared" ca="1" si="0"/>
        <v>#NAME?</v>
      </c>
      <c r="M157" s="9" t="str">
        <f t="shared" si="1"/>
        <v>N/A</v>
      </c>
      <c r="N157" s="10" t="str">
        <f t="shared" si="2"/>
        <v>N/A</v>
      </c>
      <c r="O157" s="1" t="s">
        <v>38</v>
      </c>
      <c r="P157" s="1"/>
      <c r="Q157" s="1" t="s">
        <v>39</v>
      </c>
      <c r="R157" s="1" t="s">
        <v>702</v>
      </c>
      <c r="S157" s="1" t="s">
        <v>69</v>
      </c>
      <c r="T157" s="1" t="s">
        <v>55</v>
      </c>
      <c r="V157" s="1" t="s">
        <v>149</v>
      </c>
      <c r="W157" s="1" t="s">
        <v>150</v>
      </c>
      <c r="X157" s="1">
        <v>0</v>
      </c>
      <c r="Y157" s="7"/>
      <c r="Z157" s="7"/>
      <c r="AA157" s="1">
        <v>0</v>
      </c>
      <c r="AB157" s="1">
        <v>0</v>
      </c>
      <c r="AC157" s="1">
        <v>0</v>
      </c>
      <c r="AE157" s="6">
        <v>31556</v>
      </c>
      <c r="AG157" s="1" t="s">
        <v>703</v>
      </c>
    </row>
    <row r="158" spans="1:33" ht="13">
      <c r="A158" s="1" t="s">
        <v>704</v>
      </c>
      <c r="B158" s="1" t="s">
        <v>34</v>
      </c>
      <c r="C158" s="1" t="s">
        <v>35</v>
      </c>
      <c r="D158" s="1"/>
      <c r="E158" s="6">
        <v>20228</v>
      </c>
      <c r="F158" s="1" t="s">
        <v>84</v>
      </c>
      <c r="G158" s="1">
        <v>1985</v>
      </c>
      <c r="H158" s="1">
        <v>11</v>
      </c>
      <c r="I158" s="7">
        <v>31202</v>
      </c>
      <c r="J158" s="7">
        <v>34865</v>
      </c>
      <c r="K158" s="8" t="s">
        <v>37</v>
      </c>
      <c r="L158" s="9" t="e">
        <f t="shared" ca="1" si="0"/>
        <v>#NAME?</v>
      </c>
      <c r="M158" s="9" t="e">
        <f t="shared" ca="1" si="1"/>
        <v>#NAME?</v>
      </c>
      <c r="N158" s="10" t="e">
        <f t="shared" ca="1" si="2"/>
        <v>#NAME?</v>
      </c>
      <c r="O158" s="1" t="s">
        <v>38</v>
      </c>
      <c r="P158" s="1"/>
      <c r="Q158" s="1" t="s">
        <v>90</v>
      </c>
      <c r="R158" s="1" t="s">
        <v>705</v>
      </c>
      <c r="S158" s="1" t="s">
        <v>523</v>
      </c>
      <c r="T158" s="1" t="s">
        <v>158</v>
      </c>
      <c r="U158" s="1" t="s">
        <v>525</v>
      </c>
      <c r="V158" s="1" t="s">
        <v>43</v>
      </c>
      <c r="W158" s="1" t="s">
        <v>150</v>
      </c>
      <c r="X158" s="1">
        <v>3</v>
      </c>
      <c r="Y158" s="7">
        <v>32932</v>
      </c>
      <c r="Z158" s="7">
        <v>34397</v>
      </c>
      <c r="AA158" s="1">
        <v>654</v>
      </c>
      <c r="AB158" s="1">
        <v>3</v>
      </c>
      <c r="AC158" s="1">
        <v>17</v>
      </c>
      <c r="AD158" s="1" t="s">
        <v>706</v>
      </c>
    </row>
    <row r="159" spans="1:33" ht="13">
      <c r="A159" s="1" t="s">
        <v>707</v>
      </c>
      <c r="B159" s="1" t="s">
        <v>34</v>
      </c>
      <c r="C159" s="1" t="s">
        <v>35</v>
      </c>
      <c r="D159" s="1"/>
      <c r="E159" s="6">
        <v>18768</v>
      </c>
      <c r="F159" s="1" t="s">
        <v>84</v>
      </c>
      <c r="G159" s="1">
        <v>1987</v>
      </c>
      <c r="H159" s="1">
        <v>12</v>
      </c>
      <c r="I159" s="7">
        <v>31933</v>
      </c>
      <c r="J159" s="7">
        <v>35657</v>
      </c>
      <c r="K159" s="8" t="s">
        <v>37</v>
      </c>
      <c r="L159" s="9" t="e">
        <f t="shared" ca="1" si="0"/>
        <v>#NAME?</v>
      </c>
      <c r="M159" s="9" t="e">
        <f t="shared" ca="1" si="1"/>
        <v>#NAME?</v>
      </c>
      <c r="N159" s="10" t="e">
        <f t="shared" ca="1" si="2"/>
        <v>#NAME?</v>
      </c>
      <c r="O159" s="1" t="s">
        <v>38</v>
      </c>
      <c r="P159" s="1"/>
      <c r="Q159" s="1" t="s">
        <v>90</v>
      </c>
      <c r="R159" s="1" t="s">
        <v>591</v>
      </c>
      <c r="S159" s="1" t="s">
        <v>708</v>
      </c>
      <c r="T159" s="1" t="s">
        <v>709</v>
      </c>
      <c r="U159" s="1" t="s">
        <v>709</v>
      </c>
      <c r="V159" s="1" t="s">
        <v>49</v>
      </c>
      <c r="W159" s="1" t="s">
        <v>50</v>
      </c>
      <c r="X159" s="1">
        <v>4</v>
      </c>
      <c r="Y159" s="7">
        <v>33152</v>
      </c>
      <c r="Z159" s="7">
        <v>35324</v>
      </c>
      <c r="AA159" s="1">
        <v>814</v>
      </c>
      <c r="AB159" s="1">
        <v>4</v>
      </c>
      <c r="AC159" s="1">
        <v>29</v>
      </c>
      <c r="AD159" s="1" t="s">
        <v>710</v>
      </c>
    </row>
    <row r="160" spans="1:33" ht="13">
      <c r="A160" s="1" t="s">
        <v>711</v>
      </c>
      <c r="B160" s="1" t="s">
        <v>34</v>
      </c>
      <c r="C160" s="1" t="s">
        <v>35</v>
      </c>
      <c r="D160" s="1"/>
      <c r="E160" s="6">
        <v>20305</v>
      </c>
      <c r="F160" s="1" t="s">
        <v>84</v>
      </c>
      <c r="G160" s="1">
        <v>1987</v>
      </c>
      <c r="H160" s="1">
        <v>12</v>
      </c>
      <c r="I160" s="7">
        <v>31933</v>
      </c>
      <c r="J160" s="7">
        <v>35718</v>
      </c>
      <c r="K160" s="8" t="s">
        <v>37</v>
      </c>
      <c r="L160" s="9" t="e">
        <f t="shared" ca="1" si="0"/>
        <v>#NAME?</v>
      </c>
      <c r="M160" s="9" t="e">
        <f t="shared" ca="1" si="1"/>
        <v>#NAME?</v>
      </c>
      <c r="N160" s="10" t="e">
        <f t="shared" ca="1" si="2"/>
        <v>#NAME?</v>
      </c>
      <c r="O160" s="1" t="s">
        <v>38</v>
      </c>
      <c r="P160" s="1"/>
      <c r="Q160" s="1" t="s">
        <v>90</v>
      </c>
      <c r="R160" s="1" t="s">
        <v>95</v>
      </c>
      <c r="S160" s="1" t="s">
        <v>712</v>
      </c>
      <c r="T160" s="1" t="s">
        <v>62</v>
      </c>
      <c r="U160" s="1" t="s">
        <v>216</v>
      </c>
      <c r="V160" s="1" t="s">
        <v>63</v>
      </c>
      <c r="W160" s="1" t="s">
        <v>56</v>
      </c>
      <c r="X160" s="1">
        <v>3</v>
      </c>
      <c r="Y160" s="7">
        <v>33816</v>
      </c>
      <c r="Z160" s="7">
        <v>35117</v>
      </c>
      <c r="AA160" s="1">
        <v>906</v>
      </c>
      <c r="AB160" s="1">
        <v>0</v>
      </c>
      <c r="AC160" s="1">
        <v>0</v>
      </c>
      <c r="AD160" s="1" t="s">
        <v>713</v>
      </c>
    </row>
    <row r="161" spans="1:31" ht="13">
      <c r="A161" s="1" t="s">
        <v>714</v>
      </c>
      <c r="B161" s="1" t="s">
        <v>34</v>
      </c>
      <c r="C161" s="1" t="s">
        <v>35</v>
      </c>
      <c r="D161" s="1"/>
      <c r="E161" s="6">
        <v>20773</v>
      </c>
      <c r="F161" s="1" t="s">
        <v>36</v>
      </c>
      <c r="G161" s="1">
        <v>1987</v>
      </c>
      <c r="H161" s="1">
        <v>12</v>
      </c>
      <c r="I161" s="7">
        <v>31933</v>
      </c>
      <c r="J161" s="7">
        <v>39066</v>
      </c>
      <c r="K161" s="8" t="s">
        <v>37</v>
      </c>
      <c r="L161" s="9" t="e">
        <f t="shared" ca="1" si="0"/>
        <v>#NAME?</v>
      </c>
      <c r="M161" s="9" t="e">
        <f t="shared" ca="1" si="1"/>
        <v>#NAME?</v>
      </c>
      <c r="N161" s="10" t="e">
        <f t="shared" ca="1" si="2"/>
        <v>#NAME?</v>
      </c>
      <c r="O161" s="1" t="s">
        <v>38</v>
      </c>
      <c r="P161" s="1"/>
      <c r="Q161" s="1" t="s">
        <v>90</v>
      </c>
      <c r="R161" s="1" t="s">
        <v>715</v>
      </c>
      <c r="S161" s="1" t="s">
        <v>716</v>
      </c>
      <c r="T161" s="1" t="s">
        <v>87</v>
      </c>
      <c r="U161" s="1" t="s">
        <v>62</v>
      </c>
      <c r="V161" s="1" t="s">
        <v>71</v>
      </c>
      <c r="W161" s="1" t="s">
        <v>44</v>
      </c>
      <c r="X161" s="1">
        <v>5</v>
      </c>
      <c r="Y161" s="7">
        <v>33780</v>
      </c>
      <c r="Z161" s="7">
        <v>37583</v>
      </c>
      <c r="AA161" s="1">
        <v>5078</v>
      </c>
      <c r="AB161" s="1">
        <v>2</v>
      </c>
      <c r="AC161" s="1">
        <v>13</v>
      </c>
      <c r="AD161" s="1" t="s">
        <v>717</v>
      </c>
    </row>
    <row r="162" spans="1:31" ht="13">
      <c r="A162" s="1" t="s">
        <v>718</v>
      </c>
      <c r="B162" s="1" t="s">
        <v>34</v>
      </c>
      <c r="C162" s="1" t="s">
        <v>35</v>
      </c>
      <c r="D162" s="1"/>
      <c r="E162" s="6">
        <v>20525</v>
      </c>
      <c r="F162" s="1" t="s">
        <v>36</v>
      </c>
      <c r="G162" s="1">
        <v>1987</v>
      </c>
      <c r="H162" s="1">
        <v>12</v>
      </c>
      <c r="I162" s="7">
        <v>31933</v>
      </c>
      <c r="J162" s="7">
        <v>36525</v>
      </c>
      <c r="K162" s="8" t="s">
        <v>37</v>
      </c>
      <c r="L162" s="9" t="e">
        <f t="shared" ca="1" si="0"/>
        <v>#NAME?</v>
      </c>
      <c r="M162" s="9" t="e">
        <f t="shared" ca="1" si="1"/>
        <v>#NAME?</v>
      </c>
      <c r="N162" s="10" t="e">
        <f t="shared" ca="1" si="2"/>
        <v>#NAME?</v>
      </c>
      <c r="O162" s="1" t="s">
        <v>38</v>
      </c>
      <c r="P162" s="1"/>
      <c r="Q162" s="1" t="s">
        <v>90</v>
      </c>
      <c r="R162" s="1" t="s">
        <v>719</v>
      </c>
      <c r="S162" s="1" t="s">
        <v>557</v>
      </c>
      <c r="T162" s="1" t="s">
        <v>139</v>
      </c>
      <c r="V162" s="1" t="s">
        <v>49</v>
      </c>
      <c r="W162" s="1" t="s">
        <v>50</v>
      </c>
      <c r="X162" s="1">
        <v>6</v>
      </c>
      <c r="Y162" s="7">
        <v>33859</v>
      </c>
      <c r="Z162" s="7">
        <v>36513</v>
      </c>
      <c r="AA162" s="1">
        <v>1383</v>
      </c>
      <c r="AB162" s="1">
        <v>0</v>
      </c>
      <c r="AC162" s="1">
        <v>0</v>
      </c>
      <c r="AD162" s="1" t="s">
        <v>720</v>
      </c>
    </row>
    <row r="163" spans="1:31" ht="13">
      <c r="A163" s="1" t="s">
        <v>721</v>
      </c>
      <c r="B163" s="1" t="s">
        <v>34</v>
      </c>
      <c r="C163" s="1" t="s">
        <v>35</v>
      </c>
      <c r="D163" s="1"/>
      <c r="E163" s="6">
        <v>19794</v>
      </c>
      <c r="F163" s="1" t="s">
        <v>84</v>
      </c>
      <c r="G163" s="1">
        <v>1987</v>
      </c>
      <c r="H163" s="1">
        <v>12</v>
      </c>
      <c r="I163" s="7">
        <v>31933</v>
      </c>
      <c r="J163" s="7">
        <v>39675</v>
      </c>
      <c r="K163" s="8" t="s">
        <v>37</v>
      </c>
      <c r="L163" s="9" t="e">
        <f t="shared" ca="1" si="0"/>
        <v>#NAME?</v>
      </c>
      <c r="M163" s="9" t="e">
        <f t="shared" ca="1" si="1"/>
        <v>#NAME?</v>
      </c>
      <c r="N163" s="10" t="e">
        <f t="shared" ca="1" si="2"/>
        <v>#NAME?</v>
      </c>
      <c r="O163" s="1" t="s">
        <v>38</v>
      </c>
      <c r="P163" s="1"/>
      <c r="Q163" s="1" t="s">
        <v>90</v>
      </c>
      <c r="R163" s="1" t="s">
        <v>468</v>
      </c>
      <c r="S163" s="1" t="s">
        <v>722</v>
      </c>
      <c r="T163" s="1" t="s">
        <v>346</v>
      </c>
      <c r="U163" s="1" t="s">
        <v>62</v>
      </c>
      <c r="V163" s="1" t="s">
        <v>105</v>
      </c>
      <c r="W163" s="1" t="s">
        <v>50</v>
      </c>
      <c r="X163" s="1">
        <v>3</v>
      </c>
      <c r="Y163" s="7">
        <v>33731</v>
      </c>
      <c r="Z163" s="7">
        <v>35146</v>
      </c>
      <c r="AA163" s="1">
        <v>700</v>
      </c>
      <c r="AB163" s="1">
        <v>0</v>
      </c>
      <c r="AC163" s="1">
        <v>0</v>
      </c>
      <c r="AD163" s="1" t="s">
        <v>723</v>
      </c>
    </row>
    <row r="164" spans="1:31" ht="13">
      <c r="A164" s="1" t="s">
        <v>724</v>
      </c>
      <c r="B164" s="1" t="s">
        <v>394</v>
      </c>
      <c r="C164" s="1" t="s">
        <v>35</v>
      </c>
      <c r="D164" s="1"/>
      <c r="E164" s="6">
        <v>19664</v>
      </c>
      <c r="F164" s="1" t="s">
        <v>124</v>
      </c>
      <c r="G164" s="1">
        <v>1987</v>
      </c>
      <c r="H164" s="1">
        <v>12</v>
      </c>
      <c r="I164" s="7">
        <v>31933</v>
      </c>
      <c r="J164" s="7">
        <v>38640</v>
      </c>
      <c r="K164" s="8" t="s">
        <v>37</v>
      </c>
      <c r="L164" s="9" t="e">
        <f t="shared" ca="1" si="0"/>
        <v>#NAME?</v>
      </c>
      <c r="M164" s="9" t="e">
        <f t="shared" ca="1" si="1"/>
        <v>#NAME?</v>
      </c>
      <c r="N164" s="10" t="e">
        <f t="shared" ca="1" si="2"/>
        <v>#NAME?</v>
      </c>
      <c r="O164" s="1" t="s">
        <v>38</v>
      </c>
      <c r="P164" s="1"/>
      <c r="Q164" s="1" t="s">
        <v>90</v>
      </c>
      <c r="R164" s="1" t="s">
        <v>725</v>
      </c>
      <c r="S164" s="1" t="s">
        <v>726</v>
      </c>
      <c r="T164" s="1" t="s">
        <v>727</v>
      </c>
      <c r="U164" s="1" t="s">
        <v>62</v>
      </c>
      <c r="X164" s="1">
        <v>3</v>
      </c>
      <c r="Y164" s="7">
        <v>33859</v>
      </c>
      <c r="Z164" s="7">
        <v>35649</v>
      </c>
      <c r="AA164" s="1">
        <v>673</v>
      </c>
      <c r="AB164" s="1">
        <v>0</v>
      </c>
      <c r="AC164" s="1">
        <v>0</v>
      </c>
      <c r="AD164" s="1" t="s">
        <v>728</v>
      </c>
    </row>
    <row r="165" spans="1:31" ht="13">
      <c r="A165" s="1" t="s">
        <v>729</v>
      </c>
      <c r="B165" s="1" t="s">
        <v>34</v>
      </c>
      <c r="C165" s="1" t="s">
        <v>35</v>
      </c>
      <c r="D165" s="1"/>
      <c r="E165" s="6">
        <v>20826</v>
      </c>
      <c r="F165" s="1" t="s">
        <v>124</v>
      </c>
      <c r="G165" s="1">
        <v>1987</v>
      </c>
      <c r="H165" s="1">
        <v>12</v>
      </c>
      <c r="I165" s="7">
        <v>31933</v>
      </c>
      <c r="J165" s="7">
        <v>41501</v>
      </c>
      <c r="K165" s="8" t="s">
        <v>37</v>
      </c>
      <c r="L165" s="9" t="e">
        <f t="shared" ca="1" si="0"/>
        <v>#NAME?</v>
      </c>
      <c r="M165" s="9" t="e">
        <f t="shared" ca="1" si="1"/>
        <v>#NAME?</v>
      </c>
      <c r="N165" s="10" t="e">
        <f t="shared" ca="1" si="2"/>
        <v>#NAME?</v>
      </c>
      <c r="O165" s="1" t="s">
        <v>38</v>
      </c>
      <c r="P165" s="1"/>
      <c r="Q165" s="8" t="s">
        <v>90</v>
      </c>
      <c r="R165" s="1" t="s">
        <v>730</v>
      </c>
      <c r="S165" s="1" t="s">
        <v>731</v>
      </c>
      <c r="T165" s="1" t="s">
        <v>158</v>
      </c>
      <c r="U165" s="1" t="s">
        <v>732</v>
      </c>
      <c r="X165" s="1">
        <v>6</v>
      </c>
      <c r="Y165" s="7">
        <v>33687</v>
      </c>
      <c r="Z165" s="7">
        <v>36513</v>
      </c>
      <c r="AA165" s="1">
        <v>8970</v>
      </c>
      <c r="AB165" s="1">
        <v>4</v>
      </c>
      <c r="AC165" s="1">
        <v>22</v>
      </c>
      <c r="AD165" s="1" t="s">
        <v>733</v>
      </c>
    </row>
    <row r="166" spans="1:31" ht="13">
      <c r="A166" s="1" t="s">
        <v>734</v>
      </c>
      <c r="B166" s="1" t="s">
        <v>34</v>
      </c>
      <c r="C166" s="1" t="s">
        <v>35</v>
      </c>
      <c r="D166" s="1"/>
      <c r="E166" s="6">
        <v>20560</v>
      </c>
      <c r="F166" s="1" t="s">
        <v>84</v>
      </c>
      <c r="G166" s="1">
        <v>1987</v>
      </c>
      <c r="H166" s="1">
        <v>12</v>
      </c>
      <c r="I166" s="7">
        <v>31933</v>
      </c>
      <c r="J166" s="7">
        <v>36965</v>
      </c>
      <c r="K166" s="8" t="s">
        <v>37</v>
      </c>
      <c r="L166" s="9" t="e">
        <f t="shared" ca="1" si="0"/>
        <v>#NAME?</v>
      </c>
      <c r="M166" s="9" t="e">
        <f t="shared" ca="1" si="1"/>
        <v>#NAME?</v>
      </c>
      <c r="N166" s="10" t="e">
        <f t="shared" ca="1" si="2"/>
        <v>#NAME?</v>
      </c>
      <c r="O166" s="1" t="s">
        <v>38</v>
      </c>
      <c r="P166" s="1"/>
      <c r="Q166" s="1" t="s">
        <v>90</v>
      </c>
      <c r="R166" s="1" t="s">
        <v>99</v>
      </c>
      <c r="S166" s="1" t="s">
        <v>735</v>
      </c>
      <c r="T166" s="1" t="s">
        <v>285</v>
      </c>
      <c r="U166" s="1" t="s">
        <v>736</v>
      </c>
      <c r="X166" s="1">
        <v>4</v>
      </c>
      <c r="Y166" s="7">
        <v>33356</v>
      </c>
      <c r="Z166" s="7">
        <v>35472</v>
      </c>
      <c r="AA166" s="1">
        <v>817</v>
      </c>
      <c r="AB166" s="1">
        <v>3</v>
      </c>
      <c r="AC166" s="1">
        <v>18</v>
      </c>
      <c r="AD166" s="1" t="s">
        <v>737</v>
      </c>
    </row>
    <row r="167" spans="1:31" ht="13">
      <c r="A167" s="1" t="s">
        <v>738</v>
      </c>
      <c r="B167" s="1" t="s">
        <v>394</v>
      </c>
      <c r="C167" s="1" t="s">
        <v>361</v>
      </c>
      <c r="D167" s="1"/>
      <c r="E167" s="6">
        <v>20745</v>
      </c>
      <c r="F167" s="1" t="s">
        <v>124</v>
      </c>
      <c r="G167" s="1">
        <v>1987</v>
      </c>
      <c r="H167" s="1">
        <v>12</v>
      </c>
      <c r="I167" s="7">
        <v>31933</v>
      </c>
      <c r="J167" s="7">
        <v>34043</v>
      </c>
      <c r="K167" s="8" t="s">
        <v>37</v>
      </c>
      <c r="L167" s="9" t="e">
        <f t="shared" ca="1" si="0"/>
        <v>#NAME?</v>
      </c>
      <c r="M167" s="9" t="e">
        <f t="shared" ca="1" si="1"/>
        <v>#NAME?</v>
      </c>
      <c r="N167" s="10" t="e">
        <f t="shared" ca="1" si="2"/>
        <v>#NAME?</v>
      </c>
      <c r="O167" s="1" t="s">
        <v>38</v>
      </c>
      <c r="P167" s="1"/>
      <c r="Q167" s="1" t="s">
        <v>90</v>
      </c>
      <c r="R167" s="1" t="s">
        <v>739</v>
      </c>
      <c r="S167" s="1" t="s">
        <v>740</v>
      </c>
      <c r="T167" s="1" t="s">
        <v>579</v>
      </c>
      <c r="U167" s="1" t="s">
        <v>201</v>
      </c>
      <c r="X167" s="1">
        <v>1</v>
      </c>
      <c r="Y167" s="7">
        <v>33859</v>
      </c>
      <c r="Z167" s="7">
        <v>33859</v>
      </c>
      <c r="AA167" s="1">
        <v>190</v>
      </c>
      <c r="AB167" s="1">
        <v>0</v>
      </c>
      <c r="AC167" s="1">
        <v>0</v>
      </c>
      <c r="AD167" s="1" t="s">
        <v>741</v>
      </c>
    </row>
    <row r="168" spans="1:31" ht="13">
      <c r="A168" s="1" t="s">
        <v>742</v>
      </c>
      <c r="B168" s="1" t="s">
        <v>34</v>
      </c>
      <c r="C168" s="1" t="s">
        <v>35</v>
      </c>
      <c r="D168" s="1"/>
      <c r="E168" s="6">
        <v>19128</v>
      </c>
      <c r="F168" s="1" t="s">
        <v>84</v>
      </c>
      <c r="G168" s="1">
        <v>1987</v>
      </c>
      <c r="H168" s="1">
        <v>12</v>
      </c>
      <c r="I168" s="7">
        <v>31933</v>
      </c>
      <c r="J168" s="7">
        <v>35626</v>
      </c>
      <c r="K168" s="8" t="s">
        <v>37</v>
      </c>
      <c r="L168" s="9" t="e">
        <f t="shared" ca="1" si="0"/>
        <v>#NAME?</v>
      </c>
      <c r="M168" s="9" t="e">
        <f t="shared" ca="1" si="1"/>
        <v>#NAME?</v>
      </c>
      <c r="N168" s="10" t="e">
        <f t="shared" ca="1" si="2"/>
        <v>#NAME?</v>
      </c>
      <c r="O168" s="1" t="s">
        <v>38</v>
      </c>
      <c r="P168" s="1"/>
      <c r="Q168" s="1" t="s">
        <v>90</v>
      </c>
      <c r="R168" s="1" t="s">
        <v>743</v>
      </c>
      <c r="S168" s="1" t="s">
        <v>744</v>
      </c>
      <c r="T168" s="1" t="s">
        <v>104</v>
      </c>
      <c r="U168" s="1" t="s">
        <v>452</v>
      </c>
      <c r="V168" s="1" t="s">
        <v>49</v>
      </c>
      <c r="W168" s="1" t="s">
        <v>50</v>
      </c>
      <c r="X168" s="1">
        <v>3</v>
      </c>
      <c r="Y168" s="7">
        <v>33356</v>
      </c>
      <c r="Z168" s="7">
        <v>34641</v>
      </c>
      <c r="AA168" s="1">
        <v>605</v>
      </c>
      <c r="AB168" s="1">
        <v>0</v>
      </c>
      <c r="AC168" s="1">
        <v>0</v>
      </c>
      <c r="AD168" s="1" t="s">
        <v>745</v>
      </c>
    </row>
    <row r="169" spans="1:31" ht="13">
      <c r="A169" s="1" t="s">
        <v>746</v>
      </c>
      <c r="B169" s="1" t="s">
        <v>34</v>
      </c>
      <c r="C169" s="1" t="s">
        <v>35</v>
      </c>
      <c r="D169" s="1"/>
      <c r="E169" s="6">
        <v>18237</v>
      </c>
      <c r="F169" s="1" t="s">
        <v>84</v>
      </c>
      <c r="G169" s="1">
        <v>1987</v>
      </c>
      <c r="H169" s="1">
        <v>12</v>
      </c>
      <c r="I169" s="7">
        <v>31933</v>
      </c>
      <c r="J169" s="7">
        <v>33800</v>
      </c>
      <c r="K169" s="8" t="s">
        <v>37</v>
      </c>
      <c r="L169" s="9" t="e">
        <f t="shared" ca="1" si="0"/>
        <v>#NAME?</v>
      </c>
      <c r="M169" s="9" t="e">
        <f t="shared" ca="1" si="1"/>
        <v>#NAME?</v>
      </c>
      <c r="N169" s="10" t="e">
        <f t="shared" ca="1" si="2"/>
        <v>#NAME?</v>
      </c>
      <c r="O169" s="1" t="s">
        <v>38</v>
      </c>
      <c r="P169" s="1"/>
      <c r="Q169" s="1" t="s">
        <v>90</v>
      </c>
      <c r="R169" s="1" t="s">
        <v>326</v>
      </c>
      <c r="S169" s="1" t="s">
        <v>747</v>
      </c>
      <c r="T169" s="1" t="s">
        <v>55</v>
      </c>
      <c r="U169" s="1" t="s">
        <v>574</v>
      </c>
      <c r="V169" s="1" t="s">
        <v>43</v>
      </c>
      <c r="W169" s="1" t="s">
        <v>748</v>
      </c>
      <c r="X169" s="1">
        <v>2</v>
      </c>
      <c r="Y169" s="7">
        <v>33152</v>
      </c>
      <c r="Z169" s="7">
        <v>33731</v>
      </c>
      <c r="AA169" s="1">
        <v>311</v>
      </c>
      <c r="AB169" s="1">
        <v>0</v>
      </c>
      <c r="AC169" s="1">
        <v>0</v>
      </c>
      <c r="AD169" s="1" t="s">
        <v>749</v>
      </c>
    </row>
    <row r="170" spans="1:31" ht="13">
      <c r="A170" s="1" t="s">
        <v>750</v>
      </c>
      <c r="B170" s="1" t="s">
        <v>34</v>
      </c>
      <c r="C170" s="1" t="s">
        <v>35</v>
      </c>
      <c r="D170" s="1"/>
      <c r="E170" s="6">
        <v>19017</v>
      </c>
      <c r="F170" s="1" t="s">
        <v>36</v>
      </c>
      <c r="G170" s="1">
        <v>1987</v>
      </c>
      <c r="H170" s="1">
        <v>12</v>
      </c>
      <c r="I170" s="7">
        <v>31933</v>
      </c>
      <c r="J170" s="7">
        <v>38639</v>
      </c>
      <c r="K170" s="8" t="s">
        <v>37</v>
      </c>
      <c r="L170" s="9" t="e">
        <f t="shared" ca="1" si="0"/>
        <v>#NAME?</v>
      </c>
      <c r="M170" s="9" t="e">
        <f t="shared" ca="1" si="1"/>
        <v>#NAME?</v>
      </c>
      <c r="N170" s="10" t="e">
        <f t="shared" ca="1" si="2"/>
        <v>#NAME?</v>
      </c>
      <c r="O170" s="1" t="s">
        <v>38</v>
      </c>
      <c r="P170" s="1"/>
      <c r="Q170" s="1" t="s">
        <v>90</v>
      </c>
      <c r="R170" s="1" t="s">
        <v>751</v>
      </c>
      <c r="S170" s="1" t="s">
        <v>69</v>
      </c>
      <c r="T170" s="1" t="s">
        <v>87</v>
      </c>
      <c r="V170" s="1" t="s">
        <v>71</v>
      </c>
      <c r="W170" s="1" t="s">
        <v>44</v>
      </c>
      <c r="X170" s="1">
        <v>3</v>
      </c>
      <c r="Y170" s="7">
        <v>33625</v>
      </c>
      <c r="Z170" s="7">
        <v>35324</v>
      </c>
      <c r="AA170" s="1">
        <v>672</v>
      </c>
      <c r="AB170" s="1">
        <v>0</v>
      </c>
      <c r="AC170" s="1">
        <v>0</v>
      </c>
      <c r="AD170" s="1" t="s">
        <v>752</v>
      </c>
    </row>
    <row r="171" spans="1:31" ht="13">
      <c r="A171" s="1" t="s">
        <v>753</v>
      </c>
      <c r="B171" s="1" t="s">
        <v>34</v>
      </c>
      <c r="C171" s="1" t="s">
        <v>35</v>
      </c>
      <c r="D171" s="1"/>
      <c r="E171" s="6">
        <v>18711</v>
      </c>
      <c r="F171" s="1" t="s">
        <v>84</v>
      </c>
      <c r="G171" s="1">
        <v>1987</v>
      </c>
      <c r="H171" s="1">
        <v>12</v>
      </c>
      <c r="I171" s="7">
        <v>31933</v>
      </c>
      <c r="J171" s="7">
        <v>34895</v>
      </c>
      <c r="K171" s="8" t="s">
        <v>37</v>
      </c>
      <c r="L171" s="9" t="e">
        <f t="shared" ca="1" si="0"/>
        <v>#NAME?</v>
      </c>
      <c r="M171" s="9" t="e">
        <f t="shared" ca="1" si="1"/>
        <v>#NAME?</v>
      </c>
      <c r="N171" s="10" t="e">
        <f t="shared" ca="1" si="2"/>
        <v>#NAME?</v>
      </c>
      <c r="O171" s="1" t="s">
        <v>38</v>
      </c>
      <c r="P171" s="1"/>
      <c r="Q171" s="1" t="s">
        <v>90</v>
      </c>
      <c r="R171" s="1" t="s">
        <v>754</v>
      </c>
      <c r="S171" s="1" t="s">
        <v>755</v>
      </c>
      <c r="T171" s="1" t="s">
        <v>87</v>
      </c>
      <c r="U171" s="1" t="s">
        <v>756</v>
      </c>
      <c r="V171" s="1" t="s">
        <v>71</v>
      </c>
      <c r="W171" s="1" t="s">
        <v>44</v>
      </c>
      <c r="X171" s="1">
        <v>2</v>
      </c>
      <c r="Y171" s="7">
        <v>33493</v>
      </c>
      <c r="Z171" s="7">
        <v>34368</v>
      </c>
      <c r="AA171" s="1">
        <v>327</v>
      </c>
      <c r="AB171" s="1">
        <v>0</v>
      </c>
      <c r="AC171" s="1">
        <v>0</v>
      </c>
      <c r="AD171" s="1" t="s">
        <v>757</v>
      </c>
    </row>
    <row r="172" spans="1:31" ht="13">
      <c r="A172" s="1" t="s">
        <v>758</v>
      </c>
      <c r="B172" s="1" t="s">
        <v>34</v>
      </c>
      <c r="C172" s="1" t="s">
        <v>35</v>
      </c>
      <c r="D172" s="1"/>
      <c r="E172" s="6">
        <v>19019</v>
      </c>
      <c r="F172" s="1" t="s">
        <v>84</v>
      </c>
      <c r="G172" s="1">
        <v>1987</v>
      </c>
      <c r="H172" s="1">
        <v>12</v>
      </c>
      <c r="I172" s="19">
        <v>31903</v>
      </c>
      <c r="J172" s="19">
        <v>37434</v>
      </c>
      <c r="K172" s="8" t="s">
        <v>37</v>
      </c>
      <c r="L172" s="9" t="e">
        <f t="shared" ca="1" si="0"/>
        <v>#NAME?</v>
      </c>
      <c r="M172" s="9" t="e">
        <f t="shared" ca="1" si="1"/>
        <v>#NAME?</v>
      </c>
      <c r="N172" s="10" t="e">
        <f t="shared" ca="1" si="2"/>
        <v>#NAME?</v>
      </c>
      <c r="O172" s="1" t="s">
        <v>38</v>
      </c>
      <c r="P172" s="1"/>
      <c r="Q172" s="1" t="s">
        <v>521</v>
      </c>
      <c r="R172" s="1" t="s">
        <v>759</v>
      </c>
      <c r="S172" s="1" t="s">
        <v>760</v>
      </c>
      <c r="T172" s="1" t="s">
        <v>761</v>
      </c>
      <c r="U172" s="1" t="s">
        <v>762</v>
      </c>
      <c r="V172" s="1" t="s">
        <v>149</v>
      </c>
      <c r="W172" s="1" t="s">
        <v>44</v>
      </c>
      <c r="X172" s="1">
        <v>3</v>
      </c>
      <c r="Y172" s="19">
        <v>33566</v>
      </c>
      <c r="Z172" s="19">
        <v>35204</v>
      </c>
      <c r="AA172" s="1">
        <v>551</v>
      </c>
      <c r="AB172" s="1">
        <v>0</v>
      </c>
      <c r="AC172" s="1">
        <v>0</v>
      </c>
      <c r="AD172" s="1" t="s">
        <v>763</v>
      </c>
      <c r="AE172" s="21">
        <v>37004</v>
      </c>
    </row>
    <row r="173" spans="1:31" ht="13">
      <c r="A173" s="1" t="s">
        <v>764</v>
      </c>
      <c r="B173" s="1" t="s">
        <v>34</v>
      </c>
      <c r="C173" s="1" t="s">
        <v>35</v>
      </c>
      <c r="D173" s="1"/>
      <c r="E173" s="6">
        <v>17960</v>
      </c>
      <c r="F173" s="1" t="s">
        <v>84</v>
      </c>
      <c r="G173" s="1">
        <v>1987</v>
      </c>
      <c r="H173" s="1">
        <v>12</v>
      </c>
      <c r="I173" s="7">
        <v>31933</v>
      </c>
      <c r="J173" s="7">
        <v>37787</v>
      </c>
      <c r="K173" s="8" t="s">
        <v>37</v>
      </c>
      <c r="L173" s="9" t="e">
        <f t="shared" ca="1" si="0"/>
        <v>#NAME?</v>
      </c>
      <c r="M173" s="9" t="e">
        <f t="shared" ca="1" si="1"/>
        <v>#NAME?</v>
      </c>
      <c r="N173" s="10" t="e">
        <f t="shared" ca="1" si="2"/>
        <v>#NAME?</v>
      </c>
      <c r="O173" s="1" t="s">
        <v>38</v>
      </c>
      <c r="P173" s="1"/>
      <c r="Q173" s="1" t="s">
        <v>90</v>
      </c>
      <c r="R173" s="1" t="s">
        <v>765</v>
      </c>
      <c r="S173" s="1" t="s">
        <v>766</v>
      </c>
      <c r="T173" s="1" t="s">
        <v>87</v>
      </c>
      <c r="U173" s="1" t="s">
        <v>767</v>
      </c>
      <c r="V173" s="1" t="s">
        <v>49</v>
      </c>
      <c r="W173" s="1" t="s">
        <v>490</v>
      </c>
      <c r="X173" s="1">
        <v>5</v>
      </c>
      <c r="Y173" s="7">
        <v>33566</v>
      </c>
      <c r="Z173" s="7">
        <v>36958</v>
      </c>
      <c r="AA173" s="1">
        <v>4853</v>
      </c>
      <c r="AB173" s="1">
        <v>4</v>
      </c>
      <c r="AC173" s="1">
        <v>22</v>
      </c>
      <c r="AD173" s="1" t="s">
        <v>768</v>
      </c>
    </row>
    <row r="174" spans="1:31" ht="13">
      <c r="A174" s="1" t="s">
        <v>769</v>
      </c>
      <c r="B174" s="1" t="s">
        <v>34</v>
      </c>
      <c r="C174" s="1" t="s">
        <v>35</v>
      </c>
      <c r="D174" s="1"/>
      <c r="E174" s="6">
        <v>21026</v>
      </c>
      <c r="F174" s="1" t="s">
        <v>84</v>
      </c>
      <c r="G174" s="1">
        <v>1990</v>
      </c>
      <c r="H174" s="1">
        <v>13</v>
      </c>
      <c r="I174" s="7">
        <v>32890</v>
      </c>
      <c r="J174" s="7">
        <v>38487</v>
      </c>
      <c r="K174" s="8" t="s">
        <v>37</v>
      </c>
      <c r="L174" s="9" t="e">
        <f t="shared" ca="1" si="0"/>
        <v>#NAME?</v>
      </c>
      <c r="M174" s="9" t="e">
        <f t="shared" ca="1" si="1"/>
        <v>#NAME?</v>
      </c>
      <c r="N174" s="10" t="e">
        <f t="shared" ca="1" si="2"/>
        <v>#NAME?</v>
      </c>
      <c r="O174" s="1" t="s">
        <v>38</v>
      </c>
      <c r="P174" s="1"/>
      <c r="Q174" s="1" t="s">
        <v>90</v>
      </c>
      <c r="R174" s="1" t="s">
        <v>770</v>
      </c>
      <c r="S174" s="1" t="s">
        <v>565</v>
      </c>
      <c r="T174" s="1" t="s">
        <v>158</v>
      </c>
      <c r="U174" s="1" t="s">
        <v>346</v>
      </c>
      <c r="V174" s="1" t="s">
        <v>71</v>
      </c>
      <c r="W174" s="1" t="s">
        <v>44</v>
      </c>
      <c r="X174" s="1">
        <v>4</v>
      </c>
      <c r="Y174" s="7">
        <v>34224</v>
      </c>
      <c r="Z174" s="7">
        <v>37230</v>
      </c>
      <c r="AA174" s="1">
        <v>5446</v>
      </c>
      <c r="AB174" s="1">
        <v>2</v>
      </c>
      <c r="AC174" s="1">
        <v>12</v>
      </c>
      <c r="AD174" s="1" t="s">
        <v>771</v>
      </c>
    </row>
    <row r="175" spans="1:31" ht="13">
      <c r="A175" s="1" t="s">
        <v>772</v>
      </c>
      <c r="B175" s="1" t="s">
        <v>34</v>
      </c>
      <c r="C175" s="1" t="s">
        <v>459</v>
      </c>
      <c r="D175" s="1" t="s">
        <v>773</v>
      </c>
      <c r="E175" s="6">
        <v>22156</v>
      </c>
      <c r="F175" s="1" t="s">
        <v>124</v>
      </c>
      <c r="G175" s="1">
        <v>1990</v>
      </c>
      <c r="H175" s="1">
        <v>13</v>
      </c>
      <c r="I175" s="7">
        <v>32890</v>
      </c>
      <c r="J175" s="7">
        <v>38691</v>
      </c>
      <c r="K175" s="8" t="s">
        <v>37</v>
      </c>
      <c r="L175" s="9" t="e">
        <f t="shared" ca="1" si="0"/>
        <v>#NAME?</v>
      </c>
      <c r="M175" s="9" t="e">
        <f t="shared" ca="1" si="1"/>
        <v>#NAME?</v>
      </c>
      <c r="N175" s="10" t="e">
        <f t="shared" ca="1" si="2"/>
        <v>#NAME?</v>
      </c>
      <c r="O175" s="1" t="s">
        <v>38</v>
      </c>
      <c r="P175" s="1"/>
      <c r="Q175" s="1" t="s">
        <v>90</v>
      </c>
      <c r="R175" s="1" t="s">
        <v>774</v>
      </c>
      <c r="S175" s="1" t="s">
        <v>775</v>
      </c>
      <c r="T175" s="1" t="s">
        <v>579</v>
      </c>
      <c r="U175" s="1" t="s">
        <v>579</v>
      </c>
      <c r="X175" s="1">
        <v>4</v>
      </c>
      <c r="Y175" s="7">
        <v>34523</v>
      </c>
      <c r="Z175" s="7">
        <v>38269</v>
      </c>
      <c r="AA175" s="1">
        <v>5503</v>
      </c>
      <c r="AB175" s="1">
        <v>6</v>
      </c>
      <c r="AC175" s="1">
        <v>36</v>
      </c>
      <c r="AD175" s="1" t="s">
        <v>776</v>
      </c>
    </row>
    <row r="176" spans="1:31" ht="13">
      <c r="A176" s="1" t="s">
        <v>777</v>
      </c>
      <c r="B176" s="1" t="s">
        <v>34</v>
      </c>
      <c r="C176" s="1" t="s">
        <v>35</v>
      </c>
      <c r="D176" s="1"/>
      <c r="E176" s="6">
        <v>19280</v>
      </c>
      <c r="F176" s="1" t="s">
        <v>84</v>
      </c>
      <c r="G176" s="1">
        <v>1990</v>
      </c>
      <c r="H176" s="1">
        <v>13</v>
      </c>
      <c r="I176" s="7">
        <v>32890</v>
      </c>
      <c r="J176" s="7">
        <v>35436</v>
      </c>
      <c r="K176" s="8" t="s">
        <v>37</v>
      </c>
      <c r="L176" s="9" t="e">
        <f t="shared" ca="1" si="0"/>
        <v>#NAME?</v>
      </c>
      <c r="M176" s="9" t="e">
        <f t="shared" ca="1" si="1"/>
        <v>#NAME?</v>
      </c>
      <c r="N176" s="10" t="e">
        <f t="shared" ca="1" si="2"/>
        <v>#NAME?</v>
      </c>
      <c r="O176" s="1" t="s">
        <v>38</v>
      </c>
      <c r="P176" s="1"/>
      <c r="Q176" s="1" t="s">
        <v>90</v>
      </c>
      <c r="R176" s="1" t="s">
        <v>778</v>
      </c>
      <c r="S176" s="1" t="s">
        <v>779</v>
      </c>
      <c r="U176" s="1" t="s">
        <v>87</v>
      </c>
      <c r="V176" s="1" t="s">
        <v>63</v>
      </c>
      <c r="W176" s="1" t="s">
        <v>490</v>
      </c>
      <c r="X176" s="1">
        <v>3</v>
      </c>
      <c r="Y176" s="7">
        <v>33940</v>
      </c>
      <c r="Z176" s="7">
        <v>35146</v>
      </c>
      <c r="AA176" s="1">
        <v>666</v>
      </c>
      <c r="AB176" s="1">
        <v>1</v>
      </c>
      <c r="AC176" s="1">
        <v>6</v>
      </c>
      <c r="AD176" s="1" t="s">
        <v>780</v>
      </c>
    </row>
    <row r="177" spans="1:31" ht="13">
      <c r="A177" s="1" t="s">
        <v>781</v>
      </c>
      <c r="B177" s="1" t="s">
        <v>34</v>
      </c>
      <c r="C177" s="1" t="s">
        <v>35</v>
      </c>
      <c r="D177" s="1"/>
      <c r="E177" s="6">
        <v>18362</v>
      </c>
      <c r="F177" s="1" t="s">
        <v>84</v>
      </c>
      <c r="G177" s="1">
        <v>1990</v>
      </c>
      <c r="H177" s="1">
        <v>13</v>
      </c>
      <c r="I177" s="7">
        <v>32890</v>
      </c>
      <c r="J177" s="7">
        <v>38763</v>
      </c>
      <c r="K177" s="8" t="s">
        <v>37</v>
      </c>
      <c r="L177" s="9" t="e">
        <f t="shared" ca="1" si="0"/>
        <v>#NAME?</v>
      </c>
      <c r="M177" s="9" t="e">
        <f t="shared" ca="1" si="1"/>
        <v>#NAME?</v>
      </c>
      <c r="N177" s="10" t="e">
        <f t="shared" ca="1" si="2"/>
        <v>#NAME?</v>
      </c>
      <c r="O177" s="1" t="s">
        <v>38</v>
      </c>
      <c r="P177" s="1"/>
      <c r="Q177" s="1" t="s">
        <v>521</v>
      </c>
      <c r="R177" s="1" t="s">
        <v>782</v>
      </c>
      <c r="S177" s="1" t="s">
        <v>783</v>
      </c>
      <c r="T177" s="1" t="s">
        <v>62</v>
      </c>
      <c r="U177" s="1" t="s">
        <v>574</v>
      </c>
      <c r="W177" s="1" t="s">
        <v>784</v>
      </c>
      <c r="X177" s="1">
        <v>5</v>
      </c>
      <c r="Y177" s="7">
        <v>34067</v>
      </c>
      <c r="Z177" s="7">
        <v>37412</v>
      </c>
      <c r="AA177" s="1">
        <v>1548</v>
      </c>
      <c r="AB177" s="1">
        <v>0</v>
      </c>
      <c r="AC177" s="1">
        <v>0</v>
      </c>
      <c r="AD177" s="1" t="s">
        <v>785</v>
      </c>
    </row>
    <row r="178" spans="1:31" ht="13">
      <c r="A178" s="1" t="s">
        <v>786</v>
      </c>
      <c r="B178" s="1" t="s">
        <v>394</v>
      </c>
      <c r="C178" s="1" t="s">
        <v>35</v>
      </c>
      <c r="D178" s="1"/>
      <c r="E178" s="6">
        <v>21873</v>
      </c>
      <c r="F178" s="1" t="s">
        <v>84</v>
      </c>
      <c r="G178" s="1">
        <v>1990</v>
      </c>
      <c r="H178" s="1">
        <v>13</v>
      </c>
      <c r="I178" s="7">
        <v>32890</v>
      </c>
      <c r="J178" s="7">
        <v>38838</v>
      </c>
      <c r="K178" s="8" t="s">
        <v>37</v>
      </c>
      <c r="L178" s="9" t="e">
        <f t="shared" ca="1" si="0"/>
        <v>#NAME?</v>
      </c>
      <c r="M178" s="9" t="e">
        <f t="shared" ca="1" si="1"/>
        <v>#NAME?</v>
      </c>
      <c r="N178" s="10" t="e">
        <f t="shared" ca="1" si="2"/>
        <v>#NAME?</v>
      </c>
      <c r="O178" s="1" t="s">
        <v>38</v>
      </c>
      <c r="P178" s="1"/>
      <c r="Q178" s="1" t="s">
        <v>90</v>
      </c>
      <c r="R178" s="1" t="s">
        <v>787</v>
      </c>
      <c r="S178" s="1" t="s">
        <v>788</v>
      </c>
      <c r="T178" s="1" t="s">
        <v>789</v>
      </c>
      <c r="U178" s="1" t="s">
        <v>790</v>
      </c>
      <c r="V178" s="1" t="s">
        <v>49</v>
      </c>
      <c r="W178" s="1" t="s">
        <v>50</v>
      </c>
      <c r="X178" s="1">
        <v>4</v>
      </c>
      <c r="Y178" s="7">
        <v>34733</v>
      </c>
      <c r="Z178" s="7">
        <v>38559</v>
      </c>
      <c r="AA178" s="1">
        <v>890</v>
      </c>
      <c r="AB178" s="1">
        <v>0</v>
      </c>
      <c r="AC178" s="1">
        <v>0</v>
      </c>
      <c r="AD178" s="1" t="s">
        <v>791</v>
      </c>
    </row>
    <row r="179" spans="1:31" ht="13">
      <c r="A179" s="1" t="s">
        <v>792</v>
      </c>
      <c r="B179" s="1" t="s">
        <v>394</v>
      </c>
      <c r="C179" s="1" t="s">
        <v>35</v>
      </c>
      <c r="D179" s="1"/>
      <c r="E179" s="6">
        <v>21548</v>
      </c>
      <c r="F179" s="1" t="s">
        <v>124</v>
      </c>
      <c r="G179" s="1">
        <v>1990</v>
      </c>
      <c r="H179" s="1">
        <v>13</v>
      </c>
      <c r="I179" s="19">
        <v>32890</v>
      </c>
      <c r="J179" s="22">
        <v>43041</v>
      </c>
      <c r="K179" s="23" t="s">
        <v>37</v>
      </c>
      <c r="L179" s="9" t="e">
        <f t="shared" ca="1" si="0"/>
        <v>#NAME?</v>
      </c>
      <c r="M179" s="9" t="e">
        <f t="shared" ca="1" si="1"/>
        <v>#NAME?</v>
      </c>
      <c r="N179" s="10" t="e">
        <f t="shared" ca="1" si="2"/>
        <v>#NAME?</v>
      </c>
      <c r="O179" s="1" t="s">
        <v>38</v>
      </c>
      <c r="P179" s="1"/>
      <c r="Q179" s="1" t="s">
        <v>521</v>
      </c>
      <c r="R179" s="1" t="s">
        <v>793</v>
      </c>
      <c r="S179" s="1" t="s">
        <v>794</v>
      </c>
      <c r="T179" s="1" t="s">
        <v>539</v>
      </c>
      <c r="U179" s="1" t="s">
        <v>795</v>
      </c>
      <c r="V179" s="1" t="s">
        <v>49</v>
      </c>
      <c r="W179" s="1" t="s">
        <v>490</v>
      </c>
      <c r="X179" s="1">
        <v>4</v>
      </c>
      <c r="Y179" s="19">
        <v>34141</v>
      </c>
      <c r="Z179" s="19">
        <v>37316</v>
      </c>
      <c r="AA179" s="1">
        <v>999</v>
      </c>
      <c r="AB179" s="1">
        <v>0</v>
      </c>
      <c r="AC179" s="1">
        <v>0</v>
      </c>
      <c r="AD179" s="1" t="s">
        <v>796</v>
      </c>
    </row>
    <row r="180" spans="1:31" ht="13">
      <c r="A180" s="1" t="s">
        <v>797</v>
      </c>
      <c r="B180" s="1" t="s">
        <v>34</v>
      </c>
      <c r="C180" s="1" t="s">
        <v>35</v>
      </c>
      <c r="D180" s="1"/>
      <c r="E180" s="6">
        <v>20954</v>
      </c>
      <c r="F180" s="1" t="s">
        <v>84</v>
      </c>
      <c r="G180" s="1">
        <v>1990</v>
      </c>
      <c r="H180" s="1">
        <v>13</v>
      </c>
      <c r="I180" s="7">
        <v>32890</v>
      </c>
      <c r="J180" s="7">
        <v>36342</v>
      </c>
      <c r="K180" s="8" t="s">
        <v>37</v>
      </c>
      <c r="L180" s="9" t="e">
        <f t="shared" ca="1" si="0"/>
        <v>#NAME?</v>
      </c>
      <c r="M180" s="9" t="e">
        <f t="shared" ca="1" si="1"/>
        <v>#NAME?</v>
      </c>
      <c r="N180" s="10" t="e">
        <f t="shared" ca="1" si="2"/>
        <v>#NAME?</v>
      </c>
      <c r="O180" s="1" t="s">
        <v>38</v>
      </c>
      <c r="P180" s="1"/>
      <c r="Q180" s="1" t="s">
        <v>90</v>
      </c>
      <c r="R180" s="1" t="s">
        <v>798</v>
      </c>
      <c r="S180" s="1" t="s">
        <v>799</v>
      </c>
      <c r="T180" s="1" t="s">
        <v>346</v>
      </c>
      <c r="U180" s="1" t="s">
        <v>800</v>
      </c>
      <c r="V180" s="1" t="s">
        <v>63</v>
      </c>
      <c r="W180" s="1" t="s">
        <v>64</v>
      </c>
      <c r="X180" s="1">
        <v>1</v>
      </c>
      <c r="Y180" s="7">
        <v>34760</v>
      </c>
      <c r="Z180" s="7">
        <v>34760</v>
      </c>
      <c r="AA180" s="1">
        <v>399</v>
      </c>
      <c r="AB180" s="1">
        <v>0</v>
      </c>
      <c r="AC180" s="1">
        <v>0</v>
      </c>
      <c r="AD180" s="1" t="s">
        <v>801</v>
      </c>
    </row>
    <row r="181" spans="1:31" ht="13">
      <c r="A181" s="1" t="s">
        <v>802</v>
      </c>
      <c r="B181" s="1" t="s">
        <v>34</v>
      </c>
      <c r="C181" s="1" t="s">
        <v>35</v>
      </c>
      <c r="D181" s="1"/>
      <c r="E181" s="6">
        <v>20727</v>
      </c>
      <c r="F181" s="1" t="s">
        <v>84</v>
      </c>
      <c r="G181" s="1">
        <v>1990</v>
      </c>
      <c r="H181" s="1">
        <v>13</v>
      </c>
      <c r="I181" s="7">
        <v>32890</v>
      </c>
      <c r="J181" s="7">
        <v>39036</v>
      </c>
      <c r="K181" s="8" t="s">
        <v>37</v>
      </c>
      <c r="L181" s="9" t="e">
        <f t="shared" ca="1" si="0"/>
        <v>#NAME?</v>
      </c>
      <c r="M181" s="9" t="e">
        <f t="shared" ca="1" si="1"/>
        <v>#NAME?</v>
      </c>
      <c r="N181" s="10" t="e">
        <f t="shared" ca="1" si="2"/>
        <v>#NAME?</v>
      </c>
      <c r="O181" s="1" t="s">
        <v>38</v>
      </c>
      <c r="P181" s="1"/>
      <c r="Q181" s="1" t="s">
        <v>90</v>
      </c>
      <c r="R181" s="1" t="s">
        <v>803</v>
      </c>
      <c r="S181" s="1" t="s">
        <v>804</v>
      </c>
      <c r="T181" s="1" t="s">
        <v>55</v>
      </c>
      <c r="U181" s="1" t="s">
        <v>805</v>
      </c>
      <c r="V181" s="1" t="s">
        <v>49</v>
      </c>
      <c r="W181" s="1" t="s">
        <v>50</v>
      </c>
      <c r="X181" s="1">
        <v>5</v>
      </c>
      <c r="Y181" s="7">
        <v>34523</v>
      </c>
      <c r="Z181" s="7">
        <v>36665</v>
      </c>
      <c r="AA181" s="1">
        <v>1258</v>
      </c>
      <c r="AB181" s="1">
        <v>0</v>
      </c>
      <c r="AC181" s="1">
        <v>0</v>
      </c>
      <c r="AD181" s="1" t="s">
        <v>806</v>
      </c>
    </row>
    <row r="182" spans="1:31" ht="13">
      <c r="A182" s="1" t="s">
        <v>807</v>
      </c>
      <c r="B182" s="1" t="s">
        <v>34</v>
      </c>
      <c r="C182" s="1" t="s">
        <v>361</v>
      </c>
      <c r="D182" s="1"/>
      <c r="E182" s="6">
        <v>20632</v>
      </c>
      <c r="F182" s="1" t="s">
        <v>124</v>
      </c>
      <c r="G182" s="1">
        <v>1990</v>
      </c>
      <c r="H182" s="1">
        <v>13</v>
      </c>
      <c r="I182" s="7">
        <v>32890</v>
      </c>
      <c r="J182" s="7">
        <v>35170</v>
      </c>
      <c r="K182" s="8" t="s">
        <v>37</v>
      </c>
      <c r="L182" s="9" t="e">
        <f t="shared" ca="1" si="0"/>
        <v>#NAME?</v>
      </c>
      <c r="M182" s="9" t="e">
        <f t="shared" ca="1" si="1"/>
        <v>#NAME?</v>
      </c>
      <c r="N182" s="10" t="e">
        <f t="shared" ca="1" si="2"/>
        <v>#NAME?</v>
      </c>
      <c r="O182" s="1" t="s">
        <v>38</v>
      </c>
      <c r="P182" s="1"/>
      <c r="Q182" s="1" t="s">
        <v>90</v>
      </c>
      <c r="R182" s="1" t="s">
        <v>808</v>
      </c>
      <c r="S182" s="1" t="s">
        <v>809</v>
      </c>
      <c r="T182" s="1" t="s">
        <v>810</v>
      </c>
      <c r="U182" s="1" t="s">
        <v>201</v>
      </c>
      <c r="X182" s="1">
        <v>2</v>
      </c>
      <c r="Y182" s="7">
        <v>34085</v>
      </c>
      <c r="Z182" s="7">
        <v>34732</v>
      </c>
      <c r="AA182" s="1">
        <v>438</v>
      </c>
      <c r="AB182" s="1">
        <v>1</v>
      </c>
      <c r="AC182" s="1">
        <v>5</v>
      </c>
      <c r="AD182" s="1" t="s">
        <v>811</v>
      </c>
    </row>
    <row r="183" spans="1:31" ht="13">
      <c r="A183" s="1" t="s">
        <v>812</v>
      </c>
      <c r="B183" s="1" t="s">
        <v>394</v>
      </c>
      <c r="C183" s="1" t="s">
        <v>35</v>
      </c>
      <c r="D183" s="1"/>
      <c r="E183" s="6">
        <v>21242</v>
      </c>
      <c r="F183" s="1" t="s">
        <v>84</v>
      </c>
      <c r="G183" s="1">
        <v>1990</v>
      </c>
      <c r="H183" s="1">
        <v>13</v>
      </c>
      <c r="I183" s="7">
        <v>32890</v>
      </c>
      <c r="J183" s="7">
        <v>37452</v>
      </c>
      <c r="K183" s="8" t="s">
        <v>37</v>
      </c>
      <c r="L183" s="9" t="e">
        <f t="shared" ca="1" si="0"/>
        <v>#NAME?</v>
      </c>
      <c r="M183" s="9" t="e">
        <f t="shared" ca="1" si="1"/>
        <v>#NAME?</v>
      </c>
      <c r="N183" s="10" t="e">
        <f t="shared" ca="1" si="2"/>
        <v>#NAME?</v>
      </c>
      <c r="O183" s="1" t="s">
        <v>38</v>
      </c>
      <c r="P183" s="1"/>
      <c r="Q183" s="1" t="s">
        <v>90</v>
      </c>
      <c r="R183" s="1" t="s">
        <v>226</v>
      </c>
      <c r="S183" s="1" t="s">
        <v>813</v>
      </c>
      <c r="T183" s="1" t="s">
        <v>42</v>
      </c>
      <c r="U183" s="1" t="s">
        <v>175</v>
      </c>
      <c r="V183" s="1" t="s">
        <v>113</v>
      </c>
      <c r="W183" s="1" t="s">
        <v>64</v>
      </c>
      <c r="X183" s="1">
        <v>5</v>
      </c>
      <c r="Y183" s="7">
        <v>33982</v>
      </c>
      <c r="Z183" s="7">
        <v>36958</v>
      </c>
      <c r="AA183" s="1">
        <v>5063</v>
      </c>
      <c r="AB183" s="1">
        <v>1</v>
      </c>
      <c r="AC183" s="1">
        <v>9</v>
      </c>
      <c r="AD183" s="1" t="s">
        <v>814</v>
      </c>
    </row>
    <row r="184" spans="1:31" ht="13">
      <c r="A184" s="1" t="s">
        <v>815</v>
      </c>
      <c r="B184" s="1" t="s">
        <v>34</v>
      </c>
      <c r="C184" s="1" t="s">
        <v>35</v>
      </c>
      <c r="D184" s="1"/>
      <c r="E184" s="6">
        <v>20111</v>
      </c>
      <c r="F184" s="1" t="s">
        <v>124</v>
      </c>
      <c r="G184" s="1">
        <v>1990</v>
      </c>
      <c r="H184" s="1">
        <v>13</v>
      </c>
      <c r="I184" s="7">
        <v>32890</v>
      </c>
      <c r="J184" s="7">
        <v>37073</v>
      </c>
      <c r="K184" s="8" t="s">
        <v>37</v>
      </c>
      <c r="L184" s="9" t="e">
        <f t="shared" ca="1" si="0"/>
        <v>#NAME?</v>
      </c>
      <c r="M184" s="9" t="e">
        <f t="shared" ca="1" si="1"/>
        <v>#NAME?</v>
      </c>
      <c r="N184" s="10" t="e">
        <f t="shared" ca="1" si="2"/>
        <v>#NAME?</v>
      </c>
      <c r="O184" s="1" t="s">
        <v>38</v>
      </c>
      <c r="P184" s="1"/>
      <c r="Q184" s="1" t="s">
        <v>90</v>
      </c>
      <c r="R184" s="1" t="s">
        <v>631</v>
      </c>
      <c r="S184" s="1" t="s">
        <v>816</v>
      </c>
      <c r="U184" s="1" t="s">
        <v>817</v>
      </c>
      <c r="X184" s="1">
        <v>4</v>
      </c>
      <c r="Y184" s="7">
        <v>34433</v>
      </c>
      <c r="Z184" s="7">
        <v>36929</v>
      </c>
      <c r="AA184" s="1">
        <v>1272</v>
      </c>
      <c r="AB184" s="1">
        <v>3</v>
      </c>
      <c r="AC184" s="1">
        <v>20</v>
      </c>
      <c r="AD184" s="1" t="s">
        <v>818</v>
      </c>
    </row>
    <row r="185" spans="1:31" ht="13">
      <c r="A185" s="1" t="s">
        <v>819</v>
      </c>
      <c r="B185" s="1" t="s">
        <v>34</v>
      </c>
      <c r="C185" s="1" t="s">
        <v>35</v>
      </c>
      <c r="D185" s="1"/>
      <c r="E185" s="6">
        <v>18835</v>
      </c>
      <c r="F185" s="1" t="s">
        <v>84</v>
      </c>
      <c r="G185" s="1">
        <v>1990</v>
      </c>
      <c r="H185" s="1">
        <v>13</v>
      </c>
      <c r="I185" s="7">
        <v>32890</v>
      </c>
      <c r="J185" s="17">
        <v>42910</v>
      </c>
      <c r="K185" s="8" t="s">
        <v>37</v>
      </c>
      <c r="L185" s="9" t="e">
        <f t="shared" ca="1" si="0"/>
        <v>#NAME?</v>
      </c>
      <c r="M185" s="9" t="e">
        <f t="shared" ca="1" si="1"/>
        <v>#NAME?</v>
      </c>
      <c r="N185" s="10" t="e">
        <f t="shared" ca="1" si="2"/>
        <v>#NAME?</v>
      </c>
      <c r="O185" s="1" t="s">
        <v>38</v>
      </c>
      <c r="P185" s="1"/>
      <c r="Q185" s="1" t="s">
        <v>521</v>
      </c>
      <c r="R185" s="1" t="s">
        <v>820</v>
      </c>
      <c r="S185" s="1" t="s">
        <v>779</v>
      </c>
      <c r="T185" s="1" t="s">
        <v>821</v>
      </c>
      <c r="U185" s="1" t="s">
        <v>87</v>
      </c>
      <c r="V185" s="1" t="s">
        <v>49</v>
      </c>
      <c r="W185" s="1" t="s">
        <v>490</v>
      </c>
      <c r="X185" s="1">
        <v>4</v>
      </c>
      <c r="Y185" s="7">
        <v>34260</v>
      </c>
      <c r="Z185" s="7">
        <v>38625</v>
      </c>
      <c r="AA185" s="1">
        <v>5398</v>
      </c>
      <c r="AB185" s="1">
        <v>4</v>
      </c>
      <c r="AC185" s="1">
        <v>24</v>
      </c>
      <c r="AD185" s="1" t="s">
        <v>822</v>
      </c>
    </row>
    <row r="186" spans="1:31" ht="13">
      <c r="A186" s="1" t="s">
        <v>823</v>
      </c>
      <c r="B186" s="1" t="s">
        <v>34</v>
      </c>
      <c r="C186" s="1" t="s">
        <v>35</v>
      </c>
      <c r="D186" s="1"/>
      <c r="E186" s="6">
        <v>20744</v>
      </c>
      <c r="F186" s="1" t="s">
        <v>124</v>
      </c>
      <c r="G186" s="1">
        <v>1990</v>
      </c>
      <c r="H186" s="1">
        <v>13</v>
      </c>
      <c r="I186" s="7">
        <v>32890</v>
      </c>
      <c r="J186" s="7">
        <v>39644</v>
      </c>
      <c r="K186" s="8" t="s">
        <v>37</v>
      </c>
      <c r="L186" s="9" t="e">
        <f t="shared" ca="1" si="0"/>
        <v>#NAME?</v>
      </c>
      <c r="M186" s="9" t="e">
        <f t="shared" ca="1" si="1"/>
        <v>#NAME?</v>
      </c>
      <c r="N186" s="10" t="e">
        <f t="shared" ca="1" si="2"/>
        <v>#NAME?</v>
      </c>
      <c r="O186" s="1" t="s">
        <v>38</v>
      </c>
      <c r="P186" s="1"/>
      <c r="Q186" s="1" t="s">
        <v>90</v>
      </c>
      <c r="R186" s="1" t="s">
        <v>643</v>
      </c>
      <c r="S186" s="1" t="s">
        <v>824</v>
      </c>
      <c r="T186" s="1" t="s">
        <v>158</v>
      </c>
      <c r="U186" s="1" t="s">
        <v>158</v>
      </c>
      <c r="X186" s="1">
        <v>4</v>
      </c>
      <c r="Y186" s="7">
        <v>34224</v>
      </c>
      <c r="Z186" s="7">
        <v>37316</v>
      </c>
      <c r="AA186" s="1">
        <v>1042</v>
      </c>
      <c r="AB186" s="1">
        <v>6</v>
      </c>
      <c r="AC186" s="1">
        <v>43</v>
      </c>
      <c r="AD186" s="1" t="s">
        <v>825</v>
      </c>
    </row>
    <row r="187" spans="1:31" ht="13">
      <c r="A187" s="1" t="s">
        <v>826</v>
      </c>
      <c r="B187" s="1" t="s">
        <v>394</v>
      </c>
      <c r="C187" s="1" t="s">
        <v>530</v>
      </c>
      <c r="D187" s="1" t="s">
        <v>827</v>
      </c>
      <c r="E187" s="6">
        <v>21315</v>
      </c>
      <c r="F187" s="1" t="s">
        <v>124</v>
      </c>
      <c r="G187" s="1">
        <v>1990</v>
      </c>
      <c r="H187" s="1">
        <v>13</v>
      </c>
      <c r="I187" s="7">
        <v>32890</v>
      </c>
      <c r="J187" s="20">
        <v>43245</v>
      </c>
      <c r="K187" s="8" t="s">
        <v>37</v>
      </c>
      <c r="L187" s="9" t="e">
        <f t="shared" ca="1" si="0"/>
        <v>#NAME?</v>
      </c>
      <c r="M187" s="9" t="e">
        <f t="shared" ca="1" si="1"/>
        <v>#NAME?</v>
      </c>
      <c r="N187" s="10" t="e">
        <f t="shared" ca="1" si="2"/>
        <v>#NAME?</v>
      </c>
      <c r="O187" s="1" t="s">
        <v>38</v>
      </c>
      <c r="P187" s="1"/>
      <c r="Q187" s="1" t="s">
        <v>521</v>
      </c>
      <c r="R187" s="1" t="s">
        <v>468</v>
      </c>
      <c r="S187" s="1" t="s">
        <v>828</v>
      </c>
      <c r="T187" s="1" t="s">
        <v>158</v>
      </c>
      <c r="U187" s="1" t="s">
        <v>139</v>
      </c>
      <c r="X187" s="1">
        <v>4</v>
      </c>
      <c r="Y187" s="7">
        <v>34067</v>
      </c>
      <c r="Z187" s="7">
        <v>37354</v>
      </c>
      <c r="AA187" s="1">
        <v>979</v>
      </c>
      <c r="AB187" s="1">
        <v>0</v>
      </c>
      <c r="AC187" s="1">
        <v>0</v>
      </c>
      <c r="AD187" s="1" t="s">
        <v>829</v>
      </c>
    </row>
    <row r="188" spans="1:31" ht="13">
      <c r="A188" s="1" t="s">
        <v>830</v>
      </c>
      <c r="B188" s="1" t="s">
        <v>34</v>
      </c>
      <c r="C188" s="1" t="s">
        <v>35</v>
      </c>
      <c r="D188" s="1"/>
      <c r="E188" s="6">
        <v>20269</v>
      </c>
      <c r="F188" s="1" t="s">
        <v>84</v>
      </c>
      <c r="G188" s="1">
        <v>1990</v>
      </c>
      <c r="H188" s="1">
        <v>13</v>
      </c>
      <c r="I188" s="7">
        <v>32890</v>
      </c>
      <c r="J188" s="7">
        <v>38426</v>
      </c>
      <c r="K188" s="8" t="s">
        <v>37</v>
      </c>
      <c r="L188" s="9" t="e">
        <f t="shared" ca="1" si="0"/>
        <v>#NAME?</v>
      </c>
      <c r="M188" s="9" t="e">
        <f t="shared" ca="1" si="1"/>
        <v>#NAME?</v>
      </c>
      <c r="N188" s="10" t="e">
        <f t="shared" ca="1" si="2"/>
        <v>#NAME?</v>
      </c>
      <c r="O188" s="1" t="s">
        <v>38</v>
      </c>
      <c r="P188" s="1"/>
      <c r="Q188" s="1" t="s">
        <v>90</v>
      </c>
      <c r="R188" s="1" t="s">
        <v>831</v>
      </c>
      <c r="S188" s="1" t="s">
        <v>832</v>
      </c>
      <c r="T188" s="1" t="s">
        <v>42</v>
      </c>
      <c r="U188" s="1" t="s">
        <v>833</v>
      </c>
      <c r="V188" s="1" t="s">
        <v>49</v>
      </c>
      <c r="W188" s="1" t="s">
        <v>50</v>
      </c>
      <c r="X188" s="1">
        <v>4</v>
      </c>
      <c r="Y188" s="7">
        <v>34085</v>
      </c>
      <c r="Z188" s="7">
        <v>35948</v>
      </c>
      <c r="AA188" s="1">
        <v>950</v>
      </c>
      <c r="AB188" s="1">
        <v>0</v>
      </c>
      <c r="AC188" s="1">
        <v>0</v>
      </c>
      <c r="AD188" s="1" t="s">
        <v>834</v>
      </c>
    </row>
    <row r="189" spans="1:31" ht="13">
      <c r="A189" s="1" t="s">
        <v>835</v>
      </c>
      <c r="B189" s="1" t="s">
        <v>34</v>
      </c>
      <c r="C189" s="1" t="s">
        <v>35</v>
      </c>
      <c r="D189" s="1"/>
      <c r="E189" s="6">
        <v>20611</v>
      </c>
      <c r="F189" s="1" t="s">
        <v>84</v>
      </c>
      <c r="G189" s="1">
        <v>1990</v>
      </c>
      <c r="H189" s="1">
        <v>13</v>
      </c>
      <c r="I189" s="7">
        <v>32890</v>
      </c>
      <c r="J189" s="7">
        <v>36160</v>
      </c>
      <c r="K189" s="8" t="s">
        <v>37</v>
      </c>
      <c r="L189" s="9" t="e">
        <f t="shared" ca="1" si="0"/>
        <v>#NAME?</v>
      </c>
      <c r="M189" s="9" t="e">
        <f t="shared" ca="1" si="1"/>
        <v>#NAME?</v>
      </c>
      <c r="N189" s="10" t="e">
        <f t="shared" ca="1" si="2"/>
        <v>#NAME?</v>
      </c>
      <c r="O189" s="1" t="s">
        <v>38</v>
      </c>
      <c r="P189" s="1"/>
      <c r="Q189" s="1" t="s">
        <v>90</v>
      </c>
      <c r="R189" s="1" t="s">
        <v>836</v>
      </c>
      <c r="S189" s="1" t="s">
        <v>837</v>
      </c>
      <c r="T189" s="1" t="s">
        <v>42</v>
      </c>
      <c r="U189" s="1" t="s">
        <v>228</v>
      </c>
      <c r="V189" s="1" t="s">
        <v>49</v>
      </c>
      <c r="W189" s="1" t="s">
        <v>50</v>
      </c>
      <c r="X189" s="1">
        <v>3</v>
      </c>
      <c r="Y189" s="7">
        <v>34260</v>
      </c>
      <c r="Z189" s="7">
        <v>35902</v>
      </c>
      <c r="AA189" s="1">
        <v>939</v>
      </c>
      <c r="AB189" s="1">
        <v>0</v>
      </c>
      <c r="AC189" s="1">
        <v>0</v>
      </c>
      <c r="AD189" s="1" t="s">
        <v>838</v>
      </c>
    </row>
    <row r="190" spans="1:31" ht="13">
      <c r="A190" s="1" t="s">
        <v>839</v>
      </c>
      <c r="B190" s="1" t="s">
        <v>34</v>
      </c>
      <c r="C190" s="1" t="s">
        <v>35</v>
      </c>
      <c r="D190" s="1"/>
      <c r="E190" s="6">
        <v>19332</v>
      </c>
      <c r="F190" s="1" t="s">
        <v>124</v>
      </c>
      <c r="G190" s="1">
        <v>1990</v>
      </c>
      <c r="H190" s="1">
        <v>13</v>
      </c>
      <c r="I190" s="7">
        <v>32890</v>
      </c>
      <c r="J190" s="7">
        <v>35247</v>
      </c>
      <c r="K190" s="8" t="s">
        <v>37</v>
      </c>
      <c r="L190" s="9" t="e">
        <f t="shared" ca="1" si="0"/>
        <v>#NAME?</v>
      </c>
      <c r="M190" s="9" t="e">
        <f t="shared" ca="1" si="1"/>
        <v>#NAME?</v>
      </c>
      <c r="N190" s="10" t="e">
        <f t="shared" ca="1" si="2"/>
        <v>#NAME?</v>
      </c>
      <c r="O190" s="1" t="s">
        <v>38</v>
      </c>
      <c r="P190" s="1"/>
      <c r="Q190" s="1" t="s">
        <v>90</v>
      </c>
      <c r="R190" s="1" t="s">
        <v>99</v>
      </c>
      <c r="S190" s="1" t="s">
        <v>840</v>
      </c>
      <c r="T190" s="1" t="s">
        <v>295</v>
      </c>
      <c r="U190" s="1" t="s">
        <v>841</v>
      </c>
      <c r="V190" s="1" t="s">
        <v>49</v>
      </c>
      <c r="W190" s="1" t="s">
        <v>134</v>
      </c>
      <c r="X190" s="1">
        <v>2</v>
      </c>
      <c r="Y190" s="7">
        <v>34368</v>
      </c>
      <c r="Z190" s="7">
        <v>35146</v>
      </c>
      <c r="AA190" s="1">
        <v>420</v>
      </c>
      <c r="AB190" s="1">
        <v>0</v>
      </c>
      <c r="AC190" s="1">
        <v>0</v>
      </c>
      <c r="AD190" s="1" t="s">
        <v>842</v>
      </c>
    </row>
    <row r="191" spans="1:31" ht="13">
      <c r="A191" s="1" t="s">
        <v>843</v>
      </c>
      <c r="B191" s="1" t="s">
        <v>34</v>
      </c>
      <c r="C191" s="1" t="s">
        <v>35</v>
      </c>
      <c r="D191" s="1"/>
      <c r="E191" s="6">
        <v>20215</v>
      </c>
      <c r="F191" s="1" t="s">
        <v>124</v>
      </c>
      <c r="G191" s="1">
        <v>1990</v>
      </c>
      <c r="H191" s="1">
        <v>13</v>
      </c>
      <c r="I191" s="7">
        <v>32890</v>
      </c>
      <c r="J191" s="7">
        <v>39278</v>
      </c>
      <c r="K191" s="8" t="s">
        <v>37</v>
      </c>
      <c r="L191" s="9" t="e">
        <f t="shared" ca="1" si="0"/>
        <v>#NAME?</v>
      </c>
      <c r="M191" s="9" t="e">
        <f t="shared" ca="1" si="1"/>
        <v>#NAME?</v>
      </c>
      <c r="N191" s="10" t="e">
        <f t="shared" ca="1" si="2"/>
        <v>#NAME?</v>
      </c>
      <c r="O191" s="1" t="s">
        <v>38</v>
      </c>
      <c r="P191" s="1"/>
      <c r="Q191" s="1" t="s">
        <v>90</v>
      </c>
      <c r="R191" s="1" t="s">
        <v>99</v>
      </c>
      <c r="S191" s="1" t="s">
        <v>844</v>
      </c>
      <c r="T191" s="1" t="s">
        <v>158</v>
      </c>
      <c r="U191" s="1" t="s">
        <v>845</v>
      </c>
      <c r="X191" s="1">
        <v>4</v>
      </c>
      <c r="Y191" s="7">
        <v>34523</v>
      </c>
      <c r="Z191" s="7">
        <v>35612</v>
      </c>
      <c r="AA191" s="1">
        <v>1040</v>
      </c>
      <c r="AB191" s="1">
        <v>0</v>
      </c>
      <c r="AC191" s="1">
        <v>0</v>
      </c>
      <c r="AD191" s="1" t="s">
        <v>846</v>
      </c>
    </row>
    <row r="192" spans="1:31" ht="13">
      <c r="A192" s="1" t="s">
        <v>847</v>
      </c>
      <c r="B192" s="1" t="s">
        <v>394</v>
      </c>
      <c r="C192" s="1" t="s">
        <v>35</v>
      </c>
      <c r="D192" s="1"/>
      <c r="E192" s="6">
        <v>20736</v>
      </c>
      <c r="F192" s="1" t="s">
        <v>124</v>
      </c>
      <c r="G192" s="1">
        <v>1990</v>
      </c>
      <c r="H192" s="1">
        <v>13</v>
      </c>
      <c r="I192" s="7">
        <v>32890</v>
      </c>
      <c r="J192" s="12">
        <v>40945</v>
      </c>
      <c r="K192" s="13" t="s">
        <v>59</v>
      </c>
      <c r="L192" s="9" t="e">
        <f t="shared" ca="1" si="0"/>
        <v>#NAME?</v>
      </c>
      <c r="M192" s="9" t="e">
        <f t="shared" ca="1" si="1"/>
        <v>#NAME?</v>
      </c>
      <c r="N192" s="10" t="e">
        <f t="shared" ca="1" si="2"/>
        <v>#NAME?</v>
      </c>
      <c r="O192" s="1" t="s">
        <v>38</v>
      </c>
      <c r="P192" s="1"/>
      <c r="Q192" s="1" t="s">
        <v>39</v>
      </c>
      <c r="R192" s="1" t="s">
        <v>848</v>
      </c>
      <c r="S192" s="1" t="s">
        <v>849</v>
      </c>
      <c r="T192" s="1" t="s">
        <v>346</v>
      </c>
      <c r="U192" s="1" t="s">
        <v>850</v>
      </c>
      <c r="X192" s="1">
        <v>5</v>
      </c>
      <c r="Y192" s="7">
        <v>34141</v>
      </c>
      <c r="Z192" s="7">
        <v>36567</v>
      </c>
      <c r="AA192" s="1">
        <v>1179</v>
      </c>
      <c r="AB192" s="1">
        <v>0</v>
      </c>
      <c r="AC192" s="1">
        <v>0</v>
      </c>
      <c r="AD192" s="1" t="s">
        <v>851</v>
      </c>
      <c r="AE192" s="6">
        <v>40945</v>
      </c>
    </row>
    <row r="193" spans="1:31" ht="13">
      <c r="A193" s="1" t="s">
        <v>852</v>
      </c>
      <c r="B193" s="1" t="s">
        <v>34</v>
      </c>
      <c r="C193" s="1" t="s">
        <v>35</v>
      </c>
      <c r="D193" s="1"/>
      <c r="E193" s="6">
        <v>20338</v>
      </c>
      <c r="F193" s="1" t="s">
        <v>84</v>
      </c>
      <c r="G193" s="1">
        <v>1990</v>
      </c>
      <c r="H193" s="1">
        <v>13</v>
      </c>
      <c r="I193" s="7">
        <v>32890</v>
      </c>
      <c r="J193" s="7">
        <v>39787</v>
      </c>
      <c r="K193" s="8" t="s">
        <v>37</v>
      </c>
      <c r="L193" s="9" t="e">
        <f t="shared" ca="1" si="0"/>
        <v>#NAME?</v>
      </c>
      <c r="M193" s="9" t="e">
        <f t="shared" ca="1" si="1"/>
        <v>#NAME?</v>
      </c>
      <c r="N193" s="10" t="e">
        <f t="shared" ca="1" si="2"/>
        <v>#NAME?</v>
      </c>
      <c r="O193" s="1" t="s">
        <v>38</v>
      </c>
      <c r="P193" s="1"/>
      <c r="Q193" s="1" t="s">
        <v>90</v>
      </c>
      <c r="R193" s="1" t="s">
        <v>99</v>
      </c>
      <c r="S193" s="1" t="s">
        <v>853</v>
      </c>
      <c r="T193" s="1" t="s">
        <v>158</v>
      </c>
      <c r="U193" s="1" t="s">
        <v>854</v>
      </c>
      <c r="V193" s="1" t="s">
        <v>49</v>
      </c>
      <c r="W193" s="1" t="s">
        <v>64</v>
      </c>
      <c r="X193" s="1">
        <v>4</v>
      </c>
      <c r="Y193" s="7">
        <v>34224</v>
      </c>
      <c r="Z193" s="7">
        <v>37230</v>
      </c>
      <c r="AA193" s="1">
        <v>5533</v>
      </c>
      <c r="AB193" s="1">
        <v>3</v>
      </c>
      <c r="AC193" s="1">
        <v>19</v>
      </c>
      <c r="AD193" s="1" t="s">
        <v>855</v>
      </c>
    </row>
    <row r="194" spans="1:31" ht="13">
      <c r="A194" s="1" t="s">
        <v>856</v>
      </c>
      <c r="B194" s="1" t="s">
        <v>34</v>
      </c>
      <c r="C194" s="1" t="s">
        <v>35</v>
      </c>
      <c r="D194" s="1"/>
      <c r="E194" s="6">
        <v>18202</v>
      </c>
      <c r="F194" s="1" t="s">
        <v>36</v>
      </c>
      <c r="G194" s="1">
        <v>1990</v>
      </c>
      <c r="H194" s="1">
        <v>13</v>
      </c>
      <c r="I194" s="7">
        <v>32890</v>
      </c>
      <c r="J194" s="20">
        <v>44196</v>
      </c>
      <c r="K194" s="8" t="s">
        <v>37</v>
      </c>
      <c r="L194" s="9" t="e">
        <f t="shared" ca="1" si="0"/>
        <v>#NAME?</v>
      </c>
      <c r="M194" s="9" t="e">
        <f t="shared" ca="1" si="1"/>
        <v>#NAME?</v>
      </c>
      <c r="N194" s="10" t="e">
        <f t="shared" ca="1" si="2"/>
        <v>#NAME?</v>
      </c>
      <c r="O194" s="1" t="s">
        <v>38</v>
      </c>
      <c r="P194" s="1"/>
      <c r="Q194" s="1" t="s">
        <v>521</v>
      </c>
      <c r="R194" s="1" t="s">
        <v>857</v>
      </c>
      <c r="S194" s="1" t="s">
        <v>858</v>
      </c>
      <c r="T194" s="1" t="s">
        <v>272</v>
      </c>
      <c r="X194" s="1">
        <v>4</v>
      </c>
      <c r="Y194" s="7">
        <v>34607</v>
      </c>
      <c r="Z194" s="7">
        <v>36777</v>
      </c>
      <c r="AA194" s="1">
        <v>1008</v>
      </c>
      <c r="AB194" s="1">
        <v>0</v>
      </c>
      <c r="AC194" s="1">
        <v>0</v>
      </c>
      <c r="AD194" s="1" t="s">
        <v>859</v>
      </c>
    </row>
    <row r="195" spans="1:31" ht="13">
      <c r="A195" s="1" t="s">
        <v>860</v>
      </c>
      <c r="B195" s="1" t="s">
        <v>34</v>
      </c>
      <c r="C195" s="1" t="s">
        <v>35</v>
      </c>
      <c r="D195" s="1"/>
      <c r="E195" s="6">
        <v>21413</v>
      </c>
      <c r="F195" s="1" t="s">
        <v>84</v>
      </c>
      <c r="G195" s="1">
        <v>1990</v>
      </c>
      <c r="H195" s="1">
        <v>13</v>
      </c>
      <c r="I195" s="7">
        <v>32890</v>
      </c>
      <c r="J195" s="7">
        <v>37149</v>
      </c>
      <c r="K195" s="8" t="s">
        <v>37</v>
      </c>
      <c r="L195" s="9" t="e">
        <f t="shared" ca="1" si="0"/>
        <v>#NAME?</v>
      </c>
      <c r="M195" s="9" t="e">
        <f t="shared" ca="1" si="1"/>
        <v>#NAME?</v>
      </c>
      <c r="N195" s="10" t="e">
        <f t="shared" ca="1" si="2"/>
        <v>#NAME?</v>
      </c>
      <c r="O195" s="1" t="s">
        <v>38</v>
      </c>
      <c r="P195" s="1"/>
      <c r="Q195" s="1" t="s">
        <v>90</v>
      </c>
      <c r="R195" s="1" t="s">
        <v>861</v>
      </c>
      <c r="S195" s="1" t="s">
        <v>862</v>
      </c>
      <c r="T195" s="1" t="s">
        <v>158</v>
      </c>
      <c r="U195" s="1" t="s">
        <v>863</v>
      </c>
      <c r="X195" s="1">
        <v>4</v>
      </c>
      <c r="Y195" s="7">
        <v>34141</v>
      </c>
      <c r="Z195" s="7">
        <v>36810</v>
      </c>
      <c r="AA195" s="1">
        <v>1064</v>
      </c>
      <c r="AB195" s="1">
        <v>3</v>
      </c>
      <c r="AC195" s="1">
        <v>20</v>
      </c>
      <c r="AD195" s="1" t="s">
        <v>864</v>
      </c>
    </row>
    <row r="196" spans="1:31" ht="13">
      <c r="A196" s="1" t="s">
        <v>865</v>
      </c>
      <c r="B196" s="1" t="s">
        <v>34</v>
      </c>
      <c r="C196" s="1" t="s">
        <v>35</v>
      </c>
      <c r="D196" s="1"/>
      <c r="E196" s="6">
        <v>20690</v>
      </c>
      <c r="F196" s="1" t="s">
        <v>124</v>
      </c>
      <c r="G196" s="1">
        <v>1990</v>
      </c>
      <c r="H196" s="1">
        <v>13</v>
      </c>
      <c r="I196" s="7">
        <v>32890</v>
      </c>
      <c r="J196" s="7">
        <v>41258</v>
      </c>
      <c r="K196" s="8" t="s">
        <v>37</v>
      </c>
      <c r="L196" s="9" t="e">
        <f t="shared" ca="1" si="0"/>
        <v>#NAME?</v>
      </c>
      <c r="M196" s="9" t="e">
        <f t="shared" ca="1" si="1"/>
        <v>#NAME?</v>
      </c>
      <c r="N196" s="10" t="e">
        <f t="shared" ca="1" si="2"/>
        <v>#NAME?</v>
      </c>
      <c r="O196" s="1" t="s">
        <v>38</v>
      </c>
      <c r="P196" s="1"/>
      <c r="Q196" s="1" t="s">
        <v>90</v>
      </c>
      <c r="R196" s="1" t="s">
        <v>299</v>
      </c>
      <c r="S196" s="1" t="s">
        <v>866</v>
      </c>
      <c r="T196" s="1" t="s">
        <v>139</v>
      </c>
      <c r="U196" s="1" t="s">
        <v>201</v>
      </c>
      <c r="X196" s="1">
        <v>3</v>
      </c>
      <c r="Y196" s="7">
        <v>34258</v>
      </c>
      <c r="Z196" s="7">
        <v>40009</v>
      </c>
      <c r="AA196" s="1">
        <v>4044</v>
      </c>
      <c r="AB196" s="1">
        <v>7</v>
      </c>
      <c r="AC196" s="1">
        <v>41</v>
      </c>
      <c r="AD196" s="1" t="s">
        <v>867</v>
      </c>
    </row>
    <row r="197" spans="1:31" ht="13">
      <c r="A197" s="1" t="s">
        <v>868</v>
      </c>
      <c r="B197" s="1" t="s">
        <v>34</v>
      </c>
      <c r="C197" s="1" t="s">
        <v>35</v>
      </c>
      <c r="D197" s="1"/>
      <c r="E197" s="6">
        <v>19723</v>
      </c>
      <c r="F197" s="1" t="s">
        <v>124</v>
      </c>
      <c r="G197" s="1">
        <v>1992</v>
      </c>
      <c r="H197" s="1">
        <v>14</v>
      </c>
      <c r="I197" s="7">
        <v>33694</v>
      </c>
      <c r="J197" s="7">
        <v>38457</v>
      </c>
      <c r="K197" s="8" t="s">
        <v>37</v>
      </c>
      <c r="L197" s="9" t="e">
        <f t="shared" ca="1" si="0"/>
        <v>#NAME?</v>
      </c>
      <c r="M197" s="9" t="e">
        <f t="shared" ca="1" si="1"/>
        <v>#NAME?</v>
      </c>
      <c r="N197" s="10" t="e">
        <f t="shared" ca="1" si="2"/>
        <v>#NAME?</v>
      </c>
      <c r="O197" s="1" t="s">
        <v>38</v>
      </c>
      <c r="P197" s="1"/>
      <c r="Q197" s="1" t="s">
        <v>90</v>
      </c>
      <c r="R197" s="1" t="s">
        <v>869</v>
      </c>
      <c r="S197" s="1" t="s">
        <v>870</v>
      </c>
      <c r="T197" s="1" t="s">
        <v>139</v>
      </c>
      <c r="U197" s="1" t="s">
        <v>871</v>
      </c>
      <c r="X197" s="1">
        <v>3</v>
      </c>
      <c r="Y197" s="7">
        <v>35075</v>
      </c>
      <c r="Z197" s="7">
        <v>37113</v>
      </c>
      <c r="AA197" s="1">
        <v>733</v>
      </c>
      <c r="AB197" s="1">
        <v>4</v>
      </c>
      <c r="AC197" s="1">
        <v>26</v>
      </c>
      <c r="AD197" s="1" t="s">
        <v>872</v>
      </c>
    </row>
    <row r="198" spans="1:31" ht="13">
      <c r="A198" s="1" t="s">
        <v>873</v>
      </c>
      <c r="B198" s="1" t="s">
        <v>34</v>
      </c>
      <c r="C198" s="1" t="s">
        <v>35</v>
      </c>
      <c r="D198" s="1"/>
      <c r="E198" s="6">
        <v>18852</v>
      </c>
      <c r="F198" s="1" t="s">
        <v>124</v>
      </c>
      <c r="G198" s="1">
        <v>1992</v>
      </c>
      <c r="H198" s="1">
        <v>14</v>
      </c>
      <c r="I198" s="7">
        <v>33694</v>
      </c>
      <c r="J198" s="7">
        <v>37483</v>
      </c>
      <c r="K198" s="8" t="s">
        <v>37</v>
      </c>
      <c r="L198" s="9" t="e">
        <f t="shared" ca="1" si="0"/>
        <v>#NAME?</v>
      </c>
      <c r="M198" s="9" t="e">
        <f t="shared" ca="1" si="1"/>
        <v>#NAME?</v>
      </c>
      <c r="N198" s="10" t="e">
        <f t="shared" ca="1" si="2"/>
        <v>#NAME?</v>
      </c>
      <c r="O198" s="1" t="s">
        <v>38</v>
      </c>
      <c r="P198" s="1"/>
      <c r="Q198" s="1" t="s">
        <v>39</v>
      </c>
      <c r="R198" s="1" t="s">
        <v>874</v>
      </c>
      <c r="S198" s="1" t="s">
        <v>875</v>
      </c>
      <c r="U198" s="1" t="s">
        <v>201</v>
      </c>
      <c r="V198" s="1" t="s">
        <v>71</v>
      </c>
      <c r="W198" s="1" t="s">
        <v>150</v>
      </c>
      <c r="X198" s="1">
        <v>1</v>
      </c>
      <c r="Y198" s="7">
        <v>35236</v>
      </c>
      <c r="Z198" s="7">
        <v>35236</v>
      </c>
      <c r="AA198" s="1">
        <v>405</v>
      </c>
      <c r="AB198" s="1">
        <v>0</v>
      </c>
      <c r="AC198" s="1">
        <v>0</v>
      </c>
      <c r="AD198" s="1" t="s">
        <v>876</v>
      </c>
      <c r="AE198" s="6">
        <v>38921</v>
      </c>
    </row>
    <row r="199" spans="1:31" ht="13">
      <c r="A199" s="1" t="s">
        <v>877</v>
      </c>
      <c r="B199" s="1" t="s">
        <v>394</v>
      </c>
      <c r="C199" s="1" t="s">
        <v>35</v>
      </c>
      <c r="D199" s="1"/>
      <c r="E199" s="6">
        <v>22264</v>
      </c>
      <c r="F199" s="1" t="s">
        <v>124</v>
      </c>
      <c r="G199" s="1">
        <v>1992</v>
      </c>
      <c r="H199" s="1">
        <v>14</v>
      </c>
      <c r="I199" s="7">
        <v>33694</v>
      </c>
      <c r="J199" s="20">
        <v>42705</v>
      </c>
      <c r="K199" s="8" t="s">
        <v>37</v>
      </c>
      <c r="L199" s="9" t="e">
        <f t="shared" ca="1" si="0"/>
        <v>#NAME?</v>
      </c>
      <c r="M199" s="9" t="e">
        <f t="shared" ca="1" si="1"/>
        <v>#NAME?</v>
      </c>
      <c r="N199" s="10" t="e">
        <f t="shared" ca="1" si="2"/>
        <v>#NAME?</v>
      </c>
      <c r="O199" s="1" t="s">
        <v>38</v>
      </c>
      <c r="P199" s="1"/>
      <c r="Q199" s="8" t="s">
        <v>90</v>
      </c>
      <c r="R199" s="1" t="s">
        <v>619</v>
      </c>
      <c r="S199" s="1" t="s">
        <v>878</v>
      </c>
      <c r="T199" s="1" t="s">
        <v>170</v>
      </c>
      <c r="U199" s="1" t="s">
        <v>879</v>
      </c>
      <c r="V199" s="1" t="s">
        <v>49</v>
      </c>
      <c r="W199" s="1" t="s">
        <v>50</v>
      </c>
      <c r="X199" s="1">
        <v>3</v>
      </c>
      <c r="Y199" s="7">
        <v>34992</v>
      </c>
      <c r="Z199" s="7">
        <v>40618</v>
      </c>
      <c r="AA199" s="1">
        <v>4324</v>
      </c>
      <c r="AB199" s="1">
        <v>0</v>
      </c>
      <c r="AC199" s="1">
        <v>0</v>
      </c>
      <c r="AD199" s="1" t="s">
        <v>880</v>
      </c>
    </row>
    <row r="200" spans="1:31" ht="13">
      <c r="A200" s="1" t="s">
        <v>881</v>
      </c>
      <c r="B200" s="1" t="s">
        <v>34</v>
      </c>
      <c r="C200" s="1" t="s">
        <v>35</v>
      </c>
      <c r="D200" s="1"/>
      <c r="E200" s="6">
        <v>20579</v>
      </c>
      <c r="F200" s="1" t="s">
        <v>124</v>
      </c>
      <c r="G200" s="1">
        <v>1992</v>
      </c>
      <c r="H200" s="1">
        <v>14</v>
      </c>
      <c r="I200" s="7">
        <v>33694</v>
      </c>
      <c r="J200" s="7">
        <f ca="1">TODAY()</f>
        <v>44606</v>
      </c>
      <c r="K200" s="8" t="s">
        <v>667</v>
      </c>
      <c r="L200" s="9" t="e">
        <f t="shared" ca="1" si="0"/>
        <v>#NAME?</v>
      </c>
      <c r="M200" s="9" t="e">
        <f t="shared" ca="1" si="1"/>
        <v>#NAME?</v>
      </c>
      <c r="N200" s="10" t="e">
        <f t="shared" ca="1" si="2"/>
        <v>#NAME?</v>
      </c>
      <c r="O200" s="1" t="s">
        <v>38</v>
      </c>
      <c r="P200" s="1"/>
      <c r="Q200" s="1" t="s">
        <v>521</v>
      </c>
      <c r="R200" s="1" t="s">
        <v>882</v>
      </c>
      <c r="S200" s="1" t="s">
        <v>883</v>
      </c>
      <c r="T200" s="1" t="s">
        <v>158</v>
      </c>
      <c r="U200" s="1" t="s">
        <v>884</v>
      </c>
      <c r="X200" s="1">
        <v>4</v>
      </c>
      <c r="Y200" s="7">
        <v>34949</v>
      </c>
      <c r="Z200" s="7">
        <v>37084</v>
      </c>
      <c r="AA200" s="1">
        <v>1039</v>
      </c>
      <c r="AB200" s="1">
        <v>4</v>
      </c>
      <c r="AC200" s="1">
        <v>23</v>
      </c>
      <c r="AD200" s="1" t="s">
        <v>885</v>
      </c>
    </row>
    <row r="201" spans="1:31" ht="13">
      <c r="A201" s="1" t="s">
        <v>886</v>
      </c>
      <c r="B201" s="1" t="s">
        <v>34</v>
      </c>
      <c r="C201" s="1" t="s">
        <v>35</v>
      </c>
      <c r="D201" s="1"/>
      <c r="E201" s="6">
        <v>21468</v>
      </c>
      <c r="F201" s="1" t="s">
        <v>124</v>
      </c>
      <c r="G201" s="1">
        <v>1992</v>
      </c>
      <c r="H201" s="1">
        <v>14</v>
      </c>
      <c r="I201" s="7">
        <v>33694</v>
      </c>
      <c r="J201" s="7">
        <v>42475</v>
      </c>
      <c r="K201" s="8" t="s">
        <v>37</v>
      </c>
      <c r="L201" s="9" t="e">
        <f t="shared" ca="1" si="0"/>
        <v>#NAME?</v>
      </c>
      <c r="M201" s="9" t="e">
        <f t="shared" ca="1" si="1"/>
        <v>#NAME?</v>
      </c>
      <c r="N201" s="10" t="e">
        <f t="shared" ca="1" si="2"/>
        <v>#NAME?</v>
      </c>
      <c r="O201" s="1" t="s">
        <v>38</v>
      </c>
      <c r="P201" s="1"/>
      <c r="Q201" s="1" t="s">
        <v>521</v>
      </c>
      <c r="R201" s="1" t="s">
        <v>102</v>
      </c>
      <c r="S201" s="1" t="s">
        <v>887</v>
      </c>
      <c r="T201" s="1" t="s">
        <v>158</v>
      </c>
      <c r="U201" s="1" t="s">
        <v>158</v>
      </c>
      <c r="X201" s="1">
        <v>5</v>
      </c>
      <c r="Y201" s="7">
        <v>34760</v>
      </c>
      <c r="Z201" s="7">
        <v>39944</v>
      </c>
      <c r="AA201" s="1">
        <v>1407</v>
      </c>
      <c r="AB201" s="1">
        <v>8</v>
      </c>
      <c r="AC201" s="1">
        <v>58</v>
      </c>
      <c r="AD201" s="1" t="s">
        <v>888</v>
      </c>
    </row>
    <row r="202" spans="1:31" ht="13">
      <c r="A202" s="1" t="s">
        <v>889</v>
      </c>
      <c r="B202" s="1" t="s">
        <v>34</v>
      </c>
      <c r="C202" s="1" t="s">
        <v>35</v>
      </c>
      <c r="D202" s="1"/>
      <c r="E202" s="6">
        <v>20903</v>
      </c>
      <c r="F202" s="1" t="s">
        <v>124</v>
      </c>
      <c r="G202" s="1">
        <v>1992</v>
      </c>
      <c r="H202" s="1">
        <v>14</v>
      </c>
      <c r="I202" s="7">
        <v>33694</v>
      </c>
      <c r="J202" s="7">
        <v>39356</v>
      </c>
      <c r="K202" s="8" t="s">
        <v>37</v>
      </c>
      <c r="L202" s="9" t="e">
        <f t="shared" ca="1" si="0"/>
        <v>#NAME?</v>
      </c>
      <c r="M202" s="9" t="e">
        <f t="shared" ca="1" si="1"/>
        <v>#NAME?</v>
      </c>
      <c r="N202" s="10" t="e">
        <f t="shared" ca="1" si="2"/>
        <v>#NAME?</v>
      </c>
      <c r="O202" s="1" t="s">
        <v>38</v>
      </c>
      <c r="P202" s="1"/>
      <c r="Q202" s="1" t="s">
        <v>90</v>
      </c>
      <c r="R202" s="1" t="s">
        <v>95</v>
      </c>
      <c r="S202" s="1" t="s">
        <v>890</v>
      </c>
      <c r="T202" s="1" t="s">
        <v>55</v>
      </c>
      <c r="U202" s="1" t="s">
        <v>87</v>
      </c>
      <c r="V202" s="1" t="s">
        <v>49</v>
      </c>
      <c r="W202" s="1" t="s">
        <v>50</v>
      </c>
      <c r="X202" s="1">
        <v>4</v>
      </c>
      <c r="Y202" s="7">
        <v>35117</v>
      </c>
      <c r="Z202" s="7">
        <v>37113</v>
      </c>
      <c r="AA202" s="1">
        <v>1137</v>
      </c>
      <c r="AB202" s="1">
        <v>0</v>
      </c>
      <c r="AC202" s="1">
        <v>0</v>
      </c>
      <c r="AD202" s="1" t="s">
        <v>891</v>
      </c>
    </row>
    <row r="203" spans="1:31" ht="13">
      <c r="A203" s="1" t="s">
        <v>892</v>
      </c>
      <c r="B203" s="1" t="s">
        <v>34</v>
      </c>
      <c r="C203" s="1" t="s">
        <v>35</v>
      </c>
      <c r="D203" s="1"/>
      <c r="E203" s="6">
        <v>21463</v>
      </c>
      <c r="F203" s="1" t="s">
        <v>84</v>
      </c>
      <c r="G203" s="1">
        <v>1992</v>
      </c>
      <c r="H203" s="1">
        <v>14</v>
      </c>
      <c r="I203" s="7">
        <v>33694</v>
      </c>
      <c r="J203" s="7">
        <v>41289</v>
      </c>
      <c r="K203" s="8" t="s">
        <v>37</v>
      </c>
      <c r="L203" s="9" t="e">
        <f t="shared" ca="1" si="0"/>
        <v>#NAME?</v>
      </c>
      <c r="M203" s="9" t="e">
        <f t="shared" ca="1" si="1"/>
        <v>#NAME?</v>
      </c>
      <c r="N203" s="10" t="e">
        <f t="shared" ca="1" si="2"/>
        <v>#NAME?</v>
      </c>
      <c r="O203" s="1" t="s">
        <v>38</v>
      </c>
      <c r="P203" s="1"/>
      <c r="Q203" s="1" t="s">
        <v>90</v>
      </c>
      <c r="R203" s="1" t="s">
        <v>893</v>
      </c>
      <c r="S203" s="1" t="s">
        <v>565</v>
      </c>
      <c r="T203" s="1" t="s">
        <v>87</v>
      </c>
      <c r="U203" s="1" t="s">
        <v>42</v>
      </c>
      <c r="V203" s="1" t="s">
        <v>71</v>
      </c>
      <c r="W203" s="1" t="s">
        <v>44</v>
      </c>
      <c r="X203" s="1">
        <v>4</v>
      </c>
      <c r="Y203" s="7">
        <v>35075</v>
      </c>
      <c r="Z203" s="7">
        <v>38966</v>
      </c>
      <c r="AA203" s="1">
        <v>1002</v>
      </c>
      <c r="AB203" s="1">
        <v>0</v>
      </c>
      <c r="AC203" s="1">
        <v>0</v>
      </c>
      <c r="AD203" s="1" t="s">
        <v>894</v>
      </c>
    </row>
    <row r="204" spans="1:31" ht="13">
      <c r="A204" s="1" t="s">
        <v>895</v>
      </c>
      <c r="B204" s="1" t="s">
        <v>34</v>
      </c>
      <c r="C204" s="1" t="s">
        <v>35</v>
      </c>
      <c r="D204" s="1"/>
      <c r="E204" s="6">
        <v>20714</v>
      </c>
      <c r="F204" s="1" t="s">
        <v>84</v>
      </c>
      <c r="G204" s="1">
        <v>1992</v>
      </c>
      <c r="H204" s="1">
        <v>14</v>
      </c>
      <c r="I204" s="7">
        <v>33694</v>
      </c>
      <c r="J204" s="7">
        <v>37970</v>
      </c>
      <c r="K204" s="8" t="s">
        <v>37</v>
      </c>
      <c r="L204" s="9" t="e">
        <f t="shared" ca="1" si="0"/>
        <v>#NAME?</v>
      </c>
      <c r="M204" s="9" t="e">
        <f t="shared" ca="1" si="1"/>
        <v>#NAME?</v>
      </c>
      <c r="N204" s="10" t="e">
        <f t="shared" ca="1" si="2"/>
        <v>#NAME?</v>
      </c>
      <c r="O204" s="1" t="s">
        <v>38</v>
      </c>
      <c r="P204" s="1"/>
      <c r="Q204" s="1" t="s">
        <v>90</v>
      </c>
      <c r="R204" s="1" t="s">
        <v>326</v>
      </c>
      <c r="S204" s="1" t="s">
        <v>896</v>
      </c>
      <c r="T204" s="1" t="s">
        <v>104</v>
      </c>
      <c r="U204" s="1" t="s">
        <v>683</v>
      </c>
      <c r="X204" s="1">
        <v>4</v>
      </c>
      <c r="Y204" s="7">
        <v>34893</v>
      </c>
      <c r="Z204" s="7">
        <v>36567</v>
      </c>
      <c r="AA204" s="1">
        <v>1265</v>
      </c>
      <c r="AB204" s="1">
        <v>0</v>
      </c>
      <c r="AC204" s="1">
        <v>0</v>
      </c>
      <c r="AD204" s="1" t="s">
        <v>897</v>
      </c>
    </row>
    <row r="205" spans="1:31" ht="13">
      <c r="A205" s="1" t="s">
        <v>898</v>
      </c>
      <c r="B205" s="1" t="s">
        <v>394</v>
      </c>
      <c r="C205" s="1" t="s">
        <v>35</v>
      </c>
      <c r="D205" s="1"/>
      <c r="E205" s="6">
        <v>21733</v>
      </c>
      <c r="F205" s="1" t="s">
        <v>84</v>
      </c>
      <c r="G205" s="1">
        <v>1992</v>
      </c>
      <c r="H205" s="1">
        <v>14</v>
      </c>
      <c r="I205" s="7">
        <v>33694</v>
      </c>
      <c r="J205" s="7">
        <v>38883</v>
      </c>
      <c r="K205" s="8" t="s">
        <v>37</v>
      </c>
      <c r="L205" s="9" t="e">
        <f t="shared" ca="1" si="0"/>
        <v>#NAME?</v>
      </c>
      <c r="M205" s="9" t="e">
        <f t="shared" ca="1" si="1"/>
        <v>#NAME?</v>
      </c>
      <c r="N205" s="10" t="e">
        <f t="shared" ca="1" si="2"/>
        <v>#NAME?</v>
      </c>
      <c r="O205" s="1" t="s">
        <v>38</v>
      </c>
      <c r="P205" s="1"/>
      <c r="Q205" s="1" t="s">
        <v>90</v>
      </c>
      <c r="R205" s="1" t="s">
        <v>899</v>
      </c>
      <c r="S205" s="1" t="s">
        <v>227</v>
      </c>
      <c r="T205" s="1" t="s">
        <v>900</v>
      </c>
      <c r="U205" s="1" t="s">
        <v>900</v>
      </c>
      <c r="V205" s="1" t="s">
        <v>71</v>
      </c>
      <c r="W205" s="1" t="s">
        <v>44</v>
      </c>
      <c r="X205" s="1">
        <v>4</v>
      </c>
      <c r="Y205" s="7">
        <v>34760</v>
      </c>
      <c r="Z205" s="7">
        <v>38559</v>
      </c>
      <c r="AA205" s="1">
        <v>1223</v>
      </c>
      <c r="AB205" s="1">
        <v>0</v>
      </c>
      <c r="AC205" s="1">
        <v>0</v>
      </c>
      <c r="AD205" s="1" t="s">
        <v>901</v>
      </c>
    </row>
    <row r="206" spans="1:31" ht="13">
      <c r="A206" s="1" t="s">
        <v>902</v>
      </c>
      <c r="B206" s="1" t="s">
        <v>34</v>
      </c>
      <c r="C206" s="1" t="s">
        <v>35</v>
      </c>
      <c r="D206" s="1"/>
      <c r="E206" s="6">
        <v>20105</v>
      </c>
      <c r="F206" s="1" t="s">
        <v>124</v>
      </c>
      <c r="G206" s="1">
        <v>1992</v>
      </c>
      <c r="H206" s="1">
        <v>14</v>
      </c>
      <c r="I206" s="7">
        <v>33694</v>
      </c>
      <c r="J206" s="7">
        <v>35810</v>
      </c>
      <c r="K206" s="8" t="s">
        <v>37</v>
      </c>
      <c r="L206" s="9" t="e">
        <f t="shared" ca="1" si="0"/>
        <v>#NAME?</v>
      </c>
      <c r="M206" s="9" t="e">
        <f t="shared" ca="1" si="1"/>
        <v>#NAME?</v>
      </c>
      <c r="N206" s="10" t="e">
        <f t="shared" ca="1" si="2"/>
        <v>#NAME?</v>
      </c>
      <c r="O206" s="1" t="s">
        <v>38</v>
      </c>
      <c r="P206" s="1"/>
      <c r="Q206" s="1" t="s">
        <v>90</v>
      </c>
      <c r="R206" s="1" t="s">
        <v>836</v>
      </c>
      <c r="S206" s="1" t="s">
        <v>903</v>
      </c>
      <c r="T206" s="1" t="s">
        <v>904</v>
      </c>
      <c r="U206" s="1" t="s">
        <v>905</v>
      </c>
      <c r="V206" s="1" t="s">
        <v>71</v>
      </c>
      <c r="W206" s="1" t="s">
        <v>44</v>
      </c>
      <c r="X206" s="1">
        <v>2</v>
      </c>
      <c r="Y206" s="7">
        <v>34586</v>
      </c>
      <c r="Z206" s="7">
        <v>35442</v>
      </c>
      <c r="AA206" s="1">
        <v>3435</v>
      </c>
      <c r="AB206" s="1">
        <v>1</v>
      </c>
      <c r="AC206" s="1">
        <v>5</v>
      </c>
      <c r="AD206" s="1" t="s">
        <v>906</v>
      </c>
    </row>
    <row r="207" spans="1:31" ht="13">
      <c r="A207" s="1" t="s">
        <v>907</v>
      </c>
      <c r="B207" s="1" t="s">
        <v>34</v>
      </c>
      <c r="C207" s="1" t="s">
        <v>35</v>
      </c>
      <c r="D207" s="1"/>
      <c r="E207" s="6">
        <v>21082</v>
      </c>
      <c r="F207" s="1" t="s">
        <v>84</v>
      </c>
      <c r="G207" s="1">
        <v>1992</v>
      </c>
      <c r="H207" s="1">
        <v>14</v>
      </c>
      <c r="I207" s="7">
        <v>33694</v>
      </c>
      <c r="J207" s="7">
        <f ca="1">TODAY()</f>
        <v>44606</v>
      </c>
      <c r="K207" s="8" t="s">
        <v>667</v>
      </c>
      <c r="L207" s="9" t="e">
        <f t="shared" ca="1" si="0"/>
        <v>#NAME?</v>
      </c>
      <c r="M207" s="9" t="e">
        <f t="shared" ca="1" si="1"/>
        <v>#NAME?</v>
      </c>
      <c r="N207" s="10" t="e">
        <f t="shared" ca="1" si="2"/>
        <v>#NAME?</v>
      </c>
      <c r="O207" s="1" t="s">
        <v>38</v>
      </c>
      <c r="P207" s="1"/>
      <c r="Q207" s="1" t="s">
        <v>521</v>
      </c>
      <c r="R207" s="1" t="s">
        <v>908</v>
      </c>
      <c r="S207" s="1" t="s">
        <v>909</v>
      </c>
      <c r="T207" s="1" t="s">
        <v>910</v>
      </c>
      <c r="U207" s="1" t="s">
        <v>911</v>
      </c>
      <c r="X207" s="1">
        <v>4</v>
      </c>
      <c r="Y207" s="7">
        <v>35236</v>
      </c>
      <c r="Z207" s="7">
        <v>39518</v>
      </c>
      <c r="AA207" s="1">
        <v>1427</v>
      </c>
      <c r="AB207" s="1">
        <v>6</v>
      </c>
      <c r="AC207" s="1">
        <v>43</v>
      </c>
      <c r="AD207" s="1" t="s">
        <v>912</v>
      </c>
    </row>
    <row r="208" spans="1:31" ht="13">
      <c r="A208" s="1" t="s">
        <v>913</v>
      </c>
      <c r="B208" s="1" t="s">
        <v>34</v>
      </c>
      <c r="C208" s="1" t="s">
        <v>530</v>
      </c>
      <c r="D208" s="1" t="s">
        <v>914</v>
      </c>
      <c r="E208" s="6">
        <v>21335</v>
      </c>
      <c r="F208" s="1" t="s">
        <v>84</v>
      </c>
      <c r="G208" s="1">
        <v>1992</v>
      </c>
      <c r="H208" s="1">
        <v>14</v>
      </c>
      <c r="I208" s="7">
        <v>33694</v>
      </c>
      <c r="J208" s="7">
        <v>40980</v>
      </c>
      <c r="K208" s="8" t="s">
        <v>37</v>
      </c>
      <c r="L208" s="9" t="e">
        <f t="shared" ca="1" si="0"/>
        <v>#NAME?</v>
      </c>
      <c r="M208" s="9" t="e">
        <f t="shared" ca="1" si="1"/>
        <v>#NAME?</v>
      </c>
      <c r="N208" s="10" t="e">
        <f t="shared" ca="1" si="2"/>
        <v>#NAME?</v>
      </c>
      <c r="O208" s="1" t="s">
        <v>38</v>
      </c>
      <c r="P208" s="1" t="s">
        <v>915</v>
      </c>
      <c r="Q208" s="1" t="s">
        <v>90</v>
      </c>
      <c r="R208" s="1" t="s">
        <v>916</v>
      </c>
      <c r="S208" s="1" t="s">
        <v>565</v>
      </c>
      <c r="T208" s="1" t="s">
        <v>917</v>
      </c>
      <c r="U208" s="1" t="s">
        <v>42</v>
      </c>
      <c r="V208" s="1" t="s">
        <v>71</v>
      </c>
      <c r="W208" s="1" t="s">
        <v>44</v>
      </c>
      <c r="X208" s="1">
        <v>3</v>
      </c>
      <c r="Y208" s="7">
        <v>34992</v>
      </c>
      <c r="Z208" s="7">
        <v>38978</v>
      </c>
      <c r="AA208" s="1">
        <v>6190</v>
      </c>
      <c r="AB208" s="1">
        <v>10</v>
      </c>
      <c r="AC208" s="1">
        <v>67</v>
      </c>
      <c r="AD208" s="1" t="s">
        <v>918</v>
      </c>
    </row>
    <row r="209" spans="1:32" ht="13">
      <c r="A209" s="1" t="s">
        <v>919</v>
      </c>
      <c r="B209" s="1" t="s">
        <v>34</v>
      </c>
      <c r="C209" s="1" t="s">
        <v>35</v>
      </c>
      <c r="D209" s="1"/>
      <c r="E209" s="6">
        <v>22490</v>
      </c>
      <c r="F209" s="1" t="s">
        <v>124</v>
      </c>
      <c r="G209" s="1">
        <v>1992</v>
      </c>
      <c r="H209" s="1">
        <v>14</v>
      </c>
      <c r="I209" s="7">
        <v>33694</v>
      </c>
      <c r="J209" s="7">
        <v>39887</v>
      </c>
      <c r="K209" s="8" t="s">
        <v>37</v>
      </c>
      <c r="L209" s="9" t="e">
        <f t="shared" ca="1" si="0"/>
        <v>#NAME?</v>
      </c>
      <c r="M209" s="9" t="e">
        <f t="shared" ca="1" si="1"/>
        <v>#NAME?</v>
      </c>
      <c r="N209" s="10" t="e">
        <f t="shared" ca="1" si="2"/>
        <v>#NAME?</v>
      </c>
      <c r="O209" s="1" t="s">
        <v>38</v>
      </c>
      <c r="P209" s="1"/>
      <c r="Q209" s="1" t="s">
        <v>90</v>
      </c>
      <c r="R209" s="1" t="s">
        <v>920</v>
      </c>
      <c r="S209" s="1" t="s">
        <v>469</v>
      </c>
      <c r="T209" s="1" t="s">
        <v>810</v>
      </c>
      <c r="U209" s="1" t="s">
        <v>201</v>
      </c>
      <c r="X209" s="1">
        <v>5</v>
      </c>
      <c r="Y209" s="7">
        <v>34641</v>
      </c>
      <c r="Z209" s="7">
        <v>39378</v>
      </c>
      <c r="AA209" s="1">
        <v>1404</v>
      </c>
      <c r="AB209" s="1">
        <v>7</v>
      </c>
      <c r="AC209" s="1">
        <v>47</v>
      </c>
      <c r="AD209" s="1" t="s">
        <v>921</v>
      </c>
    </row>
    <row r="210" spans="1:32" ht="13">
      <c r="A210" s="1" t="s">
        <v>922</v>
      </c>
      <c r="B210" s="1" t="s">
        <v>34</v>
      </c>
      <c r="C210" s="1" t="s">
        <v>35</v>
      </c>
      <c r="D210" s="1"/>
      <c r="E210" s="6">
        <v>20674</v>
      </c>
      <c r="F210" s="1" t="s">
        <v>84</v>
      </c>
      <c r="G210" s="1">
        <v>1992</v>
      </c>
      <c r="H210" s="1">
        <v>14</v>
      </c>
      <c r="I210" s="7">
        <v>33694</v>
      </c>
      <c r="J210" s="7">
        <v>38975</v>
      </c>
      <c r="K210" s="8" t="s">
        <v>37</v>
      </c>
      <c r="L210" s="9" t="e">
        <f t="shared" ca="1" si="0"/>
        <v>#NAME?</v>
      </c>
      <c r="M210" s="9" t="e">
        <f t="shared" ca="1" si="1"/>
        <v>#NAME?</v>
      </c>
      <c r="N210" s="10" t="e">
        <f t="shared" ca="1" si="2"/>
        <v>#NAME?</v>
      </c>
      <c r="O210" s="1" t="s">
        <v>38</v>
      </c>
      <c r="P210" s="1"/>
      <c r="Q210" s="1" t="s">
        <v>90</v>
      </c>
      <c r="R210" s="1" t="s">
        <v>923</v>
      </c>
      <c r="S210" s="1" t="s">
        <v>924</v>
      </c>
      <c r="T210" s="1" t="s">
        <v>506</v>
      </c>
      <c r="U210" s="1" t="s">
        <v>42</v>
      </c>
      <c r="V210" s="1" t="s">
        <v>71</v>
      </c>
      <c r="W210" s="1" t="s">
        <v>44</v>
      </c>
      <c r="X210" s="1">
        <v>5</v>
      </c>
      <c r="Y210" s="7">
        <v>34992</v>
      </c>
      <c r="Z210" s="7">
        <v>37000</v>
      </c>
      <c r="AA210" s="1">
        <v>1611</v>
      </c>
      <c r="AB210" s="1">
        <v>0</v>
      </c>
      <c r="AC210" s="1">
        <v>0</v>
      </c>
      <c r="AD210" s="1" t="s">
        <v>925</v>
      </c>
    </row>
    <row r="211" spans="1:32" ht="13">
      <c r="A211" s="1" t="s">
        <v>926</v>
      </c>
      <c r="B211" s="1" t="s">
        <v>34</v>
      </c>
      <c r="C211" s="1" t="s">
        <v>361</v>
      </c>
      <c r="D211" s="1"/>
      <c r="E211" s="6">
        <v>18481</v>
      </c>
      <c r="F211" s="1" t="s">
        <v>84</v>
      </c>
      <c r="G211" s="1">
        <v>1992</v>
      </c>
      <c r="H211" s="1">
        <v>14</v>
      </c>
      <c r="I211" s="7">
        <v>33694</v>
      </c>
      <c r="J211" s="7">
        <v>36372</v>
      </c>
      <c r="K211" s="8" t="s">
        <v>37</v>
      </c>
      <c r="L211" s="9" t="e">
        <f t="shared" ca="1" si="0"/>
        <v>#NAME?</v>
      </c>
      <c r="M211" s="9" t="e">
        <f t="shared" ca="1" si="1"/>
        <v>#NAME?</v>
      </c>
      <c r="N211" s="10" t="e">
        <f t="shared" ca="1" si="2"/>
        <v>#NAME?</v>
      </c>
      <c r="O211" s="1" t="s">
        <v>38</v>
      </c>
      <c r="P211" s="1"/>
      <c r="Q211" s="1" t="s">
        <v>90</v>
      </c>
      <c r="R211" s="1" t="s">
        <v>311</v>
      </c>
      <c r="S211" s="1" t="s">
        <v>927</v>
      </c>
      <c r="T211" s="1" t="s">
        <v>928</v>
      </c>
      <c r="U211" s="1" t="s">
        <v>42</v>
      </c>
      <c r="V211" s="1" t="s">
        <v>71</v>
      </c>
      <c r="W211" s="1" t="s">
        <v>44</v>
      </c>
      <c r="X211" s="1">
        <v>2</v>
      </c>
      <c r="Y211" s="7">
        <v>35075</v>
      </c>
      <c r="Z211" s="7">
        <v>35753</v>
      </c>
      <c r="AA211" s="1">
        <v>590</v>
      </c>
      <c r="AB211" s="1">
        <v>3</v>
      </c>
      <c r="AC211" s="1">
        <v>19</v>
      </c>
      <c r="AD211" s="1" t="s">
        <v>929</v>
      </c>
    </row>
    <row r="212" spans="1:32" ht="13">
      <c r="A212" s="1" t="s">
        <v>930</v>
      </c>
      <c r="B212" s="1" t="s">
        <v>34</v>
      </c>
      <c r="C212" s="1" t="s">
        <v>35</v>
      </c>
      <c r="D212" s="1"/>
      <c r="E212" s="6">
        <v>21549</v>
      </c>
      <c r="F212" s="1" t="s">
        <v>84</v>
      </c>
      <c r="G212" s="1">
        <v>1992</v>
      </c>
      <c r="H212" s="1">
        <v>14</v>
      </c>
      <c r="I212" s="7">
        <v>33694</v>
      </c>
      <c r="J212" s="20">
        <v>43041</v>
      </c>
      <c r="K212" s="8" t="s">
        <v>37</v>
      </c>
      <c r="L212" s="9" t="e">
        <f t="shared" ca="1" si="0"/>
        <v>#NAME?</v>
      </c>
      <c r="M212" s="9" t="e">
        <f t="shared" ca="1" si="1"/>
        <v>#NAME?</v>
      </c>
      <c r="N212" s="10" t="e">
        <f t="shared" ca="1" si="2"/>
        <v>#NAME?</v>
      </c>
      <c r="O212" s="1" t="s">
        <v>38</v>
      </c>
      <c r="P212" s="1"/>
      <c r="Q212" s="1" t="s">
        <v>521</v>
      </c>
      <c r="R212" s="1" t="s">
        <v>931</v>
      </c>
      <c r="S212" s="1" t="s">
        <v>469</v>
      </c>
      <c r="T212" s="1" t="s">
        <v>139</v>
      </c>
      <c r="U212" s="1" t="s">
        <v>139</v>
      </c>
      <c r="X212" s="1">
        <v>4</v>
      </c>
      <c r="Y212" s="7">
        <v>34607</v>
      </c>
      <c r="Z212" s="7">
        <v>37354</v>
      </c>
      <c r="AA212" s="1">
        <v>960</v>
      </c>
      <c r="AB212" s="1">
        <v>7</v>
      </c>
      <c r="AC212" s="1">
        <v>49</v>
      </c>
      <c r="AD212" s="1" t="s">
        <v>932</v>
      </c>
    </row>
    <row r="213" spans="1:32" ht="13">
      <c r="A213" s="1" t="s">
        <v>933</v>
      </c>
      <c r="B213" s="1" t="s">
        <v>34</v>
      </c>
      <c r="C213" s="1" t="s">
        <v>35</v>
      </c>
      <c r="D213" s="1"/>
      <c r="E213" s="6">
        <v>18284</v>
      </c>
      <c r="F213" s="1" t="s">
        <v>36</v>
      </c>
      <c r="G213" s="1">
        <v>1992</v>
      </c>
      <c r="H213" s="1">
        <v>14</v>
      </c>
      <c r="I213" s="7">
        <v>33694</v>
      </c>
      <c r="J213" s="7">
        <v>39675</v>
      </c>
      <c r="K213" s="8" t="s">
        <v>37</v>
      </c>
      <c r="L213" s="9" t="e">
        <f t="shared" ca="1" si="0"/>
        <v>#NAME?</v>
      </c>
      <c r="M213" s="9" t="e">
        <f t="shared" ca="1" si="1"/>
        <v>#NAME?</v>
      </c>
      <c r="N213" s="10" t="e">
        <f t="shared" ca="1" si="2"/>
        <v>#NAME?</v>
      </c>
      <c r="O213" s="1" t="s">
        <v>38</v>
      </c>
      <c r="P213" s="1"/>
      <c r="Q213" s="1" t="s">
        <v>90</v>
      </c>
      <c r="R213" s="1" t="s">
        <v>934</v>
      </c>
      <c r="S213" s="1" t="s">
        <v>399</v>
      </c>
      <c r="T213" s="1" t="s">
        <v>62</v>
      </c>
      <c r="X213" s="1">
        <v>4</v>
      </c>
      <c r="Y213" s="7">
        <v>34641</v>
      </c>
      <c r="Z213" s="7">
        <v>38969</v>
      </c>
      <c r="AA213" s="1">
        <v>1045</v>
      </c>
      <c r="AB213" s="1">
        <v>7</v>
      </c>
      <c r="AC213" s="1">
        <v>46</v>
      </c>
      <c r="AD213" s="1" t="s">
        <v>935</v>
      </c>
    </row>
    <row r="214" spans="1:32" ht="13">
      <c r="A214" s="1" t="s">
        <v>936</v>
      </c>
      <c r="B214" s="1" t="s">
        <v>34</v>
      </c>
      <c r="C214" s="1" t="s">
        <v>35</v>
      </c>
      <c r="D214" s="1"/>
      <c r="E214" s="6">
        <v>18980</v>
      </c>
      <c r="F214" s="1" t="s">
        <v>124</v>
      </c>
      <c r="G214" s="1">
        <v>1992</v>
      </c>
      <c r="H214" s="1">
        <v>14</v>
      </c>
      <c r="I214" s="7">
        <v>33694</v>
      </c>
      <c r="J214" s="7">
        <v>41685</v>
      </c>
      <c r="K214" s="8" t="s">
        <v>37</v>
      </c>
      <c r="L214" s="9" t="e">
        <f t="shared" ca="1" si="0"/>
        <v>#NAME?</v>
      </c>
      <c r="M214" s="9" t="e">
        <f t="shared" ca="1" si="1"/>
        <v>#NAME?</v>
      </c>
      <c r="N214" s="10" t="e">
        <f t="shared" ca="1" si="2"/>
        <v>#NAME?</v>
      </c>
      <c r="O214" s="1" t="s">
        <v>38</v>
      </c>
      <c r="P214" s="1" t="s">
        <v>292</v>
      </c>
      <c r="Q214" s="1" t="s">
        <v>521</v>
      </c>
      <c r="R214" s="1" t="s">
        <v>937</v>
      </c>
      <c r="S214" s="1" t="s">
        <v>938</v>
      </c>
      <c r="T214" s="1" t="s">
        <v>62</v>
      </c>
      <c r="U214" s="1" t="s">
        <v>62</v>
      </c>
      <c r="X214" s="1">
        <v>4</v>
      </c>
      <c r="Y214" s="7">
        <v>35204</v>
      </c>
      <c r="Z214" s="7">
        <v>38559</v>
      </c>
      <c r="AA214" s="1">
        <v>4257</v>
      </c>
      <c r="AB214" s="1">
        <v>1</v>
      </c>
      <c r="AC214" s="1">
        <v>6</v>
      </c>
      <c r="AD214" s="1" t="s">
        <v>939</v>
      </c>
    </row>
    <row r="215" spans="1:32" ht="13">
      <c r="A215" s="1" t="s">
        <v>940</v>
      </c>
      <c r="B215" s="1" t="s">
        <v>394</v>
      </c>
      <c r="C215" s="1" t="s">
        <v>35</v>
      </c>
      <c r="D215" s="1"/>
      <c r="E215" s="6">
        <v>22882</v>
      </c>
      <c r="F215" s="1" t="s">
        <v>124</v>
      </c>
      <c r="G215" s="1">
        <v>1992</v>
      </c>
      <c r="H215" s="1">
        <v>14</v>
      </c>
      <c r="I215" s="7">
        <v>33694</v>
      </c>
      <c r="J215" s="7">
        <v>37605</v>
      </c>
      <c r="K215" s="8" t="s">
        <v>37</v>
      </c>
      <c r="L215" s="9" t="e">
        <f t="shared" ca="1" si="0"/>
        <v>#NAME?</v>
      </c>
      <c r="M215" s="9" t="e">
        <f t="shared" ca="1" si="1"/>
        <v>#NAME?</v>
      </c>
      <c r="N215" s="10" t="e">
        <f t="shared" ca="1" si="2"/>
        <v>#NAME?</v>
      </c>
      <c r="O215" s="1" t="s">
        <v>38</v>
      </c>
      <c r="P215" s="1"/>
      <c r="Q215" s="1" t="s">
        <v>90</v>
      </c>
      <c r="R215" s="1" t="s">
        <v>99</v>
      </c>
      <c r="S215" s="1" t="s">
        <v>941</v>
      </c>
      <c r="T215" s="1" t="s">
        <v>579</v>
      </c>
      <c r="U215" s="1" t="s">
        <v>942</v>
      </c>
      <c r="X215" s="1">
        <v>2</v>
      </c>
      <c r="Y215" s="7">
        <v>34893</v>
      </c>
      <c r="Z215" s="7">
        <v>36665</v>
      </c>
      <c r="AA215" s="1">
        <v>450</v>
      </c>
      <c r="AB215" s="1">
        <v>0</v>
      </c>
      <c r="AC215" s="1">
        <v>0</v>
      </c>
      <c r="AD215" s="1" t="s">
        <v>943</v>
      </c>
    </row>
    <row r="216" spans="1:32" ht="13">
      <c r="A216" s="1" t="s">
        <v>944</v>
      </c>
      <c r="B216" s="1" t="s">
        <v>34</v>
      </c>
      <c r="C216" s="1" t="s">
        <v>35</v>
      </c>
      <c r="D216" s="1"/>
      <c r="E216" s="6">
        <v>21777</v>
      </c>
      <c r="F216" s="1" t="s">
        <v>84</v>
      </c>
      <c r="G216" s="1">
        <v>1995</v>
      </c>
      <c r="H216" s="1">
        <v>15</v>
      </c>
      <c r="I216" s="7">
        <v>34680</v>
      </c>
      <c r="J216" s="7">
        <v>40436</v>
      </c>
      <c r="K216" s="8" t="s">
        <v>37</v>
      </c>
      <c r="L216" s="9" t="e">
        <f t="shared" ca="1" si="0"/>
        <v>#NAME?</v>
      </c>
      <c r="M216" s="9" t="e">
        <f t="shared" ca="1" si="1"/>
        <v>#NAME?</v>
      </c>
      <c r="N216" s="10" t="e">
        <f t="shared" ca="1" si="2"/>
        <v>#NAME?</v>
      </c>
      <c r="O216" s="1" t="s">
        <v>38</v>
      </c>
      <c r="P216" s="1"/>
      <c r="Q216" s="1" t="s">
        <v>90</v>
      </c>
      <c r="R216" s="1" t="s">
        <v>945</v>
      </c>
      <c r="S216" s="1" t="s">
        <v>946</v>
      </c>
      <c r="T216" s="1" t="s">
        <v>285</v>
      </c>
      <c r="U216" s="1" t="s">
        <v>42</v>
      </c>
      <c r="V216" s="1" t="s">
        <v>71</v>
      </c>
      <c r="W216" s="1" t="s">
        <v>44</v>
      </c>
      <c r="X216" s="1">
        <v>4</v>
      </c>
      <c r="Y216" s="7">
        <v>35902</v>
      </c>
      <c r="Z216" s="7">
        <v>39944</v>
      </c>
      <c r="AA216" s="1">
        <v>1236</v>
      </c>
      <c r="AB216" s="1">
        <v>0</v>
      </c>
      <c r="AC216" s="1">
        <v>0</v>
      </c>
      <c r="AD216" s="1" t="s">
        <v>947</v>
      </c>
    </row>
    <row r="217" spans="1:32" ht="13">
      <c r="A217" s="1" t="s">
        <v>948</v>
      </c>
      <c r="B217" s="1" t="s">
        <v>34</v>
      </c>
      <c r="C217" s="1" t="s">
        <v>361</v>
      </c>
      <c r="D217" s="1"/>
      <c r="E217" s="6">
        <v>21909</v>
      </c>
      <c r="F217" s="1" t="s">
        <v>84</v>
      </c>
      <c r="G217" s="1">
        <v>1995</v>
      </c>
      <c r="H217" s="1">
        <v>15</v>
      </c>
      <c r="I217" s="7">
        <v>34680</v>
      </c>
      <c r="J217" s="12">
        <v>37653</v>
      </c>
      <c r="K217" s="13" t="s">
        <v>59</v>
      </c>
      <c r="L217" s="9" t="e">
        <f t="shared" ca="1" si="0"/>
        <v>#NAME?</v>
      </c>
      <c r="M217" s="9" t="e">
        <f t="shared" ca="1" si="1"/>
        <v>#NAME?</v>
      </c>
      <c r="N217" s="10" t="e">
        <f t="shared" ca="1" si="2"/>
        <v>#NAME?</v>
      </c>
      <c r="O217" s="1" t="s">
        <v>38</v>
      </c>
      <c r="P217" s="1"/>
      <c r="Q217" s="1" t="s">
        <v>39</v>
      </c>
      <c r="R217" s="1" t="s">
        <v>949</v>
      </c>
      <c r="S217" s="1" t="s">
        <v>950</v>
      </c>
      <c r="T217" s="1" t="s">
        <v>328</v>
      </c>
      <c r="U217" s="1" t="s">
        <v>158</v>
      </c>
      <c r="V217" s="1" t="s">
        <v>63</v>
      </c>
      <c r="W217" s="1" t="s">
        <v>64</v>
      </c>
      <c r="X217" s="1">
        <v>2</v>
      </c>
      <c r="Y217" s="7">
        <v>35817</v>
      </c>
      <c r="Z217" s="7">
        <v>37637</v>
      </c>
      <c r="AA217" s="1">
        <v>594</v>
      </c>
      <c r="AB217" s="1">
        <v>0</v>
      </c>
      <c r="AC217" s="1">
        <v>0</v>
      </c>
      <c r="AD217" s="1" t="s">
        <v>951</v>
      </c>
      <c r="AE217" s="6">
        <v>37653</v>
      </c>
      <c r="AF217" s="1" t="s">
        <v>952</v>
      </c>
    </row>
    <row r="218" spans="1:32" ht="13">
      <c r="A218" s="1" t="s">
        <v>953</v>
      </c>
      <c r="B218" s="1" t="s">
        <v>34</v>
      </c>
      <c r="C218" s="1" t="s">
        <v>35</v>
      </c>
      <c r="D218" s="1"/>
      <c r="E218" s="6">
        <v>19876</v>
      </c>
      <c r="F218" s="1" t="s">
        <v>84</v>
      </c>
      <c r="G218" s="1">
        <v>1995</v>
      </c>
      <c r="H218" s="1">
        <v>15</v>
      </c>
      <c r="I218" s="7">
        <v>34680</v>
      </c>
      <c r="J218" s="7">
        <v>39614</v>
      </c>
      <c r="K218" s="8" t="s">
        <v>37</v>
      </c>
      <c r="L218" s="9" t="e">
        <f t="shared" ca="1" si="0"/>
        <v>#NAME?</v>
      </c>
      <c r="M218" s="9" t="e">
        <f t="shared" ca="1" si="1"/>
        <v>#NAME?</v>
      </c>
      <c r="N218" s="10" t="e">
        <f t="shared" ca="1" si="2"/>
        <v>#NAME?</v>
      </c>
      <c r="O218" s="1" t="s">
        <v>38</v>
      </c>
      <c r="P218" s="1"/>
      <c r="Q218" s="1" t="s">
        <v>90</v>
      </c>
      <c r="R218" s="1" t="s">
        <v>108</v>
      </c>
      <c r="S218" s="1" t="s">
        <v>954</v>
      </c>
      <c r="T218" s="1" t="s">
        <v>62</v>
      </c>
      <c r="U218" s="1" t="s">
        <v>955</v>
      </c>
      <c r="V218" s="1" t="s">
        <v>71</v>
      </c>
      <c r="W218" s="1" t="s">
        <v>44</v>
      </c>
      <c r="X218" s="1">
        <v>3</v>
      </c>
      <c r="Y218" s="7">
        <v>36364</v>
      </c>
      <c r="Z218" s="7">
        <v>37536</v>
      </c>
      <c r="AA218" s="1">
        <v>655</v>
      </c>
      <c r="AB218" s="1">
        <v>0</v>
      </c>
      <c r="AC218" s="1">
        <v>0</v>
      </c>
      <c r="AD218" s="1" t="s">
        <v>956</v>
      </c>
    </row>
    <row r="219" spans="1:32" ht="13">
      <c r="A219" s="1" t="s">
        <v>957</v>
      </c>
      <c r="B219" s="1" t="s">
        <v>34</v>
      </c>
      <c r="C219" s="1" t="s">
        <v>35</v>
      </c>
      <c r="D219" s="1"/>
      <c r="E219" s="6">
        <v>21625</v>
      </c>
      <c r="F219" s="1" t="s">
        <v>84</v>
      </c>
      <c r="G219" s="1">
        <v>1995</v>
      </c>
      <c r="H219" s="1">
        <v>15</v>
      </c>
      <c r="I219" s="7">
        <v>34680</v>
      </c>
      <c r="J219" s="7">
        <v>39309</v>
      </c>
      <c r="K219" s="8" t="s">
        <v>37</v>
      </c>
      <c r="L219" s="9" t="e">
        <f t="shared" ca="1" si="0"/>
        <v>#NAME?</v>
      </c>
      <c r="M219" s="9" t="e">
        <f t="shared" ca="1" si="1"/>
        <v>#NAME?</v>
      </c>
      <c r="N219" s="10" t="e">
        <f t="shared" ca="1" si="2"/>
        <v>#NAME?</v>
      </c>
      <c r="O219" s="1" t="s">
        <v>38</v>
      </c>
      <c r="P219" s="1"/>
      <c r="Q219" s="1" t="s">
        <v>90</v>
      </c>
      <c r="R219" s="1" t="s">
        <v>743</v>
      </c>
      <c r="S219" s="1" t="s">
        <v>958</v>
      </c>
      <c r="T219" s="1" t="s">
        <v>483</v>
      </c>
      <c r="U219" s="1" t="s">
        <v>654</v>
      </c>
      <c r="V219" s="1" t="s">
        <v>49</v>
      </c>
      <c r="W219" s="1" t="s">
        <v>50</v>
      </c>
      <c r="X219" s="1">
        <v>3</v>
      </c>
      <c r="Y219" s="7">
        <v>35698</v>
      </c>
      <c r="Z219" s="7">
        <v>37354</v>
      </c>
      <c r="AA219" s="1">
        <v>779</v>
      </c>
      <c r="AB219" s="1">
        <v>0</v>
      </c>
      <c r="AC219" s="1">
        <v>0</v>
      </c>
      <c r="AD219" s="1" t="s">
        <v>959</v>
      </c>
    </row>
    <row r="220" spans="1:32" ht="13">
      <c r="A220" s="1" t="s">
        <v>960</v>
      </c>
      <c r="B220" s="1" t="s">
        <v>394</v>
      </c>
      <c r="C220" s="1" t="s">
        <v>459</v>
      </c>
      <c r="D220" s="1" t="s">
        <v>961</v>
      </c>
      <c r="E220" s="6">
        <v>22433</v>
      </c>
      <c r="F220" s="1" t="s">
        <v>124</v>
      </c>
      <c r="G220" s="1">
        <v>1995</v>
      </c>
      <c r="H220" s="1">
        <v>15</v>
      </c>
      <c r="I220" s="7">
        <v>34680</v>
      </c>
      <c r="J220" s="12">
        <v>37653</v>
      </c>
      <c r="K220" s="13" t="s">
        <v>59</v>
      </c>
      <c r="L220" s="9" t="e">
        <f t="shared" ca="1" si="0"/>
        <v>#NAME?</v>
      </c>
      <c r="M220" s="9" t="e">
        <f t="shared" ca="1" si="1"/>
        <v>#NAME?</v>
      </c>
      <c r="N220" s="10" t="e">
        <f t="shared" ca="1" si="2"/>
        <v>#NAME?</v>
      </c>
      <c r="O220" s="1" t="s">
        <v>38</v>
      </c>
      <c r="P220" s="1"/>
      <c r="Q220" s="1" t="s">
        <v>39</v>
      </c>
      <c r="R220" s="1" t="s">
        <v>962</v>
      </c>
      <c r="S220" s="1" t="s">
        <v>963</v>
      </c>
      <c r="T220" s="1" t="s">
        <v>42</v>
      </c>
      <c r="U220" s="1" t="s">
        <v>87</v>
      </c>
      <c r="X220" s="1">
        <v>2</v>
      </c>
      <c r="Y220" s="7">
        <v>35753</v>
      </c>
      <c r="Z220" s="7">
        <v>37637</v>
      </c>
      <c r="AA220" s="1">
        <v>734</v>
      </c>
      <c r="AB220" s="1">
        <v>0</v>
      </c>
      <c r="AC220" s="1">
        <v>0</v>
      </c>
      <c r="AD220" s="1" t="s">
        <v>964</v>
      </c>
      <c r="AE220" s="6">
        <v>37653</v>
      </c>
      <c r="AF220" s="1" t="s">
        <v>952</v>
      </c>
    </row>
    <row r="221" spans="1:32" ht="13">
      <c r="A221" s="1" t="s">
        <v>965</v>
      </c>
      <c r="B221" s="1" t="s">
        <v>34</v>
      </c>
      <c r="C221" s="1" t="s">
        <v>361</v>
      </c>
      <c r="D221" s="1"/>
      <c r="E221" s="6">
        <v>22710</v>
      </c>
      <c r="F221" s="1" t="s">
        <v>84</v>
      </c>
      <c r="G221" s="1">
        <v>1995</v>
      </c>
      <c r="H221" s="1">
        <v>15</v>
      </c>
      <c r="I221" s="7">
        <v>34680</v>
      </c>
      <c r="J221" s="7">
        <v>39401</v>
      </c>
      <c r="K221" s="8" t="s">
        <v>37</v>
      </c>
      <c r="L221" s="9" t="e">
        <f t="shared" ca="1" si="0"/>
        <v>#NAME?</v>
      </c>
      <c r="M221" s="9" t="e">
        <f t="shared" ca="1" si="1"/>
        <v>#NAME?</v>
      </c>
      <c r="N221" s="10" t="e">
        <f t="shared" ca="1" si="2"/>
        <v>#NAME?</v>
      </c>
      <c r="O221" s="1" t="s">
        <v>38</v>
      </c>
      <c r="P221" s="1"/>
      <c r="Q221" s="1" t="s">
        <v>90</v>
      </c>
      <c r="R221" s="1" t="s">
        <v>631</v>
      </c>
      <c r="S221" s="1" t="s">
        <v>565</v>
      </c>
      <c r="T221" s="1" t="s">
        <v>87</v>
      </c>
      <c r="U221" s="1" t="s">
        <v>966</v>
      </c>
      <c r="V221" s="1" t="s">
        <v>71</v>
      </c>
      <c r="W221" s="1" t="s">
        <v>44</v>
      </c>
      <c r="X221" s="1">
        <v>3</v>
      </c>
      <c r="Y221" s="7">
        <v>35649</v>
      </c>
      <c r="Z221" s="7">
        <v>39060</v>
      </c>
      <c r="AA221" s="1">
        <v>902</v>
      </c>
      <c r="AB221" s="1">
        <v>7</v>
      </c>
      <c r="AC221" s="1">
        <v>45</v>
      </c>
      <c r="AD221" s="1" t="s">
        <v>967</v>
      </c>
    </row>
    <row r="222" spans="1:32" ht="13">
      <c r="A222" s="1" t="s">
        <v>968</v>
      </c>
      <c r="B222" s="1" t="s">
        <v>34</v>
      </c>
      <c r="C222" s="1" t="s">
        <v>35</v>
      </c>
      <c r="D222" s="1"/>
      <c r="E222" s="6">
        <v>21219</v>
      </c>
      <c r="F222" s="1" t="s">
        <v>84</v>
      </c>
      <c r="G222" s="1">
        <v>1995</v>
      </c>
      <c r="H222" s="1">
        <v>15</v>
      </c>
      <c r="I222" s="7">
        <v>34680</v>
      </c>
      <c r="J222" s="7">
        <v>36646</v>
      </c>
      <c r="K222" s="8" t="s">
        <v>37</v>
      </c>
      <c r="L222" s="9" t="e">
        <f t="shared" ca="1" si="0"/>
        <v>#NAME?</v>
      </c>
      <c r="M222" s="9" t="e">
        <f t="shared" ca="1" si="1"/>
        <v>#NAME?</v>
      </c>
      <c r="N222" s="10" t="e">
        <f t="shared" ca="1" si="2"/>
        <v>#NAME?</v>
      </c>
      <c r="O222" s="1" t="s">
        <v>38</v>
      </c>
      <c r="P222" s="1"/>
      <c r="Q222" s="1" t="s">
        <v>90</v>
      </c>
      <c r="R222" s="1" t="s">
        <v>969</v>
      </c>
      <c r="S222" s="1" t="s">
        <v>970</v>
      </c>
      <c r="T222" s="1" t="s">
        <v>87</v>
      </c>
      <c r="U222" s="1" t="s">
        <v>955</v>
      </c>
      <c r="V222" s="1" t="s">
        <v>43</v>
      </c>
      <c r="W222" s="1" t="s">
        <v>44</v>
      </c>
      <c r="X222" s="1">
        <v>1</v>
      </c>
      <c r="Y222" s="7">
        <v>35817</v>
      </c>
      <c r="Z222" s="7">
        <v>35817</v>
      </c>
      <c r="AA222" s="1">
        <v>211</v>
      </c>
      <c r="AB222" s="1">
        <v>0</v>
      </c>
      <c r="AC222" s="1">
        <v>0</v>
      </c>
      <c r="AD222" s="1" t="s">
        <v>971</v>
      </c>
    </row>
    <row r="223" spans="1:32" ht="13">
      <c r="A223" s="1" t="s">
        <v>972</v>
      </c>
      <c r="B223" s="1" t="s">
        <v>34</v>
      </c>
      <c r="C223" s="1" t="s">
        <v>35</v>
      </c>
      <c r="D223" s="1"/>
      <c r="E223" s="6">
        <v>20942</v>
      </c>
      <c r="F223" s="1" t="s">
        <v>84</v>
      </c>
      <c r="G223" s="1">
        <v>1995</v>
      </c>
      <c r="H223" s="1">
        <v>15</v>
      </c>
      <c r="I223" s="7">
        <v>34680</v>
      </c>
      <c r="J223" s="7">
        <v>40333</v>
      </c>
      <c r="K223" s="8" t="s">
        <v>37</v>
      </c>
      <c r="L223" s="9" t="e">
        <f t="shared" ca="1" si="0"/>
        <v>#NAME?</v>
      </c>
      <c r="M223" s="9" t="e">
        <f t="shared" ca="1" si="1"/>
        <v>#NAME?</v>
      </c>
      <c r="N223" s="10" t="e">
        <f t="shared" ca="1" si="2"/>
        <v>#NAME?</v>
      </c>
      <c r="O223" s="1" t="s">
        <v>38</v>
      </c>
      <c r="P223" s="1"/>
      <c r="Q223" s="1" t="s">
        <v>90</v>
      </c>
      <c r="R223" s="1" t="s">
        <v>973</v>
      </c>
      <c r="S223" s="1" t="s">
        <v>974</v>
      </c>
      <c r="T223" s="1" t="s">
        <v>900</v>
      </c>
      <c r="U223" s="1" t="s">
        <v>955</v>
      </c>
      <c r="V223" s="1" t="s">
        <v>71</v>
      </c>
      <c r="W223" s="1" t="s">
        <v>44</v>
      </c>
      <c r="X223" s="1">
        <v>4</v>
      </c>
      <c r="Y223" s="7">
        <v>35948</v>
      </c>
      <c r="Z223" s="7">
        <v>39518</v>
      </c>
      <c r="AA223" s="1">
        <v>1167</v>
      </c>
      <c r="AB223" s="1">
        <v>0</v>
      </c>
      <c r="AC223" s="1">
        <v>0</v>
      </c>
      <c r="AD223" s="1" t="s">
        <v>975</v>
      </c>
    </row>
    <row r="224" spans="1:32" ht="13">
      <c r="A224" s="1" t="s">
        <v>976</v>
      </c>
      <c r="B224" s="1" t="s">
        <v>394</v>
      </c>
      <c r="C224" s="1" t="s">
        <v>35</v>
      </c>
      <c r="D224" s="1"/>
      <c r="E224" s="6">
        <v>21788</v>
      </c>
      <c r="F224" s="1" t="s">
        <v>84</v>
      </c>
      <c r="G224" s="1">
        <v>1995</v>
      </c>
      <c r="H224" s="1">
        <v>15</v>
      </c>
      <c r="I224" s="7">
        <v>34680</v>
      </c>
      <c r="J224" s="17">
        <v>43524</v>
      </c>
      <c r="K224" s="8" t="s">
        <v>37</v>
      </c>
      <c r="L224" s="9" t="e">
        <f t="shared" ca="1" si="0"/>
        <v>#NAME?</v>
      </c>
      <c r="M224" s="9" t="e">
        <f t="shared" ca="1" si="1"/>
        <v>#NAME?</v>
      </c>
      <c r="N224" s="10" t="e">
        <f t="shared" ca="1" si="2"/>
        <v>#NAME?</v>
      </c>
      <c r="O224" s="1" t="s">
        <v>38</v>
      </c>
      <c r="P224" s="1"/>
      <c r="Q224" s="1" t="s">
        <v>90</v>
      </c>
      <c r="R224" s="1" t="s">
        <v>180</v>
      </c>
      <c r="S224" s="1" t="s">
        <v>977</v>
      </c>
      <c r="T224" s="1" t="s">
        <v>654</v>
      </c>
      <c r="U224" s="1" t="s">
        <v>978</v>
      </c>
      <c r="V224" s="1" t="s">
        <v>71</v>
      </c>
      <c r="W224" s="1" t="s">
        <v>784</v>
      </c>
      <c r="X224" s="1">
        <v>2</v>
      </c>
      <c r="Y224" s="7">
        <v>35902</v>
      </c>
      <c r="Z224" s="7">
        <v>40217</v>
      </c>
      <c r="AA224" s="1">
        <v>711</v>
      </c>
      <c r="AB224" s="1">
        <v>0</v>
      </c>
      <c r="AC224" s="1">
        <v>0</v>
      </c>
      <c r="AD224" s="1" t="s">
        <v>979</v>
      </c>
    </row>
    <row r="225" spans="1:33" ht="13">
      <c r="A225" s="1" t="s">
        <v>980</v>
      </c>
      <c r="B225" s="1" t="s">
        <v>34</v>
      </c>
      <c r="C225" s="1" t="s">
        <v>35</v>
      </c>
      <c r="D225" s="1"/>
      <c r="E225" s="6">
        <v>21013</v>
      </c>
      <c r="F225" s="1" t="s">
        <v>84</v>
      </c>
      <c r="G225" s="1">
        <v>1995</v>
      </c>
      <c r="H225" s="1">
        <v>15</v>
      </c>
      <c r="I225" s="7">
        <v>34680</v>
      </c>
      <c r="J225" s="12">
        <v>37653</v>
      </c>
      <c r="K225" s="13" t="s">
        <v>59</v>
      </c>
      <c r="L225" s="9" t="e">
        <f t="shared" ca="1" si="0"/>
        <v>#NAME?</v>
      </c>
      <c r="M225" s="9" t="e">
        <f t="shared" ca="1" si="1"/>
        <v>#NAME?</v>
      </c>
      <c r="N225" s="10" t="e">
        <f t="shared" ca="1" si="2"/>
        <v>#NAME?</v>
      </c>
      <c r="O225" s="1" t="s">
        <v>38</v>
      </c>
      <c r="P225" s="1"/>
      <c r="Q225" s="1" t="s">
        <v>39</v>
      </c>
      <c r="R225" s="1" t="s">
        <v>981</v>
      </c>
      <c r="S225" s="1" t="s">
        <v>982</v>
      </c>
      <c r="T225" s="1" t="s">
        <v>62</v>
      </c>
      <c r="U225" s="1" t="s">
        <v>62</v>
      </c>
      <c r="V225" s="1" t="s">
        <v>49</v>
      </c>
      <c r="W225" s="1" t="s">
        <v>64</v>
      </c>
      <c r="X225" s="1">
        <v>2</v>
      </c>
      <c r="Y225" s="7">
        <v>36307</v>
      </c>
      <c r="Z225" s="7">
        <v>37637</v>
      </c>
      <c r="AA225" s="1">
        <v>617</v>
      </c>
      <c r="AB225" s="1">
        <v>0</v>
      </c>
      <c r="AC225" s="1">
        <v>0</v>
      </c>
      <c r="AD225" s="1" t="s">
        <v>983</v>
      </c>
      <c r="AE225" s="6">
        <v>37653</v>
      </c>
      <c r="AF225" s="1" t="s">
        <v>952</v>
      </c>
    </row>
    <row r="226" spans="1:33" ht="13">
      <c r="A226" s="1" t="s">
        <v>984</v>
      </c>
      <c r="B226" s="1" t="s">
        <v>394</v>
      </c>
      <c r="C226" s="1" t="s">
        <v>35</v>
      </c>
      <c r="D226" s="1"/>
      <c r="E226" s="6">
        <v>21748</v>
      </c>
      <c r="F226" s="1" t="s">
        <v>84</v>
      </c>
      <c r="G226" s="1">
        <v>1995</v>
      </c>
      <c r="H226" s="1">
        <v>15</v>
      </c>
      <c r="I226" s="7">
        <v>34680</v>
      </c>
      <c r="J226" s="20">
        <v>43738</v>
      </c>
      <c r="K226" s="8" t="s">
        <v>37</v>
      </c>
      <c r="L226" s="9" t="e">
        <f t="shared" ca="1" si="0"/>
        <v>#NAME?</v>
      </c>
      <c r="M226" s="9" t="e">
        <f t="shared" ca="1" si="1"/>
        <v>#NAME?</v>
      </c>
      <c r="N226" s="10" t="e">
        <f t="shared" ca="1" si="2"/>
        <v>#NAME?</v>
      </c>
      <c r="O226" s="1" t="s">
        <v>38</v>
      </c>
      <c r="P226" s="1"/>
      <c r="Q226" s="1" t="s">
        <v>521</v>
      </c>
      <c r="R226" s="1" t="s">
        <v>985</v>
      </c>
      <c r="S226" s="1" t="s">
        <v>986</v>
      </c>
      <c r="T226" s="1" t="s">
        <v>170</v>
      </c>
      <c r="U226" s="1" t="s">
        <v>170</v>
      </c>
      <c r="X226" s="1">
        <v>3</v>
      </c>
      <c r="Y226" s="7">
        <v>35948</v>
      </c>
      <c r="Z226" s="7">
        <v>37084</v>
      </c>
      <c r="AA226" s="1">
        <v>812</v>
      </c>
      <c r="AB226" s="1">
        <v>0</v>
      </c>
      <c r="AC226" s="1">
        <v>0</v>
      </c>
      <c r="AD226" s="1" t="s">
        <v>987</v>
      </c>
    </row>
    <row r="227" spans="1:33" ht="13">
      <c r="A227" s="1" t="s">
        <v>988</v>
      </c>
      <c r="B227" s="1" t="s">
        <v>394</v>
      </c>
      <c r="C227" s="1" t="s">
        <v>35</v>
      </c>
      <c r="D227" s="1"/>
      <c r="E227" s="6">
        <v>22578</v>
      </c>
      <c r="F227" s="1" t="s">
        <v>84</v>
      </c>
      <c r="G227" s="1">
        <v>1995</v>
      </c>
      <c r="H227" s="1">
        <v>15</v>
      </c>
      <c r="I227" s="7">
        <v>34680</v>
      </c>
      <c r="J227" s="7">
        <v>37605</v>
      </c>
      <c r="K227" s="8" t="s">
        <v>37</v>
      </c>
      <c r="L227" s="9" t="e">
        <f t="shared" ca="1" si="0"/>
        <v>#NAME?</v>
      </c>
      <c r="M227" s="9" t="e">
        <f t="shared" ca="1" si="1"/>
        <v>#NAME?</v>
      </c>
      <c r="N227" s="10" t="e">
        <f t="shared" ca="1" si="2"/>
        <v>#NAME?</v>
      </c>
      <c r="O227" s="1" t="s">
        <v>38</v>
      </c>
      <c r="P227" s="1"/>
      <c r="Q227" s="1" t="s">
        <v>90</v>
      </c>
      <c r="R227" s="1" t="s">
        <v>989</v>
      </c>
      <c r="S227" s="1" t="s">
        <v>990</v>
      </c>
      <c r="T227" s="1" t="s">
        <v>104</v>
      </c>
      <c r="U227" s="1" t="s">
        <v>87</v>
      </c>
      <c r="V227" s="1" t="s">
        <v>43</v>
      </c>
      <c r="W227" s="1" t="s">
        <v>44</v>
      </c>
      <c r="X227" s="1">
        <v>2</v>
      </c>
      <c r="Y227" s="7">
        <v>35524</v>
      </c>
      <c r="Z227" s="7">
        <v>35612</v>
      </c>
      <c r="AA227" s="1">
        <v>472</v>
      </c>
      <c r="AB227" s="1">
        <v>0</v>
      </c>
      <c r="AC227" s="1">
        <v>0</v>
      </c>
      <c r="AD227" s="1" t="s">
        <v>991</v>
      </c>
    </row>
    <row r="228" spans="1:33" ht="13">
      <c r="A228" s="1" t="s">
        <v>992</v>
      </c>
      <c r="B228" s="1" t="s">
        <v>34</v>
      </c>
      <c r="C228" s="1" t="s">
        <v>35</v>
      </c>
      <c r="D228" s="1"/>
      <c r="E228" s="6">
        <v>22152</v>
      </c>
      <c r="F228" s="1" t="s">
        <v>84</v>
      </c>
      <c r="G228" s="1">
        <v>1995</v>
      </c>
      <c r="H228" s="1">
        <v>15</v>
      </c>
      <c r="I228" s="7">
        <v>34680</v>
      </c>
      <c r="J228" s="7">
        <v>40739</v>
      </c>
      <c r="K228" s="8" t="s">
        <v>37</v>
      </c>
      <c r="L228" s="9" t="e">
        <f t="shared" ca="1" si="0"/>
        <v>#NAME?</v>
      </c>
      <c r="M228" s="9" t="e">
        <f t="shared" ca="1" si="1"/>
        <v>#NAME?</v>
      </c>
      <c r="N228" s="10" t="e">
        <f t="shared" ca="1" si="2"/>
        <v>#NAME?</v>
      </c>
      <c r="O228" s="1" t="s">
        <v>38</v>
      </c>
      <c r="P228" s="1"/>
      <c r="Q228" s="1" t="s">
        <v>90</v>
      </c>
      <c r="R228" s="1" t="s">
        <v>993</v>
      </c>
      <c r="S228" s="1" t="s">
        <v>994</v>
      </c>
      <c r="T228" s="1" t="s">
        <v>346</v>
      </c>
      <c r="U228" s="1" t="s">
        <v>42</v>
      </c>
      <c r="V228" s="1" t="s">
        <v>49</v>
      </c>
      <c r="W228" s="1" t="s">
        <v>50</v>
      </c>
      <c r="X228" s="1">
        <v>5</v>
      </c>
      <c r="Y228" s="7">
        <v>35753</v>
      </c>
      <c r="Z228" s="7">
        <v>40598</v>
      </c>
      <c r="AA228" s="1">
        <v>1510</v>
      </c>
      <c r="AB228" s="1">
        <v>0</v>
      </c>
      <c r="AC228" s="1">
        <v>0</v>
      </c>
      <c r="AD228" s="1" t="s">
        <v>995</v>
      </c>
    </row>
    <row r="229" spans="1:33" ht="13">
      <c r="A229" s="1" t="s">
        <v>996</v>
      </c>
      <c r="B229" s="1" t="s">
        <v>34</v>
      </c>
      <c r="C229" s="1" t="s">
        <v>459</v>
      </c>
      <c r="D229" s="1" t="s">
        <v>773</v>
      </c>
      <c r="E229" s="6">
        <v>23193</v>
      </c>
      <c r="F229" s="1" t="s">
        <v>124</v>
      </c>
      <c r="G229" s="1">
        <v>1995</v>
      </c>
      <c r="H229" s="1">
        <v>15</v>
      </c>
      <c r="I229" s="7">
        <v>34680</v>
      </c>
      <c r="J229" s="7">
        <v>39309</v>
      </c>
      <c r="K229" s="8" t="s">
        <v>37</v>
      </c>
      <c r="L229" s="9" t="e">
        <f t="shared" ca="1" si="0"/>
        <v>#NAME?</v>
      </c>
      <c r="M229" s="9" t="e">
        <f t="shared" ca="1" si="1"/>
        <v>#NAME?</v>
      </c>
      <c r="N229" s="10" t="e">
        <f t="shared" ca="1" si="2"/>
        <v>#NAME?</v>
      </c>
      <c r="O229" s="1" t="s">
        <v>38</v>
      </c>
      <c r="P229" s="1"/>
      <c r="Q229" s="1" t="s">
        <v>90</v>
      </c>
      <c r="R229" s="1" t="s">
        <v>661</v>
      </c>
      <c r="S229" s="1" t="s">
        <v>997</v>
      </c>
      <c r="T229" s="1" t="s">
        <v>139</v>
      </c>
      <c r="U229" s="1" t="s">
        <v>863</v>
      </c>
      <c r="X229" s="1">
        <v>3</v>
      </c>
      <c r="Y229" s="7">
        <v>35565</v>
      </c>
      <c r="Z229" s="7">
        <v>37736</v>
      </c>
      <c r="AA229" s="1">
        <v>4962</v>
      </c>
      <c r="AB229" s="1">
        <v>1</v>
      </c>
      <c r="AC229" s="1">
        <v>6</v>
      </c>
      <c r="AD229" s="1" t="s">
        <v>998</v>
      </c>
    </row>
    <row r="230" spans="1:33" ht="13">
      <c r="A230" s="1" t="s">
        <v>999</v>
      </c>
      <c r="B230" s="1" t="s">
        <v>394</v>
      </c>
      <c r="C230" s="1" t="s">
        <v>35</v>
      </c>
      <c r="D230" s="1"/>
      <c r="E230" s="6">
        <v>22541</v>
      </c>
      <c r="F230" s="1" t="s">
        <v>84</v>
      </c>
      <c r="G230" s="1">
        <v>1995</v>
      </c>
      <c r="H230" s="1">
        <v>15</v>
      </c>
      <c r="I230" s="7">
        <v>34680</v>
      </c>
      <c r="J230" s="7">
        <v>40040</v>
      </c>
      <c r="K230" s="8" t="s">
        <v>37</v>
      </c>
      <c r="L230" s="9" t="e">
        <f t="shared" ca="1" si="0"/>
        <v>#NAME?</v>
      </c>
      <c r="M230" s="9" t="e">
        <f t="shared" ca="1" si="1"/>
        <v>#NAME?</v>
      </c>
      <c r="N230" s="10" t="e">
        <f t="shared" ca="1" si="2"/>
        <v>#NAME?</v>
      </c>
      <c r="O230" s="1" t="s">
        <v>38</v>
      </c>
      <c r="P230" s="1"/>
      <c r="Q230" s="1" t="s">
        <v>90</v>
      </c>
      <c r="R230" s="1" t="s">
        <v>1000</v>
      </c>
      <c r="S230" s="1" t="s">
        <v>1001</v>
      </c>
      <c r="T230" s="1" t="s">
        <v>328</v>
      </c>
      <c r="U230" s="1" t="s">
        <v>1002</v>
      </c>
      <c r="V230" s="1" t="s">
        <v>49</v>
      </c>
      <c r="W230" s="1" t="s">
        <v>50</v>
      </c>
      <c r="X230" s="1">
        <v>3</v>
      </c>
      <c r="Y230" s="7">
        <v>36810</v>
      </c>
      <c r="Z230" s="7">
        <v>39378</v>
      </c>
      <c r="AA230" s="1">
        <v>914</v>
      </c>
      <c r="AB230" s="1">
        <v>0</v>
      </c>
      <c r="AC230" s="1">
        <v>0</v>
      </c>
      <c r="AD230" s="1" t="s">
        <v>1003</v>
      </c>
    </row>
    <row r="231" spans="1:33" ht="13">
      <c r="A231" s="1" t="s">
        <v>1004</v>
      </c>
      <c r="B231" s="1" t="s">
        <v>34</v>
      </c>
      <c r="C231" s="1" t="s">
        <v>530</v>
      </c>
      <c r="D231" s="1" t="s">
        <v>1005</v>
      </c>
      <c r="E231" s="6">
        <v>21831</v>
      </c>
      <c r="F231" s="1" t="s">
        <v>84</v>
      </c>
      <c r="G231" s="1">
        <v>1995</v>
      </c>
      <c r="H231" s="1">
        <v>15</v>
      </c>
      <c r="I231" s="7">
        <v>34680</v>
      </c>
      <c r="J231" s="20">
        <v>38353</v>
      </c>
      <c r="K231" s="8" t="s">
        <v>37</v>
      </c>
      <c r="L231" s="9" t="e">
        <f t="shared" ca="1" si="0"/>
        <v>#NAME?</v>
      </c>
      <c r="M231" s="9" t="e">
        <f t="shared" ca="1" si="1"/>
        <v>#NAME?</v>
      </c>
      <c r="N231" s="10" t="e">
        <f t="shared" ca="1" si="2"/>
        <v>#NAME?</v>
      </c>
      <c r="O231" s="1" t="s">
        <v>38</v>
      </c>
      <c r="P231" s="1"/>
      <c r="Q231" s="1" t="s">
        <v>90</v>
      </c>
      <c r="R231" s="1" t="s">
        <v>1006</v>
      </c>
      <c r="S231" s="1" t="s">
        <v>1007</v>
      </c>
      <c r="T231" s="1" t="s">
        <v>1008</v>
      </c>
      <c r="U231" s="1" t="s">
        <v>1009</v>
      </c>
      <c r="V231" s="1" t="s">
        <v>63</v>
      </c>
      <c r="W231" s="1" t="s">
        <v>56</v>
      </c>
      <c r="X231" s="1">
        <v>2</v>
      </c>
      <c r="Y231" s="7">
        <v>35565</v>
      </c>
      <c r="Z231" s="7">
        <v>36860</v>
      </c>
      <c r="AA231" s="1">
        <v>481</v>
      </c>
      <c r="AB231" s="1">
        <v>3</v>
      </c>
      <c r="AC231" s="1">
        <v>19</v>
      </c>
      <c r="AD231" s="1" t="s">
        <v>1010</v>
      </c>
    </row>
    <row r="232" spans="1:33" ht="13">
      <c r="A232" s="1" t="s">
        <v>1011</v>
      </c>
      <c r="B232" s="1" t="s">
        <v>34</v>
      </c>
      <c r="C232" s="1" t="s">
        <v>35</v>
      </c>
      <c r="D232" s="1"/>
      <c r="E232" s="6">
        <v>19801</v>
      </c>
      <c r="F232" s="1" t="s">
        <v>124</v>
      </c>
      <c r="G232" s="1">
        <v>1995</v>
      </c>
      <c r="H232" s="1">
        <v>15</v>
      </c>
      <c r="I232" s="7">
        <v>34680</v>
      </c>
      <c r="J232" s="7">
        <v>39583</v>
      </c>
      <c r="K232" s="8" t="s">
        <v>37</v>
      </c>
      <c r="L232" s="9" t="e">
        <f t="shared" ca="1" si="0"/>
        <v>#NAME?</v>
      </c>
      <c r="M232" s="9" t="e">
        <f t="shared" ca="1" si="1"/>
        <v>#NAME?</v>
      </c>
      <c r="N232" s="10" t="e">
        <f t="shared" ca="1" si="2"/>
        <v>#NAME?</v>
      </c>
      <c r="O232" s="1" t="s">
        <v>38</v>
      </c>
      <c r="P232" s="1"/>
      <c r="Q232" s="1" t="s">
        <v>90</v>
      </c>
      <c r="R232" s="1" t="s">
        <v>1012</v>
      </c>
      <c r="S232" s="1" t="s">
        <v>1013</v>
      </c>
      <c r="T232" s="1" t="s">
        <v>1014</v>
      </c>
      <c r="U232" s="1" t="s">
        <v>1014</v>
      </c>
      <c r="X232" s="1">
        <v>3</v>
      </c>
      <c r="Y232" s="7">
        <v>35817</v>
      </c>
      <c r="Z232" s="7">
        <v>39241</v>
      </c>
      <c r="AA232" s="1">
        <v>854</v>
      </c>
      <c r="AB232" s="1">
        <v>5</v>
      </c>
      <c r="AC232" s="1">
        <v>31</v>
      </c>
      <c r="AD232" s="1" t="s">
        <v>1015</v>
      </c>
    </row>
    <row r="233" spans="1:33" ht="13">
      <c r="A233" s="1" t="s">
        <v>1016</v>
      </c>
      <c r="B233" s="1" t="s">
        <v>34</v>
      </c>
      <c r="C233" s="1" t="s">
        <v>35</v>
      </c>
      <c r="D233" s="1"/>
      <c r="E233" s="6">
        <v>20388</v>
      </c>
      <c r="F233" s="1" t="s">
        <v>124</v>
      </c>
      <c r="G233" s="1">
        <v>1995</v>
      </c>
      <c r="H233" s="1">
        <v>15</v>
      </c>
      <c r="I233" s="7">
        <v>34680</v>
      </c>
      <c r="J233" s="7">
        <v>41090</v>
      </c>
      <c r="K233" s="8" t="s">
        <v>37</v>
      </c>
      <c r="L233" s="9" t="e">
        <f t="shared" ca="1" si="0"/>
        <v>#NAME?</v>
      </c>
      <c r="M233" s="9" t="e">
        <f t="shared" ca="1" si="1"/>
        <v>#NAME?</v>
      </c>
      <c r="N233" s="10" t="e">
        <f t="shared" ca="1" si="2"/>
        <v>#NAME?</v>
      </c>
      <c r="O233" s="1" t="s">
        <v>38</v>
      </c>
      <c r="P233" s="1"/>
      <c r="Q233" s="1" t="s">
        <v>90</v>
      </c>
      <c r="R233" s="1" t="s">
        <v>375</v>
      </c>
      <c r="S233" s="1" t="s">
        <v>1017</v>
      </c>
      <c r="T233" s="1" t="s">
        <v>1018</v>
      </c>
      <c r="U233" s="1" t="s">
        <v>452</v>
      </c>
      <c r="X233" s="1">
        <v>4</v>
      </c>
      <c r="Y233" s="7">
        <v>35649</v>
      </c>
      <c r="Z233" s="7">
        <v>40217</v>
      </c>
      <c r="AA233" s="1">
        <v>1162</v>
      </c>
      <c r="AB233" s="1">
        <v>3</v>
      </c>
      <c r="AC233" s="1">
        <v>20</v>
      </c>
      <c r="AD233" s="1" t="s">
        <v>1019</v>
      </c>
    </row>
    <row r="234" spans="1:33" ht="13">
      <c r="A234" s="1" t="s">
        <v>1020</v>
      </c>
      <c r="B234" s="1" t="s">
        <v>34</v>
      </c>
      <c r="C234" s="1" t="s">
        <v>35</v>
      </c>
      <c r="D234" s="1"/>
      <c r="E234" s="6">
        <v>22504</v>
      </c>
      <c r="F234" s="1" t="s">
        <v>84</v>
      </c>
      <c r="G234" s="1">
        <v>1995</v>
      </c>
      <c r="H234" s="1">
        <v>15</v>
      </c>
      <c r="I234" s="7">
        <v>34680</v>
      </c>
      <c r="J234" s="7">
        <v>41348</v>
      </c>
      <c r="K234" s="8" t="s">
        <v>37</v>
      </c>
      <c r="L234" s="9" t="e">
        <f t="shared" ca="1" si="0"/>
        <v>#NAME?</v>
      </c>
      <c r="M234" s="9" t="e">
        <f t="shared" ca="1" si="1"/>
        <v>#NAME?</v>
      </c>
      <c r="N234" s="10" t="e">
        <f t="shared" ca="1" si="2"/>
        <v>#NAME?</v>
      </c>
      <c r="O234" s="1" t="s">
        <v>38</v>
      </c>
      <c r="P234" s="1"/>
      <c r="Q234" s="1" t="s">
        <v>90</v>
      </c>
      <c r="R234" s="1" t="s">
        <v>1021</v>
      </c>
      <c r="S234" s="1" t="s">
        <v>1022</v>
      </c>
      <c r="T234" s="1" t="s">
        <v>62</v>
      </c>
      <c r="V234" s="1" t="s">
        <v>49</v>
      </c>
      <c r="W234" s="1" t="s">
        <v>56</v>
      </c>
      <c r="X234" s="1">
        <v>4</v>
      </c>
      <c r="Y234" s="7">
        <v>36133</v>
      </c>
      <c r="Z234" s="7">
        <v>40053</v>
      </c>
      <c r="AA234" s="1">
        <v>1233</v>
      </c>
      <c r="AB234" s="1">
        <v>0</v>
      </c>
      <c r="AC234" s="1">
        <v>0</v>
      </c>
      <c r="AD234" s="1" t="s">
        <v>1023</v>
      </c>
    </row>
    <row r="235" spans="1:33" ht="13">
      <c r="A235" s="1" t="s">
        <v>1024</v>
      </c>
      <c r="B235" s="1" t="s">
        <v>34</v>
      </c>
      <c r="C235" s="1" t="s">
        <v>35</v>
      </c>
      <c r="D235" s="1"/>
      <c r="E235" s="6">
        <v>20561</v>
      </c>
      <c r="F235" s="1" t="s">
        <v>124</v>
      </c>
      <c r="G235" s="1">
        <v>1996</v>
      </c>
      <c r="H235" s="1">
        <v>16</v>
      </c>
      <c r="I235" s="7">
        <v>35186</v>
      </c>
      <c r="J235" s="12">
        <v>37653</v>
      </c>
      <c r="K235" s="13" t="s">
        <v>59</v>
      </c>
      <c r="L235" s="9" t="e">
        <f t="shared" ca="1" si="0"/>
        <v>#NAME?</v>
      </c>
      <c r="M235" s="9" t="e">
        <f t="shared" ca="1" si="1"/>
        <v>#NAME?</v>
      </c>
      <c r="N235" s="10" t="e">
        <f t="shared" ca="1" si="2"/>
        <v>#NAME?</v>
      </c>
      <c r="O235" s="1" t="s">
        <v>38</v>
      </c>
      <c r="P235" s="1"/>
      <c r="Q235" s="1" t="s">
        <v>39</v>
      </c>
      <c r="R235" s="1" t="s">
        <v>1025</v>
      </c>
      <c r="S235" s="1" t="s">
        <v>1026</v>
      </c>
      <c r="T235" s="1" t="s">
        <v>810</v>
      </c>
      <c r="U235" s="1" t="s">
        <v>201</v>
      </c>
      <c r="V235" s="1" t="s">
        <v>71</v>
      </c>
      <c r="W235" s="1" t="s">
        <v>150</v>
      </c>
      <c r="X235" s="1">
        <v>1</v>
      </c>
      <c r="Y235" s="7">
        <v>37637</v>
      </c>
      <c r="Z235" s="7">
        <v>37637</v>
      </c>
      <c r="AA235" s="1">
        <v>382</v>
      </c>
      <c r="AB235" s="1">
        <v>0</v>
      </c>
      <c r="AC235" s="1">
        <v>0</v>
      </c>
      <c r="AD235" s="1" t="s">
        <v>952</v>
      </c>
      <c r="AE235" s="6">
        <v>37653</v>
      </c>
      <c r="AF235" s="1" t="s">
        <v>952</v>
      </c>
    </row>
    <row r="236" spans="1:33" ht="13">
      <c r="A236" s="1" t="s">
        <v>1027</v>
      </c>
      <c r="B236" s="1" t="s">
        <v>34</v>
      </c>
      <c r="C236" s="1" t="s">
        <v>35</v>
      </c>
      <c r="D236" s="1"/>
      <c r="E236" s="6">
        <v>22489</v>
      </c>
      <c r="F236" s="1" t="s">
        <v>84</v>
      </c>
      <c r="G236" s="1">
        <v>1996</v>
      </c>
      <c r="H236" s="1">
        <v>16</v>
      </c>
      <c r="I236" s="7">
        <v>35186</v>
      </c>
      <c r="J236" s="20">
        <v>43280</v>
      </c>
      <c r="K236" s="8" t="s">
        <v>37</v>
      </c>
      <c r="L236" s="9" t="e">
        <f t="shared" ca="1" si="0"/>
        <v>#NAME?</v>
      </c>
      <c r="M236" s="9" t="e">
        <f t="shared" ca="1" si="1"/>
        <v>#NAME?</v>
      </c>
      <c r="N236" s="10" t="e">
        <f t="shared" ca="1" si="2"/>
        <v>#NAME?</v>
      </c>
      <c r="O236" s="1" t="s">
        <v>38</v>
      </c>
      <c r="P236" s="1"/>
      <c r="Q236" s="8" t="s">
        <v>90</v>
      </c>
      <c r="R236" s="1" t="s">
        <v>1028</v>
      </c>
      <c r="S236" s="1" t="s">
        <v>1029</v>
      </c>
      <c r="T236" s="1" t="s">
        <v>139</v>
      </c>
      <c r="U236" s="1" t="s">
        <v>1030</v>
      </c>
      <c r="V236" s="1" t="s">
        <v>71</v>
      </c>
      <c r="W236" s="1" t="s">
        <v>748</v>
      </c>
      <c r="X236" s="1">
        <v>3</v>
      </c>
      <c r="Y236" s="7">
        <v>36777</v>
      </c>
      <c r="Z236" s="7">
        <v>40861</v>
      </c>
      <c r="AA236" s="1">
        <v>4512</v>
      </c>
      <c r="AB236" s="1">
        <v>1</v>
      </c>
      <c r="AC236" s="1">
        <v>7</v>
      </c>
      <c r="AD236" s="1" t="s">
        <v>1031</v>
      </c>
    </row>
    <row r="237" spans="1:33" ht="13">
      <c r="A237" s="1" t="s">
        <v>1032</v>
      </c>
      <c r="B237" s="1" t="s">
        <v>394</v>
      </c>
      <c r="C237" s="1" t="s">
        <v>361</v>
      </c>
      <c r="D237" s="1"/>
      <c r="E237" s="6">
        <v>21664</v>
      </c>
      <c r="F237" s="1" t="s">
        <v>124</v>
      </c>
      <c r="G237" s="1">
        <v>1996</v>
      </c>
      <c r="H237" s="1">
        <v>16</v>
      </c>
      <c r="I237" s="7">
        <v>35186</v>
      </c>
      <c r="J237" s="7">
        <f ca="1">TODAY()</f>
        <v>44606</v>
      </c>
      <c r="K237" s="8" t="s">
        <v>667</v>
      </c>
      <c r="L237" s="9" t="e">
        <f t="shared" ca="1" si="0"/>
        <v>#NAME?</v>
      </c>
      <c r="M237" s="9" t="e">
        <f t="shared" ca="1" si="1"/>
        <v>#NAME?</v>
      </c>
      <c r="N237" s="10" t="str">
        <f t="shared" si="2"/>
        <v>N/A</v>
      </c>
      <c r="O237" s="1" t="s">
        <v>38</v>
      </c>
      <c r="P237" s="1"/>
      <c r="Q237" s="1" t="s">
        <v>521</v>
      </c>
      <c r="R237" s="1" t="s">
        <v>1033</v>
      </c>
      <c r="S237" s="1" t="s">
        <v>1034</v>
      </c>
      <c r="T237" s="1" t="s">
        <v>434</v>
      </c>
      <c r="V237" s="1" t="s">
        <v>49</v>
      </c>
      <c r="W237" s="1" t="s">
        <v>64</v>
      </c>
      <c r="X237" s="1">
        <v>0</v>
      </c>
      <c r="Y237" s="7"/>
      <c r="Z237" s="7"/>
      <c r="AA237" s="1">
        <v>0</v>
      </c>
      <c r="AB237" s="1">
        <v>0</v>
      </c>
      <c r="AC237" s="1">
        <v>0</v>
      </c>
      <c r="AG237" s="1" t="s">
        <v>1035</v>
      </c>
    </row>
    <row r="238" spans="1:33" ht="13">
      <c r="A238" s="1" t="s">
        <v>1036</v>
      </c>
      <c r="B238" s="1" t="s">
        <v>34</v>
      </c>
      <c r="C238" s="1" t="s">
        <v>530</v>
      </c>
      <c r="D238" s="1" t="s">
        <v>1037</v>
      </c>
      <c r="E238" s="6">
        <v>21348</v>
      </c>
      <c r="F238" s="1" t="s">
        <v>84</v>
      </c>
      <c r="G238" s="1">
        <v>1996</v>
      </c>
      <c r="H238" s="1">
        <v>16</v>
      </c>
      <c r="I238" s="7">
        <v>35186</v>
      </c>
      <c r="J238" s="12">
        <v>40089</v>
      </c>
      <c r="K238" s="13" t="s">
        <v>59</v>
      </c>
      <c r="L238" s="9" t="e">
        <f t="shared" ca="1" si="0"/>
        <v>#NAME?</v>
      </c>
      <c r="M238" s="9" t="str">
        <f t="shared" si="1"/>
        <v>N/A</v>
      </c>
      <c r="N238" s="10" t="str">
        <f t="shared" si="2"/>
        <v>N/A</v>
      </c>
      <c r="O238" s="1" t="s">
        <v>38</v>
      </c>
      <c r="P238" s="1"/>
      <c r="Q238" s="1" t="s">
        <v>39</v>
      </c>
      <c r="R238" s="1" t="s">
        <v>1038</v>
      </c>
      <c r="S238" s="1" t="s">
        <v>1039</v>
      </c>
      <c r="T238" s="1" t="s">
        <v>62</v>
      </c>
      <c r="U238" s="1" t="s">
        <v>654</v>
      </c>
      <c r="X238" s="1">
        <v>0</v>
      </c>
      <c r="Y238" s="7"/>
      <c r="Z238" s="7"/>
      <c r="AA238" s="1">
        <v>0</v>
      </c>
      <c r="AB238" s="1">
        <v>0</v>
      </c>
      <c r="AC238" s="1">
        <v>0</v>
      </c>
      <c r="AE238" s="6">
        <v>40089</v>
      </c>
      <c r="AG238" s="1" t="s">
        <v>1040</v>
      </c>
    </row>
    <row r="239" spans="1:33" ht="13">
      <c r="A239" s="1" t="s">
        <v>1041</v>
      </c>
      <c r="B239" s="1" t="s">
        <v>34</v>
      </c>
      <c r="C239" s="1" t="s">
        <v>35</v>
      </c>
      <c r="D239" s="1"/>
      <c r="E239" s="6">
        <v>19122</v>
      </c>
      <c r="F239" s="1" t="s">
        <v>124</v>
      </c>
      <c r="G239" s="1">
        <v>1996</v>
      </c>
      <c r="H239" s="1">
        <v>16</v>
      </c>
      <c r="I239" s="7">
        <v>35186</v>
      </c>
      <c r="J239" s="7">
        <v>38883</v>
      </c>
      <c r="K239" s="8" t="s">
        <v>37</v>
      </c>
      <c r="L239" s="9" t="e">
        <f t="shared" ca="1" si="0"/>
        <v>#NAME?</v>
      </c>
      <c r="M239" s="9" t="e">
        <f t="shared" ca="1" si="1"/>
        <v>#NAME?</v>
      </c>
      <c r="N239" s="10" t="e">
        <f t="shared" ca="1" si="2"/>
        <v>#NAME?</v>
      </c>
      <c r="O239" s="1" t="s">
        <v>38</v>
      </c>
      <c r="P239" s="1"/>
      <c r="Q239" s="1" t="s">
        <v>521</v>
      </c>
      <c r="R239" s="1" t="s">
        <v>1042</v>
      </c>
      <c r="S239" s="1" t="s">
        <v>1043</v>
      </c>
      <c r="T239" s="1" t="s">
        <v>87</v>
      </c>
      <c r="U239" s="1" t="s">
        <v>1044</v>
      </c>
      <c r="X239" s="1">
        <v>1</v>
      </c>
      <c r="Y239" s="7">
        <v>38559</v>
      </c>
      <c r="Z239" s="7">
        <v>38559</v>
      </c>
      <c r="AA239" s="1">
        <v>333</v>
      </c>
      <c r="AB239" s="1">
        <v>0</v>
      </c>
      <c r="AC239" s="1">
        <v>0</v>
      </c>
      <c r="AD239" s="1" t="s">
        <v>1045</v>
      </c>
    </row>
    <row r="240" spans="1:33" ht="13">
      <c r="A240" s="1" t="s">
        <v>1046</v>
      </c>
      <c r="B240" s="1" t="s">
        <v>34</v>
      </c>
      <c r="C240" s="1" t="s">
        <v>35</v>
      </c>
      <c r="D240" s="1"/>
      <c r="E240" s="6">
        <v>20940</v>
      </c>
      <c r="F240" s="1" t="s">
        <v>84</v>
      </c>
      <c r="G240" s="1">
        <v>1996</v>
      </c>
      <c r="H240" s="1">
        <v>16</v>
      </c>
      <c r="I240" s="7">
        <v>35186</v>
      </c>
      <c r="J240" s="7">
        <v>38275</v>
      </c>
      <c r="K240" s="8" t="s">
        <v>37</v>
      </c>
      <c r="L240" s="9" t="e">
        <f t="shared" ca="1" si="0"/>
        <v>#NAME?</v>
      </c>
      <c r="M240" s="9" t="e">
        <f t="shared" ca="1" si="1"/>
        <v>#NAME?</v>
      </c>
      <c r="N240" s="10" t="e">
        <f t="shared" ca="1" si="2"/>
        <v>#NAME?</v>
      </c>
      <c r="O240" s="1" t="s">
        <v>38</v>
      </c>
      <c r="P240" s="1"/>
      <c r="Q240" s="1" t="s">
        <v>90</v>
      </c>
      <c r="R240" s="1" t="s">
        <v>1047</v>
      </c>
      <c r="S240" s="1" t="s">
        <v>1048</v>
      </c>
      <c r="T240" s="1" t="s">
        <v>1049</v>
      </c>
      <c r="U240" s="1" t="s">
        <v>87</v>
      </c>
      <c r="V240" s="1" t="s">
        <v>63</v>
      </c>
      <c r="W240" s="1" t="s">
        <v>50</v>
      </c>
      <c r="X240" s="1">
        <v>1</v>
      </c>
      <c r="Y240" s="7">
        <v>37316</v>
      </c>
      <c r="Z240" s="7">
        <v>37316</v>
      </c>
      <c r="AA240" s="1">
        <v>262</v>
      </c>
      <c r="AB240" s="1">
        <v>0</v>
      </c>
      <c r="AC240" s="1">
        <v>0</v>
      </c>
      <c r="AD240" s="1" t="s">
        <v>1050</v>
      </c>
    </row>
    <row r="241" spans="1:33" ht="13">
      <c r="A241" s="1" t="s">
        <v>1051</v>
      </c>
      <c r="B241" s="1" t="s">
        <v>394</v>
      </c>
      <c r="C241" s="1" t="s">
        <v>35</v>
      </c>
      <c r="D241" s="1"/>
      <c r="E241" s="6">
        <v>22350</v>
      </c>
      <c r="F241" s="1" t="s">
        <v>124</v>
      </c>
      <c r="G241" s="1">
        <v>1996</v>
      </c>
      <c r="H241" s="1">
        <v>16</v>
      </c>
      <c r="I241" s="7">
        <v>35186</v>
      </c>
      <c r="J241" s="12">
        <v>37653</v>
      </c>
      <c r="K241" s="13" t="s">
        <v>59</v>
      </c>
      <c r="L241" s="9" t="e">
        <f t="shared" ca="1" si="0"/>
        <v>#NAME?</v>
      </c>
      <c r="M241" s="9" t="e">
        <f t="shared" ca="1" si="1"/>
        <v>#NAME?</v>
      </c>
      <c r="N241" s="10" t="e">
        <f t="shared" ca="1" si="2"/>
        <v>#NAME?</v>
      </c>
      <c r="O241" s="1" t="s">
        <v>38</v>
      </c>
      <c r="P241" s="1"/>
      <c r="Q241" s="1" t="s">
        <v>39</v>
      </c>
      <c r="R241" s="1" t="s">
        <v>1052</v>
      </c>
      <c r="S241" s="1" t="s">
        <v>1053</v>
      </c>
      <c r="T241" s="1" t="s">
        <v>1054</v>
      </c>
      <c r="U241" s="1" t="s">
        <v>201</v>
      </c>
      <c r="V241" s="1" t="s">
        <v>71</v>
      </c>
      <c r="W241" s="1" t="s">
        <v>150</v>
      </c>
      <c r="X241" s="1">
        <v>1</v>
      </c>
      <c r="Y241" s="7">
        <v>37637</v>
      </c>
      <c r="Z241" s="7">
        <v>37637</v>
      </c>
      <c r="AA241" s="1">
        <v>382</v>
      </c>
      <c r="AB241" s="1">
        <v>0</v>
      </c>
      <c r="AC241" s="1">
        <v>0</v>
      </c>
      <c r="AD241" s="1" t="s">
        <v>952</v>
      </c>
      <c r="AE241" s="6">
        <v>37653</v>
      </c>
      <c r="AF241" s="1" t="s">
        <v>952</v>
      </c>
    </row>
    <row r="242" spans="1:33" ht="13">
      <c r="A242" s="1" t="s">
        <v>1055</v>
      </c>
      <c r="B242" s="1" t="s">
        <v>34</v>
      </c>
      <c r="C242" s="1" t="s">
        <v>35</v>
      </c>
      <c r="D242" s="1"/>
      <c r="E242" s="6">
        <v>24545</v>
      </c>
      <c r="F242" s="1" t="s">
        <v>84</v>
      </c>
      <c r="G242" s="1">
        <v>1996</v>
      </c>
      <c r="H242" s="1">
        <v>16</v>
      </c>
      <c r="I242" s="7">
        <v>35186</v>
      </c>
      <c r="J242" s="7">
        <f ca="1">TODAY()</f>
        <v>44606</v>
      </c>
      <c r="K242" s="8" t="s">
        <v>1056</v>
      </c>
      <c r="L242" s="9" t="e">
        <f t="shared" ca="1" si="0"/>
        <v>#NAME?</v>
      </c>
      <c r="M242" s="9" t="e">
        <f t="shared" ca="1" si="1"/>
        <v>#NAME?</v>
      </c>
      <c r="N242" s="10" t="e">
        <f t="shared" ca="1" si="2"/>
        <v>#NAME?</v>
      </c>
      <c r="O242" s="1" t="s">
        <v>38</v>
      </c>
      <c r="P242" s="1"/>
      <c r="Q242" s="1" t="s">
        <v>1057</v>
      </c>
      <c r="R242" s="1" t="s">
        <v>245</v>
      </c>
      <c r="S242" s="1" t="s">
        <v>1058</v>
      </c>
      <c r="T242" s="1" t="s">
        <v>1059</v>
      </c>
      <c r="U242" s="1" t="s">
        <v>1060</v>
      </c>
      <c r="V242" s="1" t="s">
        <v>49</v>
      </c>
      <c r="W242" s="1" t="s">
        <v>64</v>
      </c>
      <c r="X242" s="1">
        <v>3</v>
      </c>
      <c r="Y242" s="7">
        <v>38095</v>
      </c>
      <c r="Z242" s="7">
        <v>40679</v>
      </c>
      <c r="AA242" s="1">
        <v>9159</v>
      </c>
      <c r="AB242" s="1">
        <v>9</v>
      </c>
      <c r="AC242" s="1">
        <v>48</v>
      </c>
      <c r="AD242" s="1" t="s">
        <v>1061</v>
      </c>
    </row>
    <row r="243" spans="1:33" ht="13">
      <c r="A243" s="1" t="s">
        <v>1062</v>
      </c>
      <c r="B243" s="1" t="s">
        <v>34</v>
      </c>
      <c r="C243" s="1" t="s">
        <v>35</v>
      </c>
      <c r="D243" s="1"/>
      <c r="E243" s="6">
        <v>20910</v>
      </c>
      <c r="F243" s="1" t="s">
        <v>84</v>
      </c>
      <c r="G243" s="1">
        <v>1996</v>
      </c>
      <c r="H243" s="1">
        <v>16</v>
      </c>
      <c r="I243" s="7">
        <v>35186</v>
      </c>
      <c r="J243" s="7">
        <v>41060</v>
      </c>
      <c r="K243" s="8" t="s">
        <v>37</v>
      </c>
      <c r="L243" s="9" t="e">
        <f t="shared" ca="1" si="0"/>
        <v>#NAME?</v>
      </c>
      <c r="M243" s="9" t="e">
        <f t="shared" ca="1" si="1"/>
        <v>#NAME?</v>
      </c>
      <c r="N243" s="10" t="e">
        <f t="shared" ca="1" si="2"/>
        <v>#NAME?</v>
      </c>
      <c r="O243" s="1" t="s">
        <v>38</v>
      </c>
      <c r="P243" s="1"/>
      <c r="Q243" s="1" t="s">
        <v>521</v>
      </c>
      <c r="R243" s="1" t="s">
        <v>1063</v>
      </c>
      <c r="S243" s="1" t="s">
        <v>1064</v>
      </c>
      <c r="T243" s="1" t="s">
        <v>821</v>
      </c>
      <c r="U243" s="1" t="s">
        <v>1065</v>
      </c>
      <c r="V243" s="1" t="s">
        <v>49</v>
      </c>
      <c r="W243" s="1" t="s">
        <v>490</v>
      </c>
      <c r="X243" s="1">
        <v>3</v>
      </c>
      <c r="Y243" s="7">
        <v>37113</v>
      </c>
      <c r="Z243" s="7">
        <v>40053</v>
      </c>
      <c r="AA243" s="1">
        <v>950</v>
      </c>
      <c r="AB243" s="1">
        <v>4</v>
      </c>
      <c r="AC243" s="1">
        <v>25</v>
      </c>
      <c r="AD243" s="1" t="s">
        <v>1066</v>
      </c>
    </row>
    <row r="244" spans="1:33" ht="13">
      <c r="A244" s="1" t="s">
        <v>1067</v>
      </c>
      <c r="B244" s="1" t="s">
        <v>34</v>
      </c>
      <c r="C244" s="1" t="s">
        <v>35</v>
      </c>
      <c r="D244" s="1"/>
      <c r="E244" s="6">
        <v>22554</v>
      </c>
      <c r="F244" s="1" t="s">
        <v>84</v>
      </c>
      <c r="G244" s="1">
        <v>1996</v>
      </c>
      <c r="H244" s="1">
        <v>16</v>
      </c>
      <c r="I244" s="7">
        <v>35186</v>
      </c>
      <c r="J244" s="7">
        <v>42198</v>
      </c>
      <c r="K244" s="8" t="s">
        <v>37</v>
      </c>
      <c r="L244" s="9" t="e">
        <f t="shared" ca="1" si="0"/>
        <v>#NAME?</v>
      </c>
      <c r="M244" s="9" t="e">
        <f t="shared" ca="1" si="1"/>
        <v>#NAME?</v>
      </c>
      <c r="N244" s="10" t="e">
        <f t="shared" ca="1" si="2"/>
        <v>#NAME?</v>
      </c>
      <c r="O244" s="1" t="s">
        <v>38</v>
      </c>
      <c r="P244" s="1"/>
      <c r="Q244" s="1" t="s">
        <v>521</v>
      </c>
      <c r="R244" s="1" t="s">
        <v>245</v>
      </c>
      <c r="S244" s="1" t="s">
        <v>565</v>
      </c>
      <c r="T244" s="1" t="s">
        <v>87</v>
      </c>
      <c r="U244" s="1" t="s">
        <v>42</v>
      </c>
      <c r="V244" s="1" t="s">
        <v>71</v>
      </c>
      <c r="W244" s="1" t="s">
        <v>44</v>
      </c>
      <c r="X244" s="1">
        <v>2</v>
      </c>
      <c r="Y244" s="7">
        <v>37354</v>
      </c>
      <c r="Z244" s="7">
        <v>39485</v>
      </c>
      <c r="AA244" s="1">
        <v>566</v>
      </c>
      <c r="AB244" s="1">
        <v>0</v>
      </c>
      <c r="AC244" s="1">
        <v>0</v>
      </c>
      <c r="AD244" s="1" t="s">
        <v>1068</v>
      </c>
    </row>
    <row r="245" spans="1:33" ht="13">
      <c r="A245" s="1" t="s">
        <v>1069</v>
      </c>
      <c r="B245" s="1" t="s">
        <v>34</v>
      </c>
      <c r="C245" s="1" t="s">
        <v>35</v>
      </c>
      <c r="D245" s="1"/>
      <c r="E245" s="6">
        <v>21442</v>
      </c>
      <c r="F245" s="1" t="s">
        <v>36</v>
      </c>
      <c r="G245" s="1">
        <v>1996</v>
      </c>
      <c r="H245" s="1">
        <v>16</v>
      </c>
      <c r="I245" s="7">
        <v>35186</v>
      </c>
      <c r="J245" s="7">
        <v>38604</v>
      </c>
      <c r="K245" s="8" t="s">
        <v>37</v>
      </c>
      <c r="L245" s="9" t="e">
        <f t="shared" ca="1" si="0"/>
        <v>#NAME?</v>
      </c>
      <c r="M245" s="9" t="e">
        <f t="shared" ca="1" si="1"/>
        <v>#NAME?</v>
      </c>
      <c r="N245" s="10" t="e">
        <f t="shared" ca="1" si="2"/>
        <v>#NAME?</v>
      </c>
      <c r="O245" s="1" t="s">
        <v>38</v>
      </c>
      <c r="P245" s="1"/>
      <c r="Q245" s="1" t="s">
        <v>90</v>
      </c>
      <c r="R245" s="1" t="s">
        <v>1070</v>
      </c>
      <c r="S245" s="1" t="s">
        <v>1071</v>
      </c>
      <c r="T245" s="1" t="s">
        <v>709</v>
      </c>
      <c r="U245" s="1" t="s">
        <v>42</v>
      </c>
      <c r="V245" s="1" t="s">
        <v>43</v>
      </c>
      <c r="W245" s="1" t="s">
        <v>44</v>
      </c>
      <c r="X245" s="1">
        <v>1</v>
      </c>
      <c r="Y245" s="7">
        <v>37583</v>
      </c>
      <c r="Z245" s="7">
        <v>37583</v>
      </c>
      <c r="AA245" s="1">
        <v>330</v>
      </c>
      <c r="AB245" s="1">
        <v>3</v>
      </c>
      <c r="AC245" s="1">
        <v>20</v>
      </c>
      <c r="AD245" s="1" t="s">
        <v>1072</v>
      </c>
    </row>
    <row r="246" spans="1:33" ht="13">
      <c r="A246" s="1" t="s">
        <v>1073</v>
      </c>
      <c r="B246" s="1" t="s">
        <v>394</v>
      </c>
      <c r="C246" s="1" t="s">
        <v>361</v>
      </c>
      <c r="D246" s="1"/>
      <c r="E246" s="6">
        <v>23592</v>
      </c>
      <c r="F246" s="1" t="s">
        <v>84</v>
      </c>
      <c r="G246" s="1">
        <v>1996</v>
      </c>
      <c r="H246" s="1">
        <v>16</v>
      </c>
      <c r="I246" s="7">
        <v>35186</v>
      </c>
      <c r="J246" s="7">
        <v>39401</v>
      </c>
      <c r="K246" s="8" t="s">
        <v>37</v>
      </c>
      <c r="L246" s="9" t="e">
        <f t="shared" ca="1" si="0"/>
        <v>#NAME?</v>
      </c>
      <c r="M246" s="9" t="e">
        <f t="shared" ca="1" si="1"/>
        <v>#NAME?</v>
      </c>
      <c r="N246" s="10" t="e">
        <f t="shared" ca="1" si="2"/>
        <v>#NAME?</v>
      </c>
      <c r="O246" s="1" t="s">
        <v>38</v>
      </c>
      <c r="P246" s="1"/>
      <c r="Q246" s="1" t="s">
        <v>90</v>
      </c>
      <c r="R246" s="1" t="s">
        <v>102</v>
      </c>
      <c r="S246" s="1" t="s">
        <v>1074</v>
      </c>
      <c r="T246" s="1" t="s">
        <v>139</v>
      </c>
      <c r="U246" s="1" t="s">
        <v>1075</v>
      </c>
      <c r="X246" s="1">
        <v>1</v>
      </c>
      <c r="Y246" s="7">
        <v>39060</v>
      </c>
      <c r="Z246" s="7">
        <v>39060</v>
      </c>
      <c r="AA246" s="1">
        <v>308</v>
      </c>
      <c r="AB246" s="1">
        <v>0</v>
      </c>
      <c r="AC246" s="1">
        <v>0</v>
      </c>
      <c r="AD246" s="1" t="s">
        <v>1076</v>
      </c>
    </row>
    <row r="247" spans="1:33" ht="13">
      <c r="A247" s="1" t="s">
        <v>1077</v>
      </c>
      <c r="B247" s="1" t="s">
        <v>34</v>
      </c>
      <c r="C247" s="1" t="s">
        <v>35</v>
      </c>
      <c r="D247" s="1"/>
      <c r="E247" s="6">
        <v>22590</v>
      </c>
      <c r="F247" s="1" t="s">
        <v>36</v>
      </c>
      <c r="G247" s="1">
        <v>1996</v>
      </c>
      <c r="H247" s="1">
        <v>16</v>
      </c>
      <c r="I247" s="7">
        <v>35186</v>
      </c>
      <c r="J247" s="7">
        <v>40809</v>
      </c>
      <c r="K247" s="8" t="s">
        <v>37</v>
      </c>
      <c r="L247" s="9" t="e">
        <f t="shared" ca="1" si="0"/>
        <v>#NAME?</v>
      </c>
      <c r="M247" s="9" t="e">
        <f t="shared" ca="1" si="1"/>
        <v>#NAME?</v>
      </c>
      <c r="N247" s="10" t="e">
        <f t="shared" ca="1" si="2"/>
        <v>#NAME?</v>
      </c>
      <c r="O247" s="1" t="s">
        <v>38</v>
      </c>
      <c r="P247" s="1"/>
      <c r="Q247" s="1" t="s">
        <v>90</v>
      </c>
      <c r="R247" s="1" t="s">
        <v>1078</v>
      </c>
      <c r="S247" s="1" t="s">
        <v>69</v>
      </c>
      <c r="T247" s="1" t="s">
        <v>87</v>
      </c>
      <c r="V247" s="1" t="s">
        <v>49</v>
      </c>
      <c r="W247" s="1" t="s">
        <v>56</v>
      </c>
      <c r="X247" s="1">
        <v>3</v>
      </c>
      <c r="Y247" s="7">
        <v>37084</v>
      </c>
      <c r="Z247" s="7">
        <v>40133</v>
      </c>
      <c r="AA247" s="1">
        <v>873</v>
      </c>
      <c r="AB247" s="1">
        <v>0</v>
      </c>
      <c r="AC247" s="1">
        <v>0</v>
      </c>
      <c r="AD247" s="1" t="s">
        <v>1079</v>
      </c>
    </row>
    <row r="248" spans="1:33" ht="13">
      <c r="A248" s="1" t="s">
        <v>1080</v>
      </c>
      <c r="B248" s="1" t="s">
        <v>34</v>
      </c>
      <c r="C248" s="1" t="s">
        <v>35</v>
      </c>
      <c r="D248" s="1"/>
      <c r="E248" s="6">
        <v>23511</v>
      </c>
      <c r="F248" s="1" t="s">
        <v>84</v>
      </c>
      <c r="G248" s="1">
        <v>1996</v>
      </c>
      <c r="H248" s="1">
        <v>16</v>
      </c>
      <c r="I248" s="7">
        <v>35186</v>
      </c>
      <c r="J248" s="7">
        <v>40527</v>
      </c>
      <c r="K248" s="8" t="s">
        <v>37</v>
      </c>
      <c r="L248" s="9" t="e">
        <f t="shared" ca="1" si="0"/>
        <v>#NAME?</v>
      </c>
      <c r="M248" s="9" t="e">
        <f t="shared" ca="1" si="1"/>
        <v>#NAME?</v>
      </c>
      <c r="N248" s="10" t="e">
        <f t="shared" ca="1" si="2"/>
        <v>#NAME?</v>
      </c>
      <c r="O248" s="1" t="s">
        <v>38</v>
      </c>
      <c r="P248" s="1"/>
      <c r="Q248" s="1" t="s">
        <v>521</v>
      </c>
      <c r="R248" s="1" t="s">
        <v>1081</v>
      </c>
      <c r="S248" s="1" t="s">
        <v>1082</v>
      </c>
      <c r="T248" s="1" t="s">
        <v>104</v>
      </c>
      <c r="U248" s="1" t="s">
        <v>87</v>
      </c>
      <c r="V248" s="1" t="s">
        <v>49</v>
      </c>
      <c r="W248" s="1" t="s">
        <v>50</v>
      </c>
      <c r="X248" s="1">
        <v>2</v>
      </c>
      <c r="Y248" s="7">
        <v>36958</v>
      </c>
      <c r="Z248" s="7">
        <v>38559</v>
      </c>
      <c r="AA248" s="1">
        <v>641</v>
      </c>
      <c r="AB248" s="1">
        <v>0</v>
      </c>
      <c r="AC248" s="1">
        <v>0</v>
      </c>
      <c r="AD248" s="1" t="s">
        <v>1083</v>
      </c>
    </row>
    <row r="249" spans="1:33" ht="13">
      <c r="A249" s="1" t="s">
        <v>1084</v>
      </c>
      <c r="B249" s="1" t="s">
        <v>34</v>
      </c>
      <c r="C249" s="1" t="s">
        <v>35</v>
      </c>
      <c r="D249" s="1"/>
      <c r="E249" s="6">
        <v>23428</v>
      </c>
      <c r="F249" s="1" t="s">
        <v>84</v>
      </c>
      <c r="G249" s="1">
        <v>1996</v>
      </c>
      <c r="H249" s="1">
        <v>16</v>
      </c>
      <c r="I249" s="7">
        <v>35186</v>
      </c>
      <c r="J249" s="7">
        <v>40817</v>
      </c>
      <c r="K249" s="8" t="s">
        <v>37</v>
      </c>
      <c r="L249" s="9" t="e">
        <f t="shared" ca="1" si="0"/>
        <v>#NAME?</v>
      </c>
      <c r="M249" s="9" t="e">
        <f t="shared" ca="1" si="1"/>
        <v>#NAME?</v>
      </c>
      <c r="N249" s="10" t="e">
        <f t="shared" ca="1" si="2"/>
        <v>#NAME?</v>
      </c>
      <c r="O249" s="1" t="s">
        <v>38</v>
      </c>
      <c r="P249" s="1"/>
      <c r="Q249" s="1" t="s">
        <v>90</v>
      </c>
      <c r="R249" s="1" t="s">
        <v>1085</v>
      </c>
      <c r="S249" s="1" t="s">
        <v>1086</v>
      </c>
      <c r="T249" s="1" t="s">
        <v>1087</v>
      </c>
      <c r="U249" s="1" t="s">
        <v>42</v>
      </c>
      <c r="V249" s="1" t="s">
        <v>71</v>
      </c>
      <c r="W249" s="1" t="s">
        <v>44</v>
      </c>
      <c r="X249" s="1">
        <v>4</v>
      </c>
      <c r="Y249" s="7">
        <v>37230</v>
      </c>
      <c r="Z249" s="7">
        <v>40679</v>
      </c>
      <c r="AA249" s="1">
        <v>1298</v>
      </c>
      <c r="AB249" s="1">
        <v>0</v>
      </c>
      <c r="AC249" s="1">
        <v>0</v>
      </c>
      <c r="AD249" s="1" t="s">
        <v>1088</v>
      </c>
    </row>
    <row r="250" spans="1:33" ht="13">
      <c r="A250" s="1" t="s">
        <v>1089</v>
      </c>
      <c r="B250" s="1" t="s">
        <v>34</v>
      </c>
      <c r="C250" s="1" t="s">
        <v>35</v>
      </c>
      <c r="D250" s="1"/>
      <c r="E250" s="6">
        <v>23428</v>
      </c>
      <c r="F250" s="1" t="s">
        <v>36</v>
      </c>
      <c r="G250" s="1">
        <v>1996</v>
      </c>
      <c r="H250" s="1">
        <v>16</v>
      </c>
      <c r="I250" s="7">
        <v>35186</v>
      </c>
      <c r="J250" s="7">
        <v>42444</v>
      </c>
      <c r="K250" s="8" t="s">
        <v>37</v>
      </c>
      <c r="L250" s="9" t="e">
        <f t="shared" ca="1" si="0"/>
        <v>#NAME?</v>
      </c>
      <c r="M250" s="9" t="e">
        <f t="shared" ca="1" si="1"/>
        <v>#NAME?</v>
      </c>
      <c r="N250" s="10" t="e">
        <f t="shared" ca="1" si="2"/>
        <v>#NAME?</v>
      </c>
      <c r="O250" s="1" t="s">
        <v>38</v>
      </c>
      <c r="P250" s="1"/>
      <c r="Q250" s="8" t="s">
        <v>90</v>
      </c>
      <c r="R250" s="1" t="s">
        <v>1085</v>
      </c>
      <c r="S250" s="1" t="s">
        <v>1090</v>
      </c>
      <c r="T250" s="1" t="s">
        <v>139</v>
      </c>
      <c r="U250" s="1" t="s">
        <v>955</v>
      </c>
      <c r="V250" s="1" t="s">
        <v>71</v>
      </c>
      <c r="W250" s="1" t="s">
        <v>44</v>
      </c>
      <c r="X250" s="1">
        <v>4</v>
      </c>
      <c r="Y250" s="7">
        <v>36513</v>
      </c>
      <c r="Z250" s="7">
        <v>42090</v>
      </c>
      <c r="AA250" s="1">
        <v>12490</v>
      </c>
      <c r="AB250" s="1">
        <v>3</v>
      </c>
      <c r="AC250" s="1">
        <v>18</v>
      </c>
      <c r="AD250" s="1" t="s">
        <v>1091</v>
      </c>
    </row>
    <row r="251" spans="1:33" ht="13">
      <c r="A251" s="1" t="s">
        <v>1092</v>
      </c>
      <c r="B251" s="1" t="s">
        <v>34</v>
      </c>
      <c r="C251" s="1" t="s">
        <v>35</v>
      </c>
      <c r="D251" s="1"/>
      <c r="E251" s="6">
        <v>20573</v>
      </c>
      <c r="F251" s="1" t="s">
        <v>84</v>
      </c>
      <c r="G251" s="1">
        <v>1996</v>
      </c>
      <c r="H251" s="1">
        <v>16</v>
      </c>
      <c r="I251" s="7">
        <v>35186</v>
      </c>
      <c r="J251" s="7">
        <v>38353</v>
      </c>
      <c r="K251" s="8" t="s">
        <v>37</v>
      </c>
      <c r="L251" s="9" t="e">
        <f t="shared" ca="1" si="0"/>
        <v>#NAME?</v>
      </c>
      <c r="M251" s="9" t="e">
        <f t="shared" ca="1" si="1"/>
        <v>#NAME?</v>
      </c>
      <c r="N251" s="10" t="e">
        <f t="shared" ca="1" si="2"/>
        <v>#NAME?</v>
      </c>
      <c r="O251" s="1" t="s">
        <v>38</v>
      </c>
      <c r="P251" s="1"/>
      <c r="Q251" s="1" t="s">
        <v>90</v>
      </c>
      <c r="R251" s="1" t="s">
        <v>981</v>
      </c>
      <c r="S251" s="1" t="s">
        <v>1093</v>
      </c>
      <c r="T251" s="1" t="s">
        <v>272</v>
      </c>
      <c r="U251" s="1" t="s">
        <v>87</v>
      </c>
      <c r="V251" s="1" t="s">
        <v>49</v>
      </c>
      <c r="W251" s="1" t="s">
        <v>50</v>
      </c>
      <c r="X251" s="1">
        <v>2</v>
      </c>
      <c r="Y251" s="7">
        <v>37412</v>
      </c>
      <c r="Z251" s="7">
        <v>37583</v>
      </c>
      <c r="AA251" s="1">
        <v>663</v>
      </c>
      <c r="AB251" s="1">
        <v>0</v>
      </c>
      <c r="AC251" s="1">
        <v>0</v>
      </c>
      <c r="AD251" s="1" t="s">
        <v>1094</v>
      </c>
    </row>
    <row r="252" spans="1:33" ht="13">
      <c r="A252" s="1" t="s">
        <v>1095</v>
      </c>
      <c r="B252" s="1" t="s">
        <v>34</v>
      </c>
      <c r="C252" s="1" t="s">
        <v>530</v>
      </c>
      <c r="D252" s="1"/>
      <c r="E252" s="6">
        <v>22106</v>
      </c>
      <c r="F252" s="1" t="s">
        <v>84</v>
      </c>
      <c r="G252" s="1">
        <v>1996</v>
      </c>
      <c r="H252" s="1">
        <v>16</v>
      </c>
      <c r="I252" s="7">
        <v>35186</v>
      </c>
      <c r="J252" s="7">
        <v>38398</v>
      </c>
      <c r="K252" s="8" t="s">
        <v>37</v>
      </c>
      <c r="L252" s="9" t="e">
        <f t="shared" ca="1" si="0"/>
        <v>#NAME?</v>
      </c>
      <c r="M252" s="9" t="str">
        <f t="shared" si="1"/>
        <v>N/A</v>
      </c>
      <c r="N252" s="10" t="str">
        <f t="shared" si="2"/>
        <v>N/A</v>
      </c>
      <c r="O252" s="1" t="s">
        <v>38</v>
      </c>
      <c r="P252" s="1"/>
      <c r="Q252" s="1" t="s">
        <v>90</v>
      </c>
      <c r="R252" s="1" t="s">
        <v>1096</v>
      </c>
      <c r="S252" s="1" t="s">
        <v>1097</v>
      </c>
      <c r="T252" s="1" t="s">
        <v>55</v>
      </c>
      <c r="U252" s="1" t="s">
        <v>683</v>
      </c>
      <c r="V252" s="1" t="s">
        <v>49</v>
      </c>
      <c r="W252" s="1" t="s">
        <v>56</v>
      </c>
      <c r="X252" s="1">
        <v>0</v>
      </c>
      <c r="Y252" s="7"/>
      <c r="Z252" s="7"/>
      <c r="AA252" s="1">
        <v>0</v>
      </c>
      <c r="AB252" s="1">
        <v>0</v>
      </c>
      <c r="AC252" s="1">
        <v>0</v>
      </c>
      <c r="AG252" s="1" t="s">
        <v>1098</v>
      </c>
    </row>
    <row r="253" spans="1:33" ht="13">
      <c r="A253" s="1" t="s">
        <v>1099</v>
      </c>
      <c r="B253" s="1" t="s">
        <v>394</v>
      </c>
      <c r="C253" s="1" t="s">
        <v>35</v>
      </c>
      <c r="D253" s="1"/>
      <c r="E253" s="6">
        <v>23680</v>
      </c>
      <c r="F253" s="1" t="s">
        <v>124</v>
      </c>
      <c r="G253" s="1">
        <v>1996</v>
      </c>
      <c r="H253" s="1">
        <v>16</v>
      </c>
      <c r="I253" s="7">
        <v>35186</v>
      </c>
      <c r="J253" s="7">
        <v>41204</v>
      </c>
      <c r="K253" s="8" t="s">
        <v>37</v>
      </c>
      <c r="L253" s="9" t="e">
        <f t="shared" ca="1" si="0"/>
        <v>#NAME?</v>
      </c>
      <c r="M253" s="9" t="e">
        <f t="shared" ca="1" si="1"/>
        <v>#NAME?</v>
      </c>
      <c r="N253" s="10" t="e">
        <f t="shared" ca="1" si="2"/>
        <v>#NAME?</v>
      </c>
      <c r="O253" s="1" t="s">
        <v>38</v>
      </c>
      <c r="P253" s="1"/>
      <c r="Q253" s="1" t="s">
        <v>90</v>
      </c>
      <c r="R253" s="1" t="s">
        <v>1100</v>
      </c>
      <c r="S253" s="1" t="s">
        <v>1101</v>
      </c>
      <c r="T253" s="1" t="s">
        <v>158</v>
      </c>
      <c r="U253" s="1" t="s">
        <v>1102</v>
      </c>
      <c r="X253" s="1">
        <v>3</v>
      </c>
      <c r="Y253" s="7">
        <v>37536</v>
      </c>
      <c r="Z253" s="7">
        <v>40732</v>
      </c>
      <c r="AA253" s="1">
        <v>3776</v>
      </c>
      <c r="AB253" s="1">
        <v>0</v>
      </c>
      <c r="AC253" s="1">
        <v>0</v>
      </c>
      <c r="AD253" s="1" t="s">
        <v>1103</v>
      </c>
    </row>
    <row r="254" spans="1:33" ht="13">
      <c r="A254" s="1" t="s">
        <v>1104</v>
      </c>
      <c r="B254" s="1" t="s">
        <v>34</v>
      </c>
      <c r="C254" s="1" t="s">
        <v>35</v>
      </c>
      <c r="D254" s="1"/>
      <c r="E254" s="6">
        <v>22877</v>
      </c>
      <c r="F254" s="1" t="s">
        <v>124</v>
      </c>
      <c r="G254" s="1">
        <v>1996</v>
      </c>
      <c r="H254" s="1">
        <v>16</v>
      </c>
      <c r="I254" s="7">
        <v>35186</v>
      </c>
      <c r="J254" s="7">
        <v>41849</v>
      </c>
      <c r="K254" s="8" t="s">
        <v>37</v>
      </c>
      <c r="L254" s="9" t="e">
        <f t="shared" ca="1" si="0"/>
        <v>#NAME?</v>
      </c>
      <c r="M254" s="9" t="e">
        <f t="shared" ca="1" si="1"/>
        <v>#NAME?</v>
      </c>
      <c r="N254" s="10" t="e">
        <f t="shared" ca="1" si="2"/>
        <v>#NAME?</v>
      </c>
      <c r="O254" s="1" t="s">
        <v>38</v>
      </c>
      <c r="P254" s="1"/>
      <c r="Q254" s="1" t="s">
        <v>521</v>
      </c>
      <c r="R254" s="1" t="s">
        <v>1105</v>
      </c>
      <c r="S254" s="1" t="s">
        <v>1106</v>
      </c>
      <c r="T254" s="1" t="s">
        <v>1107</v>
      </c>
      <c r="U254" s="1" t="s">
        <v>1108</v>
      </c>
      <c r="X254" s="1">
        <v>2</v>
      </c>
      <c r="Y254" s="7">
        <v>37316</v>
      </c>
      <c r="Z254" s="7">
        <v>39944</v>
      </c>
      <c r="AA254" s="1">
        <v>571</v>
      </c>
      <c r="AB254" s="1">
        <v>4</v>
      </c>
      <c r="AC254" s="1">
        <v>30</v>
      </c>
      <c r="AD254" s="1" t="s">
        <v>1109</v>
      </c>
    </row>
    <row r="255" spans="1:33" ht="13">
      <c r="A255" s="1" t="s">
        <v>1110</v>
      </c>
      <c r="B255" s="1" t="s">
        <v>34</v>
      </c>
      <c r="C255" s="1" t="s">
        <v>35</v>
      </c>
      <c r="D255" s="1"/>
      <c r="E255" s="6">
        <v>21957</v>
      </c>
      <c r="F255" s="1" t="s">
        <v>84</v>
      </c>
      <c r="G255" s="1">
        <v>1996</v>
      </c>
      <c r="H255" s="1">
        <v>16</v>
      </c>
      <c r="I255" s="7">
        <v>35186</v>
      </c>
      <c r="J255" s="20">
        <v>42902</v>
      </c>
      <c r="K255" s="8" t="s">
        <v>37</v>
      </c>
      <c r="L255" s="9" t="e">
        <f t="shared" ca="1" si="0"/>
        <v>#NAME?</v>
      </c>
      <c r="M255" s="9" t="e">
        <f t="shared" ca="1" si="1"/>
        <v>#NAME?</v>
      </c>
      <c r="N255" s="10" t="e">
        <f t="shared" ca="1" si="2"/>
        <v>#NAME?</v>
      </c>
      <c r="O255" s="1" t="s">
        <v>38</v>
      </c>
      <c r="P255" s="1"/>
      <c r="Q255" s="8" t="s">
        <v>1111</v>
      </c>
      <c r="R255" s="1" t="s">
        <v>1112</v>
      </c>
      <c r="S255" s="1" t="s">
        <v>1113</v>
      </c>
      <c r="T255" s="1" t="s">
        <v>1114</v>
      </c>
      <c r="U255" s="1" t="s">
        <v>1115</v>
      </c>
      <c r="X255" s="1">
        <v>4</v>
      </c>
      <c r="Y255" s="7">
        <v>36777</v>
      </c>
      <c r="Z255" s="7">
        <v>41584</v>
      </c>
      <c r="AA255" s="1">
        <v>5461</v>
      </c>
      <c r="AB255" s="1">
        <v>9</v>
      </c>
      <c r="AC255" s="1">
        <v>53</v>
      </c>
      <c r="AD255" s="1" t="s">
        <v>1116</v>
      </c>
    </row>
    <row r="256" spans="1:33" ht="13">
      <c r="A256" s="1" t="s">
        <v>1117</v>
      </c>
      <c r="B256" s="1" t="s">
        <v>34</v>
      </c>
      <c r="C256" s="1" t="s">
        <v>35</v>
      </c>
      <c r="D256" s="1"/>
      <c r="E256" s="6">
        <v>22547</v>
      </c>
      <c r="F256" s="1" t="s">
        <v>84</v>
      </c>
      <c r="G256" s="1">
        <v>1996</v>
      </c>
      <c r="H256" s="1">
        <v>16</v>
      </c>
      <c r="I256" s="7">
        <v>35186</v>
      </c>
      <c r="J256" s="12">
        <v>37653</v>
      </c>
      <c r="K256" s="13" t="s">
        <v>59</v>
      </c>
      <c r="L256" s="9" t="e">
        <f t="shared" ca="1" si="0"/>
        <v>#NAME?</v>
      </c>
      <c r="M256" s="9" t="e">
        <f t="shared" ca="1" si="1"/>
        <v>#NAME?</v>
      </c>
      <c r="N256" s="10" t="e">
        <f t="shared" ca="1" si="2"/>
        <v>#NAME?</v>
      </c>
      <c r="O256" s="1" t="s">
        <v>38</v>
      </c>
      <c r="P256" s="1"/>
      <c r="Q256" s="1" t="s">
        <v>39</v>
      </c>
      <c r="R256" s="1" t="s">
        <v>643</v>
      </c>
      <c r="S256" s="1" t="s">
        <v>1118</v>
      </c>
      <c r="T256" s="1" t="s">
        <v>70</v>
      </c>
      <c r="U256" s="1" t="s">
        <v>1119</v>
      </c>
      <c r="V256" s="1" t="s">
        <v>43</v>
      </c>
      <c r="W256" s="1" t="s">
        <v>150</v>
      </c>
      <c r="X256" s="1">
        <v>1</v>
      </c>
      <c r="Y256" s="7">
        <v>37637</v>
      </c>
      <c r="Z256" s="7">
        <v>37637</v>
      </c>
      <c r="AA256" s="1">
        <v>382</v>
      </c>
      <c r="AB256" s="1">
        <v>0</v>
      </c>
      <c r="AC256" s="1">
        <v>0</v>
      </c>
      <c r="AD256" s="1" t="s">
        <v>952</v>
      </c>
      <c r="AE256" s="6">
        <v>37653</v>
      </c>
      <c r="AF256" s="1" t="s">
        <v>952</v>
      </c>
    </row>
    <row r="257" spans="1:30" ht="13">
      <c r="A257" s="1" t="s">
        <v>1120</v>
      </c>
      <c r="B257" s="1" t="s">
        <v>34</v>
      </c>
      <c r="C257" s="1" t="s">
        <v>35</v>
      </c>
      <c r="D257" s="1"/>
      <c r="E257" s="6">
        <v>19246</v>
      </c>
      <c r="F257" s="1" t="s">
        <v>124</v>
      </c>
      <c r="G257" s="1">
        <v>1996</v>
      </c>
      <c r="H257" s="1">
        <v>16</v>
      </c>
      <c r="I257" s="7">
        <v>35186</v>
      </c>
      <c r="J257" s="7">
        <f ca="1">TODAY()</f>
        <v>44606</v>
      </c>
      <c r="K257" s="8" t="s">
        <v>667</v>
      </c>
      <c r="L257" s="9" t="e">
        <f t="shared" ca="1" si="0"/>
        <v>#NAME?</v>
      </c>
      <c r="M257" s="9" t="e">
        <f t="shared" ca="1" si="1"/>
        <v>#NAME?</v>
      </c>
      <c r="N257" s="10" t="e">
        <f t="shared" ca="1" si="2"/>
        <v>#NAME?</v>
      </c>
      <c r="O257" s="1" t="s">
        <v>38</v>
      </c>
      <c r="P257" s="1"/>
      <c r="Q257" s="1" t="s">
        <v>521</v>
      </c>
      <c r="R257" s="1" t="s">
        <v>1121</v>
      </c>
      <c r="S257" s="1" t="s">
        <v>1122</v>
      </c>
      <c r="T257" s="1" t="s">
        <v>1123</v>
      </c>
      <c r="U257" s="1" t="s">
        <v>1124</v>
      </c>
      <c r="V257" s="1" t="s">
        <v>71</v>
      </c>
      <c r="W257" s="1" t="s">
        <v>150</v>
      </c>
      <c r="X257" s="1">
        <v>1</v>
      </c>
      <c r="Y257" s="7">
        <v>37354</v>
      </c>
      <c r="Z257" s="7">
        <v>37354</v>
      </c>
      <c r="AA257" s="1">
        <v>259</v>
      </c>
      <c r="AB257" s="1">
        <v>2</v>
      </c>
      <c r="AC257" s="1">
        <v>14</v>
      </c>
      <c r="AD257" s="1" t="s">
        <v>1125</v>
      </c>
    </row>
    <row r="258" spans="1:30" ht="13">
      <c r="A258" s="1" t="s">
        <v>1126</v>
      </c>
      <c r="B258" s="1" t="s">
        <v>394</v>
      </c>
      <c r="C258" s="1" t="s">
        <v>35</v>
      </c>
      <c r="D258" s="1"/>
      <c r="E258" s="6">
        <v>23141</v>
      </c>
      <c r="F258" s="1" t="s">
        <v>84</v>
      </c>
      <c r="G258" s="1">
        <v>1996</v>
      </c>
      <c r="H258" s="1">
        <v>16</v>
      </c>
      <c r="I258" s="7">
        <v>35186</v>
      </c>
      <c r="J258" s="17">
        <v>39149</v>
      </c>
      <c r="K258" s="8" t="s">
        <v>1127</v>
      </c>
      <c r="L258" s="9" t="e">
        <f t="shared" ca="1" si="0"/>
        <v>#NAME?</v>
      </c>
      <c r="M258" s="9" t="e">
        <f t="shared" ca="1" si="1"/>
        <v>#NAME?</v>
      </c>
      <c r="N258" s="10" t="e">
        <f t="shared" ca="1" si="2"/>
        <v>#NAME?</v>
      </c>
      <c r="O258" s="1" t="s">
        <v>38</v>
      </c>
      <c r="P258" s="1"/>
      <c r="Q258" s="1" t="s">
        <v>90</v>
      </c>
      <c r="R258" s="1" t="s">
        <v>407</v>
      </c>
      <c r="S258" s="1" t="s">
        <v>565</v>
      </c>
      <c r="T258" s="1" t="s">
        <v>87</v>
      </c>
      <c r="U258" s="1" t="s">
        <v>42</v>
      </c>
      <c r="V258" s="1" t="s">
        <v>71</v>
      </c>
      <c r="W258" s="1" t="s">
        <v>44</v>
      </c>
      <c r="X258" s="1">
        <v>1</v>
      </c>
      <c r="Y258" s="7">
        <v>38902</v>
      </c>
      <c r="Z258" s="7">
        <v>38902</v>
      </c>
      <c r="AA258" s="1">
        <v>306</v>
      </c>
      <c r="AB258" s="1">
        <v>0</v>
      </c>
      <c r="AC258" s="1">
        <v>0</v>
      </c>
      <c r="AD258" s="1" t="s">
        <v>1128</v>
      </c>
    </row>
    <row r="259" spans="1:30" ht="13">
      <c r="A259" s="1" t="s">
        <v>1129</v>
      </c>
      <c r="B259" s="1" t="s">
        <v>34</v>
      </c>
      <c r="C259" s="1" t="s">
        <v>35</v>
      </c>
      <c r="D259" s="1"/>
      <c r="E259" s="6">
        <v>20199</v>
      </c>
      <c r="F259" s="1" t="s">
        <v>124</v>
      </c>
      <c r="G259" s="1">
        <v>1996</v>
      </c>
      <c r="H259" s="1">
        <v>16</v>
      </c>
      <c r="I259" s="7">
        <v>35186</v>
      </c>
      <c r="J259" s="7">
        <f ca="1">TODAY()</f>
        <v>44606</v>
      </c>
      <c r="K259" s="8" t="s">
        <v>1056</v>
      </c>
      <c r="L259" s="9" t="e">
        <f t="shared" ca="1" si="0"/>
        <v>#NAME?</v>
      </c>
      <c r="M259" s="9" t="e">
        <f t="shared" ca="1" si="1"/>
        <v>#NAME?</v>
      </c>
      <c r="N259" s="10" t="e">
        <f t="shared" ca="1" si="2"/>
        <v>#NAME?</v>
      </c>
      <c r="O259" s="1" t="s">
        <v>38</v>
      </c>
      <c r="P259" s="1"/>
      <c r="Q259" s="1" t="s">
        <v>1057</v>
      </c>
      <c r="R259" s="1" t="s">
        <v>1130</v>
      </c>
      <c r="S259" s="1" t="s">
        <v>1131</v>
      </c>
      <c r="T259" s="1" t="s">
        <v>579</v>
      </c>
      <c r="U259" s="1" t="s">
        <v>579</v>
      </c>
      <c r="X259" s="1">
        <v>3</v>
      </c>
      <c r="Y259" s="7">
        <v>37583</v>
      </c>
      <c r="Z259" s="7">
        <v>40898</v>
      </c>
      <c r="AA259" s="1">
        <v>8872</v>
      </c>
      <c r="AB259" s="1">
        <v>2</v>
      </c>
      <c r="AC259" s="1">
        <v>13</v>
      </c>
      <c r="AD259" s="1" t="s">
        <v>1132</v>
      </c>
    </row>
    <row r="260" spans="1:30" ht="13">
      <c r="A260" s="1" t="s">
        <v>1133</v>
      </c>
      <c r="B260" s="1" t="s">
        <v>34</v>
      </c>
      <c r="C260" s="1" t="s">
        <v>35</v>
      </c>
      <c r="D260" s="1"/>
      <c r="E260" s="6">
        <v>18733</v>
      </c>
      <c r="F260" s="1" t="s">
        <v>124</v>
      </c>
      <c r="G260" s="1">
        <v>1996</v>
      </c>
      <c r="H260" s="1">
        <v>16</v>
      </c>
      <c r="I260" s="7">
        <v>35186</v>
      </c>
      <c r="J260" s="7">
        <v>40558</v>
      </c>
      <c r="K260" s="8" t="s">
        <v>37</v>
      </c>
      <c r="L260" s="9" t="e">
        <f t="shared" ca="1" si="0"/>
        <v>#NAME?</v>
      </c>
      <c r="M260" s="9" t="e">
        <f t="shared" ca="1" si="1"/>
        <v>#NAME?</v>
      </c>
      <c r="N260" s="10" t="e">
        <f t="shared" ca="1" si="2"/>
        <v>#NAME?</v>
      </c>
      <c r="O260" s="1" t="s">
        <v>38</v>
      </c>
      <c r="P260" s="1"/>
      <c r="Q260" s="1" t="s">
        <v>90</v>
      </c>
      <c r="R260" s="1" t="s">
        <v>1134</v>
      </c>
      <c r="S260" s="1" t="s">
        <v>1135</v>
      </c>
      <c r="T260" s="1" t="s">
        <v>1136</v>
      </c>
      <c r="U260" s="1" t="s">
        <v>1137</v>
      </c>
      <c r="V260" s="1" t="s">
        <v>71</v>
      </c>
      <c r="W260" s="1" t="s">
        <v>1138</v>
      </c>
      <c r="X260" s="1">
        <v>3</v>
      </c>
      <c r="Y260" s="7">
        <v>37000</v>
      </c>
      <c r="Z260" s="7">
        <v>39887</v>
      </c>
      <c r="AA260" s="1">
        <v>4880</v>
      </c>
      <c r="AB260" s="1">
        <v>1</v>
      </c>
      <c r="AC260" s="1">
        <v>5</v>
      </c>
      <c r="AD260" s="1" t="s">
        <v>1139</v>
      </c>
    </row>
    <row r="261" spans="1:30" ht="13">
      <c r="A261" s="1" t="s">
        <v>1140</v>
      </c>
      <c r="B261" s="1" t="s">
        <v>34</v>
      </c>
      <c r="C261" s="1" t="s">
        <v>35</v>
      </c>
      <c r="D261" s="1"/>
      <c r="E261" s="6">
        <v>20608</v>
      </c>
      <c r="F261" s="1" t="s">
        <v>84</v>
      </c>
      <c r="G261" s="1">
        <v>1996</v>
      </c>
      <c r="H261" s="1">
        <v>16</v>
      </c>
      <c r="I261" s="7">
        <v>35186</v>
      </c>
      <c r="J261" s="7">
        <v>41090</v>
      </c>
      <c r="K261" s="8" t="s">
        <v>37</v>
      </c>
      <c r="L261" s="9" t="e">
        <f t="shared" ca="1" si="0"/>
        <v>#NAME?</v>
      </c>
      <c r="M261" s="9" t="e">
        <f t="shared" ca="1" si="1"/>
        <v>#NAME?</v>
      </c>
      <c r="N261" s="10" t="e">
        <f t="shared" ca="1" si="2"/>
        <v>#NAME?</v>
      </c>
      <c r="O261" s="1" t="s">
        <v>38</v>
      </c>
      <c r="P261" s="1"/>
      <c r="Q261" s="1" t="s">
        <v>90</v>
      </c>
      <c r="R261" s="1" t="s">
        <v>1141</v>
      </c>
      <c r="S261" s="1" t="s">
        <v>61</v>
      </c>
      <c r="T261" s="1" t="s">
        <v>285</v>
      </c>
      <c r="U261" s="1" t="s">
        <v>285</v>
      </c>
      <c r="X261" s="1">
        <v>3</v>
      </c>
      <c r="Y261" s="7">
        <v>36931</v>
      </c>
      <c r="Z261" s="7">
        <v>40009</v>
      </c>
      <c r="AA261" s="1">
        <v>995</v>
      </c>
      <c r="AB261" s="1">
        <v>0</v>
      </c>
      <c r="AC261" s="1">
        <v>0</v>
      </c>
      <c r="AD261" s="1" t="s">
        <v>1142</v>
      </c>
    </row>
    <row r="262" spans="1:30" ht="13">
      <c r="A262" s="1" t="s">
        <v>1143</v>
      </c>
      <c r="B262" s="1" t="s">
        <v>34</v>
      </c>
      <c r="C262" s="1" t="s">
        <v>35</v>
      </c>
      <c r="D262" s="1"/>
      <c r="E262" s="6">
        <v>23517</v>
      </c>
      <c r="F262" s="1" t="s">
        <v>84</v>
      </c>
      <c r="G262" s="1">
        <v>1996</v>
      </c>
      <c r="H262" s="1">
        <v>16</v>
      </c>
      <c r="I262" s="7">
        <v>35186</v>
      </c>
      <c r="J262" s="7">
        <v>37302</v>
      </c>
      <c r="K262" s="8" t="s">
        <v>37</v>
      </c>
      <c r="L262" s="9" t="e">
        <f t="shared" ca="1" si="0"/>
        <v>#NAME?</v>
      </c>
      <c r="M262" s="9" t="e">
        <f t="shared" ca="1" si="1"/>
        <v>#NAME?</v>
      </c>
      <c r="N262" s="10" t="e">
        <f t="shared" ca="1" si="2"/>
        <v>#NAME?</v>
      </c>
      <c r="O262" s="1" t="s">
        <v>38</v>
      </c>
      <c r="P262" s="1"/>
      <c r="Q262" s="1" t="s">
        <v>521</v>
      </c>
      <c r="R262" s="1" t="s">
        <v>1144</v>
      </c>
      <c r="S262" s="1" t="s">
        <v>1145</v>
      </c>
      <c r="T262" s="1" t="s">
        <v>62</v>
      </c>
      <c r="U262" s="1" t="s">
        <v>62</v>
      </c>
      <c r="X262" s="1">
        <v>1</v>
      </c>
      <c r="Y262" s="7">
        <v>36958</v>
      </c>
      <c r="Z262" s="7">
        <v>36958</v>
      </c>
      <c r="AA262" s="1">
        <v>307</v>
      </c>
      <c r="AB262" s="1">
        <v>1</v>
      </c>
      <c r="AC262" s="1">
        <v>6</v>
      </c>
      <c r="AD262" s="1" t="s">
        <v>1146</v>
      </c>
    </row>
    <row r="263" spans="1:30" ht="13">
      <c r="A263" s="1" t="s">
        <v>1147</v>
      </c>
      <c r="B263" s="1" t="s">
        <v>34</v>
      </c>
      <c r="C263" s="1" t="s">
        <v>35</v>
      </c>
      <c r="D263" s="1"/>
      <c r="E263" s="6">
        <v>20190</v>
      </c>
      <c r="F263" s="1" t="s">
        <v>124</v>
      </c>
      <c r="G263" s="1">
        <v>1996</v>
      </c>
      <c r="H263" s="1">
        <v>16</v>
      </c>
      <c r="I263" s="7">
        <v>35186</v>
      </c>
      <c r="J263" s="7">
        <v>40699</v>
      </c>
      <c r="K263" s="8" t="s">
        <v>37</v>
      </c>
      <c r="L263" s="9" t="e">
        <f t="shared" ca="1" si="0"/>
        <v>#NAME?</v>
      </c>
      <c r="M263" s="9" t="e">
        <f t="shared" ca="1" si="1"/>
        <v>#NAME?</v>
      </c>
      <c r="N263" s="10" t="e">
        <f t="shared" ca="1" si="2"/>
        <v>#NAME?</v>
      </c>
      <c r="O263" s="1" t="s">
        <v>38</v>
      </c>
      <c r="P263" s="1"/>
      <c r="Q263" s="1" t="s">
        <v>521</v>
      </c>
      <c r="R263" s="1" t="s">
        <v>1148</v>
      </c>
      <c r="S263" s="1" t="s">
        <v>1149</v>
      </c>
      <c r="T263" s="1" t="s">
        <v>1150</v>
      </c>
      <c r="U263" s="1" t="s">
        <v>1151</v>
      </c>
      <c r="X263" s="1">
        <v>3</v>
      </c>
      <c r="Y263" s="7">
        <v>37536</v>
      </c>
      <c r="Z263" s="7">
        <v>40312</v>
      </c>
      <c r="AA263" s="1">
        <v>839</v>
      </c>
      <c r="AB263" s="1">
        <v>6</v>
      </c>
      <c r="AC263" s="1">
        <v>41</v>
      </c>
      <c r="AD263" s="1" t="s">
        <v>1152</v>
      </c>
    </row>
    <row r="264" spans="1:30" ht="13">
      <c r="A264" s="1" t="s">
        <v>1153</v>
      </c>
      <c r="B264" s="1" t="s">
        <v>394</v>
      </c>
      <c r="C264" s="1" t="s">
        <v>35</v>
      </c>
      <c r="D264" s="1"/>
      <c r="E264" s="6">
        <v>23049</v>
      </c>
      <c r="F264" s="1" t="s">
        <v>84</v>
      </c>
      <c r="G264" s="1">
        <v>1996</v>
      </c>
      <c r="H264" s="1">
        <v>16</v>
      </c>
      <c r="I264" s="7">
        <v>35186</v>
      </c>
      <c r="J264" s="7">
        <v>40009</v>
      </c>
      <c r="K264" s="8" t="s">
        <v>37</v>
      </c>
      <c r="L264" s="9" t="e">
        <f t="shared" ca="1" si="0"/>
        <v>#NAME?</v>
      </c>
      <c r="M264" s="9" t="e">
        <f t="shared" ca="1" si="1"/>
        <v>#NAME?</v>
      </c>
      <c r="N264" s="10" t="e">
        <f t="shared" ca="1" si="2"/>
        <v>#NAME?</v>
      </c>
      <c r="O264" s="1" t="s">
        <v>38</v>
      </c>
      <c r="P264" s="1"/>
      <c r="Q264" s="1" t="s">
        <v>90</v>
      </c>
      <c r="R264" s="1" t="s">
        <v>1047</v>
      </c>
      <c r="S264" s="1" t="s">
        <v>174</v>
      </c>
      <c r="T264" s="1" t="s">
        <v>62</v>
      </c>
      <c r="V264" s="1" t="s">
        <v>71</v>
      </c>
      <c r="W264" s="1" t="s">
        <v>150</v>
      </c>
      <c r="X264" s="1">
        <v>2</v>
      </c>
      <c r="Y264" s="7">
        <v>38969</v>
      </c>
      <c r="Z264" s="7">
        <v>39766</v>
      </c>
      <c r="AA264" s="1">
        <v>663</v>
      </c>
      <c r="AB264" s="1">
        <v>2</v>
      </c>
      <c r="AC264" s="1">
        <v>33</v>
      </c>
      <c r="AD264" s="1" t="s">
        <v>1154</v>
      </c>
    </row>
    <row r="265" spans="1:30" ht="13">
      <c r="A265" s="1" t="s">
        <v>1155</v>
      </c>
      <c r="B265" s="1" t="s">
        <v>34</v>
      </c>
      <c r="C265" s="1" t="s">
        <v>459</v>
      </c>
      <c r="D265" s="1" t="s">
        <v>460</v>
      </c>
      <c r="E265" s="6">
        <v>22313</v>
      </c>
      <c r="F265" s="1" t="s">
        <v>84</v>
      </c>
      <c r="G265" s="1">
        <v>1996</v>
      </c>
      <c r="H265" s="1">
        <v>16</v>
      </c>
      <c r="I265" s="7">
        <v>35186</v>
      </c>
      <c r="J265" s="7">
        <v>41136</v>
      </c>
      <c r="K265" s="8" t="s">
        <v>37</v>
      </c>
      <c r="L265" s="9" t="e">
        <f t="shared" ca="1" si="0"/>
        <v>#NAME?</v>
      </c>
      <c r="M265" s="9" t="e">
        <f t="shared" ca="1" si="1"/>
        <v>#NAME?</v>
      </c>
      <c r="N265" s="10" t="e">
        <f t="shared" ca="1" si="2"/>
        <v>#NAME?</v>
      </c>
      <c r="O265" s="1" t="s">
        <v>38</v>
      </c>
      <c r="P265" s="1"/>
      <c r="Q265" s="1" t="s">
        <v>90</v>
      </c>
      <c r="R265" s="1" t="s">
        <v>1156</v>
      </c>
      <c r="S265" s="1" t="s">
        <v>174</v>
      </c>
      <c r="T265" s="1" t="s">
        <v>62</v>
      </c>
      <c r="U265" s="1" t="s">
        <v>62</v>
      </c>
      <c r="X265" s="1">
        <v>2</v>
      </c>
      <c r="Y265" s="7">
        <v>37230</v>
      </c>
      <c r="Z265" s="7">
        <v>39378</v>
      </c>
      <c r="AA265" s="1">
        <v>3162</v>
      </c>
      <c r="AB265" s="1">
        <v>6</v>
      </c>
      <c r="AC265" s="1">
        <v>39</v>
      </c>
      <c r="AD265" s="1" t="s">
        <v>1157</v>
      </c>
    </row>
    <row r="266" spans="1:30" ht="13">
      <c r="A266" s="1" t="s">
        <v>1158</v>
      </c>
      <c r="B266" s="1" t="s">
        <v>34</v>
      </c>
      <c r="C266" s="1" t="s">
        <v>35</v>
      </c>
      <c r="D266" s="1"/>
      <c r="E266" s="6">
        <v>22929</v>
      </c>
      <c r="F266" s="1" t="s">
        <v>84</v>
      </c>
      <c r="G266" s="1">
        <v>1996</v>
      </c>
      <c r="H266" s="1">
        <v>16</v>
      </c>
      <c r="I266" s="7">
        <v>35186</v>
      </c>
      <c r="J266" s="20">
        <v>44039</v>
      </c>
      <c r="K266" s="8" t="s">
        <v>37</v>
      </c>
      <c r="L266" s="9" t="e">
        <f t="shared" ca="1" si="0"/>
        <v>#NAME?</v>
      </c>
      <c r="M266" s="9" t="e">
        <f t="shared" ca="1" si="1"/>
        <v>#NAME?</v>
      </c>
      <c r="N266" s="10" t="e">
        <f t="shared" ca="1" si="2"/>
        <v>#NAME?</v>
      </c>
      <c r="O266" s="1" t="s">
        <v>38</v>
      </c>
      <c r="P266" s="1"/>
      <c r="Q266" s="1" t="s">
        <v>1057</v>
      </c>
      <c r="R266" s="1" t="s">
        <v>1159</v>
      </c>
      <c r="S266" s="1" t="s">
        <v>1160</v>
      </c>
      <c r="T266" s="1" t="s">
        <v>62</v>
      </c>
      <c r="U266" s="1" t="s">
        <v>1107</v>
      </c>
      <c r="V266" s="1" t="s">
        <v>49</v>
      </c>
      <c r="W266" s="1" t="s">
        <v>50</v>
      </c>
      <c r="X266" s="1">
        <v>3</v>
      </c>
      <c r="Y266" s="7">
        <v>37354</v>
      </c>
      <c r="Z266" s="7">
        <v>40732</v>
      </c>
      <c r="AA266" s="1">
        <v>872</v>
      </c>
      <c r="AB266" s="1">
        <v>5</v>
      </c>
      <c r="AC266" s="1">
        <v>36</v>
      </c>
      <c r="AD266" s="1" t="s">
        <v>1161</v>
      </c>
    </row>
    <row r="267" spans="1:30" ht="13">
      <c r="A267" s="1" t="s">
        <v>1162</v>
      </c>
      <c r="B267" s="1" t="s">
        <v>394</v>
      </c>
      <c r="C267" s="1" t="s">
        <v>35</v>
      </c>
      <c r="D267" s="1"/>
      <c r="E267" s="6">
        <v>21955</v>
      </c>
      <c r="F267" s="1" t="s">
        <v>124</v>
      </c>
      <c r="G267" s="1">
        <v>1996</v>
      </c>
      <c r="H267" s="1">
        <v>16</v>
      </c>
      <c r="I267" s="7">
        <v>35186</v>
      </c>
      <c r="J267" s="17">
        <v>43266</v>
      </c>
      <c r="K267" s="8" t="s">
        <v>37</v>
      </c>
      <c r="L267" s="9" t="e">
        <f t="shared" ca="1" si="0"/>
        <v>#NAME?</v>
      </c>
      <c r="M267" s="9" t="e">
        <f t="shared" ca="1" si="1"/>
        <v>#NAME?</v>
      </c>
      <c r="N267" s="10" t="e">
        <f t="shared" ca="1" si="2"/>
        <v>#NAME?</v>
      </c>
      <c r="O267" s="1" t="s">
        <v>38</v>
      </c>
      <c r="P267" s="1"/>
      <c r="Q267" s="1" t="s">
        <v>1057</v>
      </c>
      <c r="R267" s="1" t="s">
        <v>1163</v>
      </c>
      <c r="S267" s="1" t="s">
        <v>1164</v>
      </c>
      <c r="T267" s="1" t="s">
        <v>1165</v>
      </c>
      <c r="U267" s="1" t="s">
        <v>434</v>
      </c>
      <c r="X267" s="1">
        <v>3</v>
      </c>
      <c r="Y267" s="7">
        <v>37412</v>
      </c>
      <c r="Z267" s="7">
        <v>42691</v>
      </c>
      <c r="AA267" s="1">
        <v>11698</v>
      </c>
      <c r="AB267" s="1">
        <v>7</v>
      </c>
      <c r="AC267" s="1">
        <v>46</v>
      </c>
      <c r="AD267" s="1" t="s">
        <v>1166</v>
      </c>
    </row>
    <row r="268" spans="1:30" ht="13">
      <c r="A268" s="1" t="s">
        <v>1167</v>
      </c>
      <c r="B268" s="1" t="s">
        <v>34</v>
      </c>
      <c r="C268" s="1" t="s">
        <v>35</v>
      </c>
      <c r="D268" s="1"/>
      <c r="E268" s="6">
        <v>21203</v>
      </c>
      <c r="F268" s="1" t="s">
        <v>36</v>
      </c>
      <c r="G268" s="1">
        <v>1996</v>
      </c>
      <c r="H268" s="1">
        <v>16</v>
      </c>
      <c r="I268" s="7">
        <v>35186</v>
      </c>
      <c r="J268" s="7">
        <f t="shared" ref="J268:J269" ca="1" si="3">TODAY()</f>
        <v>44606</v>
      </c>
      <c r="K268" s="8" t="s">
        <v>667</v>
      </c>
      <c r="L268" s="9" t="e">
        <f t="shared" ca="1" si="0"/>
        <v>#NAME?</v>
      </c>
      <c r="M268" s="9" t="e">
        <f t="shared" ca="1" si="1"/>
        <v>#NAME?</v>
      </c>
      <c r="N268" s="10" t="e">
        <f t="shared" ca="1" si="2"/>
        <v>#NAME?</v>
      </c>
      <c r="O268" s="1" t="s">
        <v>38</v>
      </c>
      <c r="P268" s="1"/>
      <c r="Q268" s="1" t="s">
        <v>1057</v>
      </c>
      <c r="R268" s="1" t="s">
        <v>1168</v>
      </c>
      <c r="S268" s="1" t="s">
        <v>1169</v>
      </c>
      <c r="T268" s="1" t="s">
        <v>821</v>
      </c>
      <c r="U268" s="1" t="s">
        <v>1170</v>
      </c>
      <c r="V268" s="1" t="s">
        <v>49</v>
      </c>
      <c r="W268" s="1" t="s">
        <v>490</v>
      </c>
      <c r="X268" s="1">
        <v>4</v>
      </c>
      <c r="Y268" s="7">
        <v>36665</v>
      </c>
      <c r="Z268" s="7">
        <v>42558</v>
      </c>
      <c r="AA268" s="1">
        <v>12818</v>
      </c>
      <c r="AB268" s="1">
        <v>5</v>
      </c>
      <c r="AC268" s="1">
        <v>32</v>
      </c>
      <c r="AD268" s="1" t="s">
        <v>1171</v>
      </c>
    </row>
    <row r="269" spans="1:30" ht="13">
      <c r="A269" s="1" t="s">
        <v>1172</v>
      </c>
      <c r="B269" s="1" t="s">
        <v>394</v>
      </c>
      <c r="C269" s="1" t="s">
        <v>361</v>
      </c>
      <c r="D269" s="1"/>
      <c r="E269" s="6">
        <v>24377</v>
      </c>
      <c r="F269" s="1" t="s">
        <v>84</v>
      </c>
      <c r="G269" s="1">
        <v>1996</v>
      </c>
      <c r="H269" s="1">
        <v>16</v>
      </c>
      <c r="I269" s="7">
        <v>35186</v>
      </c>
      <c r="J269" s="7">
        <f t="shared" ca="1" si="3"/>
        <v>44606</v>
      </c>
      <c r="K269" s="8" t="s">
        <v>1056</v>
      </c>
      <c r="L269" s="9" t="e">
        <f t="shared" ca="1" si="0"/>
        <v>#NAME?</v>
      </c>
      <c r="M269" s="9" t="e">
        <f t="shared" ca="1" si="1"/>
        <v>#NAME?</v>
      </c>
      <c r="N269" s="10" t="e">
        <f t="shared" ca="1" si="2"/>
        <v>#NAME?</v>
      </c>
      <c r="O269" s="1" t="s">
        <v>38</v>
      </c>
      <c r="P269" s="1"/>
      <c r="Q269" s="1" t="s">
        <v>1057</v>
      </c>
      <c r="R269" s="1" t="s">
        <v>258</v>
      </c>
      <c r="S269" s="1" t="s">
        <v>1173</v>
      </c>
      <c r="T269" s="1" t="s">
        <v>346</v>
      </c>
      <c r="U269" s="1" t="s">
        <v>87</v>
      </c>
      <c r="X269" s="1">
        <v>3</v>
      </c>
      <c r="Y269" s="7">
        <v>38902</v>
      </c>
      <c r="Z269" s="7">
        <v>40273</v>
      </c>
      <c r="AA269" s="1">
        <v>1031</v>
      </c>
      <c r="AB269" s="1">
        <v>0</v>
      </c>
      <c r="AC269" s="1">
        <v>0</v>
      </c>
      <c r="AD269" s="1" t="s">
        <v>1174</v>
      </c>
    </row>
    <row r="270" spans="1:30" ht="13">
      <c r="A270" s="1" t="s">
        <v>1175</v>
      </c>
      <c r="B270" s="1" t="s">
        <v>34</v>
      </c>
      <c r="C270" s="1" t="s">
        <v>35</v>
      </c>
      <c r="D270" s="1"/>
      <c r="E270" s="6">
        <v>21604</v>
      </c>
      <c r="F270" s="1" t="s">
        <v>84</v>
      </c>
      <c r="G270" s="1">
        <v>1998</v>
      </c>
      <c r="H270" s="1">
        <v>17</v>
      </c>
      <c r="I270" s="7">
        <v>35950</v>
      </c>
      <c r="J270" s="7">
        <v>41289</v>
      </c>
      <c r="K270" s="8" t="s">
        <v>37</v>
      </c>
      <c r="L270" s="9" t="e">
        <f t="shared" ca="1" si="0"/>
        <v>#NAME?</v>
      </c>
      <c r="M270" s="9" t="e">
        <f t="shared" ca="1" si="1"/>
        <v>#NAME?</v>
      </c>
      <c r="N270" s="10" t="e">
        <f t="shared" ca="1" si="2"/>
        <v>#NAME?</v>
      </c>
      <c r="O270" s="1" t="s">
        <v>38</v>
      </c>
      <c r="P270" s="1"/>
      <c r="Q270" s="1" t="s">
        <v>90</v>
      </c>
      <c r="R270" s="1" t="s">
        <v>1176</v>
      </c>
      <c r="S270" s="1" t="s">
        <v>1177</v>
      </c>
      <c r="T270" s="1" t="s">
        <v>158</v>
      </c>
      <c r="U270" s="1" t="s">
        <v>87</v>
      </c>
      <c r="X270" s="1">
        <v>2</v>
      </c>
      <c r="Y270" s="7">
        <v>39241</v>
      </c>
      <c r="Z270" s="7">
        <v>40273</v>
      </c>
      <c r="AA270" s="1">
        <v>4005</v>
      </c>
      <c r="AB270" s="1">
        <v>6</v>
      </c>
      <c r="AC270" s="1">
        <v>38</v>
      </c>
      <c r="AD270" s="1" t="s">
        <v>1178</v>
      </c>
    </row>
    <row r="271" spans="1:30" ht="13">
      <c r="A271" s="1" t="s">
        <v>1179</v>
      </c>
      <c r="B271" s="1" t="s">
        <v>34</v>
      </c>
      <c r="C271" s="1" t="s">
        <v>35</v>
      </c>
      <c r="D271" s="1"/>
      <c r="E271" s="6">
        <v>22153</v>
      </c>
      <c r="F271" s="1" t="s">
        <v>84</v>
      </c>
      <c r="G271" s="1">
        <v>1998</v>
      </c>
      <c r="H271" s="1">
        <v>17</v>
      </c>
      <c r="I271" s="7">
        <v>35950</v>
      </c>
      <c r="J271" s="7">
        <v>41352</v>
      </c>
      <c r="K271" s="8" t="s">
        <v>37</v>
      </c>
      <c r="L271" s="9" t="e">
        <f t="shared" ca="1" si="0"/>
        <v>#NAME?</v>
      </c>
      <c r="M271" s="9" t="e">
        <f t="shared" ca="1" si="1"/>
        <v>#NAME?</v>
      </c>
      <c r="N271" s="10" t="e">
        <f t="shared" ca="1" si="2"/>
        <v>#NAME?</v>
      </c>
      <c r="O271" s="1" t="s">
        <v>38</v>
      </c>
      <c r="P271" s="1"/>
      <c r="Q271" s="1" t="s">
        <v>90</v>
      </c>
      <c r="R271" s="1" t="s">
        <v>198</v>
      </c>
      <c r="S271" s="1" t="s">
        <v>1180</v>
      </c>
      <c r="T271" s="1" t="s">
        <v>285</v>
      </c>
      <c r="U271" s="1" t="s">
        <v>285</v>
      </c>
      <c r="V271" s="1" t="s">
        <v>49</v>
      </c>
      <c r="W271" s="1" t="s">
        <v>64</v>
      </c>
      <c r="X271" s="1">
        <v>2</v>
      </c>
      <c r="Y271" s="7">
        <v>39241</v>
      </c>
      <c r="Z271" s="7">
        <v>39887</v>
      </c>
      <c r="AA271" s="1">
        <v>639</v>
      </c>
      <c r="AB271" s="1">
        <v>0</v>
      </c>
      <c r="AC271" s="1">
        <v>0</v>
      </c>
      <c r="AD271" s="1" t="s">
        <v>1181</v>
      </c>
    </row>
    <row r="272" spans="1:30" ht="13">
      <c r="A272" s="1" t="s">
        <v>1182</v>
      </c>
      <c r="B272" s="1" t="s">
        <v>394</v>
      </c>
      <c r="C272" s="1" t="s">
        <v>35</v>
      </c>
      <c r="D272" s="1"/>
      <c r="E272" s="6">
        <v>25429</v>
      </c>
      <c r="F272" s="1" t="s">
        <v>124</v>
      </c>
      <c r="G272" s="1">
        <v>1998</v>
      </c>
      <c r="H272" s="1">
        <v>17</v>
      </c>
      <c r="I272" s="19">
        <v>35950</v>
      </c>
      <c r="J272" s="7">
        <f ca="1">TODAY()</f>
        <v>44606</v>
      </c>
      <c r="K272" s="23" t="s">
        <v>1056</v>
      </c>
      <c r="L272" s="9" t="e">
        <f t="shared" ca="1" si="0"/>
        <v>#NAME?</v>
      </c>
      <c r="M272" s="9" t="e">
        <f t="shared" ca="1" si="1"/>
        <v>#NAME?</v>
      </c>
      <c r="N272" s="10" t="e">
        <f t="shared" ca="1" si="2"/>
        <v>#NAME?</v>
      </c>
      <c r="O272" s="1" t="s">
        <v>38</v>
      </c>
      <c r="P272" s="1"/>
      <c r="Q272" s="1" t="s">
        <v>1057</v>
      </c>
      <c r="R272" s="1" t="s">
        <v>993</v>
      </c>
      <c r="S272" s="1" t="s">
        <v>1183</v>
      </c>
      <c r="T272" s="1" t="s">
        <v>170</v>
      </c>
      <c r="U272" s="1" t="s">
        <v>942</v>
      </c>
      <c r="X272" s="1">
        <v>2</v>
      </c>
      <c r="Y272" s="19">
        <v>39302</v>
      </c>
      <c r="Z272" s="19">
        <v>40270</v>
      </c>
      <c r="AA272" s="1">
        <v>4531</v>
      </c>
      <c r="AB272" s="1">
        <v>3</v>
      </c>
      <c r="AC272" s="1">
        <v>23</v>
      </c>
      <c r="AD272" s="1" t="s">
        <v>1184</v>
      </c>
    </row>
    <row r="273" spans="1:31" ht="13">
      <c r="A273" s="1" t="s">
        <v>1185</v>
      </c>
      <c r="B273" s="1" t="s">
        <v>34</v>
      </c>
      <c r="C273" s="1" t="s">
        <v>35</v>
      </c>
      <c r="D273" s="1"/>
      <c r="E273" s="6">
        <v>22864</v>
      </c>
      <c r="F273" s="1" t="s">
        <v>124</v>
      </c>
      <c r="G273" s="1">
        <v>1998</v>
      </c>
      <c r="H273" s="1">
        <v>17</v>
      </c>
      <c r="I273" s="7">
        <v>35950</v>
      </c>
      <c r="J273" s="7">
        <v>41547</v>
      </c>
      <c r="K273" s="8" t="s">
        <v>37</v>
      </c>
      <c r="L273" s="9" t="e">
        <f t="shared" ca="1" si="0"/>
        <v>#NAME?</v>
      </c>
      <c r="M273" s="9" t="e">
        <f t="shared" ca="1" si="1"/>
        <v>#NAME?</v>
      </c>
      <c r="N273" s="10" t="e">
        <f t="shared" ca="1" si="2"/>
        <v>#NAME?</v>
      </c>
      <c r="O273" s="1" t="s">
        <v>38</v>
      </c>
      <c r="P273" s="1"/>
      <c r="Q273" s="1" t="s">
        <v>1057</v>
      </c>
      <c r="R273" s="1" t="s">
        <v>1186</v>
      </c>
      <c r="S273" s="1" t="s">
        <v>1187</v>
      </c>
      <c r="T273" s="1" t="s">
        <v>139</v>
      </c>
      <c r="U273" s="1" t="s">
        <v>266</v>
      </c>
      <c r="X273" s="1">
        <v>2</v>
      </c>
      <c r="Y273" s="7">
        <v>39546</v>
      </c>
      <c r="Z273" s="7">
        <v>40679</v>
      </c>
      <c r="AA273" s="1">
        <v>4770</v>
      </c>
      <c r="AB273" s="1">
        <v>2</v>
      </c>
      <c r="AC273" s="1">
        <v>13</v>
      </c>
      <c r="AD273" s="1" t="s">
        <v>1188</v>
      </c>
    </row>
    <row r="274" spans="1:31" ht="13">
      <c r="A274" s="1" t="s">
        <v>1189</v>
      </c>
      <c r="B274" s="1" t="s">
        <v>34</v>
      </c>
      <c r="C274" s="1" t="s">
        <v>35</v>
      </c>
      <c r="D274" s="1"/>
      <c r="E274" s="6">
        <v>21869</v>
      </c>
      <c r="F274" s="1" t="s">
        <v>84</v>
      </c>
      <c r="G274" s="1">
        <v>1998</v>
      </c>
      <c r="H274" s="1">
        <v>17</v>
      </c>
      <c r="I274" s="7">
        <v>35950</v>
      </c>
      <c r="J274" s="7">
        <f ca="1">TODAY()</f>
        <v>44606</v>
      </c>
      <c r="K274" s="8" t="s">
        <v>667</v>
      </c>
      <c r="L274" s="9" t="e">
        <f t="shared" ca="1" si="0"/>
        <v>#NAME?</v>
      </c>
      <c r="M274" s="9" t="e">
        <f t="shared" ca="1" si="1"/>
        <v>#NAME?</v>
      </c>
      <c r="N274" s="10" t="e">
        <f t="shared" ca="1" si="2"/>
        <v>#NAME?</v>
      </c>
      <c r="O274" s="1" t="s">
        <v>38</v>
      </c>
      <c r="P274" s="1"/>
      <c r="Q274" s="1" t="s">
        <v>521</v>
      </c>
      <c r="R274" s="1" t="s">
        <v>1190</v>
      </c>
      <c r="S274" s="1" t="s">
        <v>1191</v>
      </c>
      <c r="T274" s="1" t="s">
        <v>170</v>
      </c>
      <c r="U274" s="1" t="s">
        <v>158</v>
      </c>
      <c r="V274" s="1" t="s">
        <v>49</v>
      </c>
      <c r="W274" s="1" t="s">
        <v>490</v>
      </c>
      <c r="X274" s="1">
        <v>1</v>
      </c>
      <c r="Y274" s="7">
        <v>40168</v>
      </c>
      <c r="Z274" s="7">
        <v>40168</v>
      </c>
      <c r="AA274" s="1">
        <v>3917</v>
      </c>
      <c r="AB274" s="1">
        <v>0</v>
      </c>
      <c r="AC274" s="1">
        <v>0</v>
      </c>
      <c r="AD274" s="1" t="s">
        <v>1192</v>
      </c>
    </row>
    <row r="275" spans="1:31" ht="13">
      <c r="A275" s="1" t="s">
        <v>1193</v>
      </c>
      <c r="B275" s="1" t="s">
        <v>34</v>
      </c>
      <c r="C275" s="1" t="s">
        <v>35</v>
      </c>
      <c r="D275" s="1"/>
      <c r="E275" s="6">
        <v>22525</v>
      </c>
      <c r="F275" s="1" t="s">
        <v>84</v>
      </c>
      <c r="G275" s="1">
        <v>1998</v>
      </c>
      <c r="H275" s="1">
        <v>17</v>
      </c>
      <c r="I275" s="7">
        <v>35950</v>
      </c>
      <c r="J275" s="7">
        <v>40886</v>
      </c>
      <c r="K275" s="8" t="s">
        <v>37</v>
      </c>
      <c r="L275" s="9" t="e">
        <f t="shared" ca="1" si="0"/>
        <v>#NAME?</v>
      </c>
      <c r="M275" s="9" t="e">
        <f t="shared" ca="1" si="1"/>
        <v>#NAME?</v>
      </c>
      <c r="N275" s="10" t="e">
        <f t="shared" ca="1" si="2"/>
        <v>#NAME?</v>
      </c>
      <c r="O275" s="1" t="s">
        <v>38</v>
      </c>
      <c r="P275" s="1"/>
      <c r="Q275" s="1" t="s">
        <v>90</v>
      </c>
      <c r="R275" s="1" t="s">
        <v>95</v>
      </c>
      <c r="S275" s="1" t="s">
        <v>1194</v>
      </c>
      <c r="T275" s="1" t="s">
        <v>62</v>
      </c>
      <c r="U275" s="1" t="s">
        <v>42</v>
      </c>
      <c r="V275" s="1" t="s">
        <v>71</v>
      </c>
      <c r="W275" s="1" t="s">
        <v>44</v>
      </c>
      <c r="X275" s="1">
        <v>3</v>
      </c>
      <c r="Y275" s="7">
        <v>38969</v>
      </c>
      <c r="Z275" s="7">
        <v>40732</v>
      </c>
      <c r="AA275" s="1">
        <v>970</v>
      </c>
      <c r="AB275" s="1">
        <v>0</v>
      </c>
      <c r="AC275" s="1">
        <v>0</v>
      </c>
      <c r="AD275" s="1" t="s">
        <v>1195</v>
      </c>
    </row>
    <row r="276" spans="1:31" ht="13">
      <c r="A276" s="1" t="s">
        <v>1196</v>
      </c>
      <c r="B276" s="1" t="s">
        <v>34</v>
      </c>
      <c r="C276" s="1" t="s">
        <v>35</v>
      </c>
      <c r="D276" s="1"/>
      <c r="E276" s="6">
        <v>20908</v>
      </c>
      <c r="F276" s="1" t="s">
        <v>84</v>
      </c>
      <c r="G276" s="1">
        <v>1998</v>
      </c>
      <c r="H276" s="1">
        <v>17</v>
      </c>
      <c r="I276" s="7">
        <v>35950</v>
      </c>
      <c r="J276" s="7">
        <v>42216</v>
      </c>
      <c r="K276" s="8" t="s">
        <v>37</v>
      </c>
      <c r="L276" s="9" t="e">
        <f t="shared" ca="1" si="0"/>
        <v>#NAME?</v>
      </c>
      <c r="M276" s="9" t="e">
        <f t="shared" ca="1" si="1"/>
        <v>#NAME?</v>
      </c>
      <c r="N276" s="10" t="e">
        <f t="shared" ca="1" si="2"/>
        <v>#NAME?</v>
      </c>
      <c r="O276" s="1" t="s">
        <v>38</v>
      </c>
      <c r="P276" s="1"/>
      <c r="Q276" s="1" t="s">
        <v>521</v>
      </c>
      <c r="R276" s="1" t="s">
        <v>162</v>
      </c>
      <c r="S276" s="1" t="s">
        <v>565</v>
      </c>
      <c r="T276" s="1" t="s">
        <v>87</v>
      </c>
      <c r="U276" s="1" t="s">
        <v>42</v>
      </c>
      <c r="V276" s="1" t="s">
        <v>71</v>
      </c>
      <c r="W276" s="1" t="s">
        <v>44</v>
      </c>
      <c r="X276" s="1">
        <v>2</v>
      </c>
      <c r="Y276" s="7">
        <v>39518</v>
      </c>
      <c r="Z276" s="7">
        <v>40133</v>
      </c>
      <c r="AA276" s="1">
        <v>637</v>
      </c>
      <c r="AB276" s="1">
        <v>5</v>
      </c>
      <c r="AC276" s="1">
        <v>32</v>
      </c>
      <c r="AD276" s="1" t="s">
        <v>1197</v>
      </c>
    </row>
    <row r="277" spans="1:31" ht="13">
      <c r="A277" s="1" t="s">
        <v>1198</v>
      </c>
      <c r="B277" s="1" t="s">
        <v>34</v>
      </c>
      <c r="C277" s="1" t="s">
        <v>35</v>
      </c>
      <c r="D277" s="1"/>
      <c r="E277" s="6">
        <v>21173</v>
      </c>
      <c r="F277" s="1" t="s">
        <v>84</v>
      </c>
      <c r="G277" s="1">
        <v>1998</v>
      </c>
      <c r="H277" s="1">
        <v>17</v>
      </c>
      <c r="I277" s="7">
        <v>35950</v>
      </c>
      <c r="J277" s="17">
        <v>42742</v>
      </c>
      <c r="K277" s="8" t="s">
        <v>37</v>
      </c>
      <c r="L277" s="9" t="e">
        <f t="shared" ca="1" si="0"/>
        <v>#NAME?</v>
      </c>
      <c r="M277" s="9" t="e">
        <f t="shared" ca="1" si="1"/>
        <v>#NAME?</v>
      </c>
      <c r="N277" s="10" t="e">
        <f t="shared" ca="1" si="2"/>
        <v>#NAME?</v>
      </c>
      <c r="O277" s="1" t="s">
        <v>38</v>
      </c>
      <c r="P277" s="1"/>
      <c r="Q277" s="1" t="s">
        <v>1057</v>
      </c>
      <c r="R277" s="1" t="s">
        <v>1199</v>
      </c>
      <c r="S277" s="1" t="s">
        <v>1200</v>
      </c>
      <c r="T277" s="1" t="s">
        <v>62</v>
      </c>
      <c r="U277" s="1" t="s">
        <v>1201</v>
      </c>
      <c r="W277" s="1" t="s">
        <v>134</v>
      </c>
      <c r="X277" s="1">
        <v>3</v>
      </c>
      <c r="Y277" s="7">
        <v>38902</v>
      </c>
      <c r="Z277" s="7">
        <v>40701</v>
      </c>
      <c r="AA277" s="1">
        <v>4651</v>
      </c>
      <c r="AB277" s="1">
        <v>7</v>
      </c>
      <c r="AC277" s="1">
        <v>48</v>
      </c>
      <c r="AD277" s="1" t="s">
        <v>1202</v>
      </c>
    </row>
    <row r="278" spans="1:31" ht="13">
      <c r="A278" s="1" t="s">
        <v>1203</v>
      </c>
      <c r="B278" s="1" t="s">
        <v>34</v>
      </c>
      <c r="C278" s="1" t="s">
        <v>35</v>
      </c>
      <c r="D278" s="1"/>
      <c r="E278" s="6">
        <v>23723</v>
      </c>
      <c r="F278" s="1" t="s">
        <v>84</v>
      </c>
      <c r="G278" s="1">
        <v>1998</v>
      </c>
      <c r="H278" s="1">
        <v>17</v>
      </c>
      <c r="I278" s="7">
        <v>35950</v>
      </c>
      <c r="J278" s="7">
        <v>41060</v>
      </c>
      <c r="K278" s="8" t="s">
        <v>37</v>
      </c>
      <c r="L278" s="9" t="e">
        <f t="shared" ca="1" si="0"/>
        <v>#NAME?</v>
      </c>
      <c r="M278" s="9" t="e">
        <f t="shared" ca="1" si="1"/>
        <v>#NAME?</v>
      </c>
      <c r="N278" s="10" t="e">
        <f t="shared" ca="1" si="2"/>
        <v>#NAME?</v>
      </c>
      <c r="O278" s="1" t="s">
        <v>38</v>
      </c>
      <c r="P278" s="1"/>
      <c r="Q278" s="1" t="s">
        <v>90</v>
      </c>
      <c r="R278" s="1" t="s">
        <v>1204</v>
      </c>
      <c r="S278" s="1" t="s">
        <v>565</v>
      </c>
      <c r="T278" s="1" t="s">
        <v>87</v>
      </c>
      <c r="U278" s="1" t="s">
        <v>42</v>
      </c>
      <c r="V278" s="1" t="s">
        <v>71</v>
      </c>
      <c r="W278" s="1" t="s">
        <v>150</v>
      </c>
      <c r="X278" s="1">
        <v>2</v>
      </c>
      <c r="Y278" s="7">
        <v>39599</v>
      </c>
      <c r="Z278" s="7">
        <v>40312</v>
      </c>
      <c r="AA278" s="1">
        <v>612</v>
      </c>
      <c r="AB278" s="1">
        <v>0</v>
      </c>
      <c r="AC278" s="1">
        <v>0</v>
      </c>
      <c r="AD278" s="1" t="s">
        <v>1205</v>
      </c>
    </row>
    <row r="279" spans="1:31" ht="13">
      <c r="A279" s="1" t="s">
        <v>1206</v>
      </c>
      <c r="B279" s="1" t="s">
        <v>34</v>
      </c>
      <c r="C279" s="1" t="s">
        <v>35</v>
      </c>
      <c r="D279" s="1"/>
      <c r="E279" s="6">
        <v>19935</v>
      </c>
      <c r="F279" s="1" t="s">
        <v>36</v>
      </c>
      <c r="G279" s="1">
        <v>1998</v>
      </c>
      <c r="H279" s="1">
        <v>17</v>
      </c>
      <c r="I279" s="7">
        <v>35950</v>
      </c>
      <c r="J279" s="20">
        <v>43321</v>
      </c>
      <c r="K279" s="8" t="s">
        <v>37</v>
      </c>
      <c r="L279" s="9" t="e">
        <f t="shared" ca="1" si="0"/>
        <v>#NAME?</v>
      </c>
      <c r="M279" s="9" t="e">
        <f t="shared" ca="1" si="1"/>
        <v>#NAME?</v>
      </c>
      <c r="N279" s="10" t="e">
        <f t="shared" ca="1" si="2"/>
        <v>#NAME?</v>
      </c>
      <c r="O279" s="1" t="s">
        <v>38</v>
      </c>
      <c r="P279" s="1"/>
      <c r="Q279" s="1" t="s">
        <v>521</v>
      </c>
      <c r="R279" s="1" t="s">
        <v>168</v>
      </c>
      <c r="S279" s="1" t="s">
        <v>169</v>
      </c>
      <c r="T279" s="1" t="s">
        <v>87</v>
      </c>
      <c r="V279" s="1" t="s">
        <v>71</v>
      </c>
      <c r="W279" s="1" t="s">
        <v>44</v>
      </c>
      <c r="X279" s="1">
        <v>1</v>
      </c>
      <c r="Y279" s="7">
        <v>39944</v>
      </c>
      <c r="Z279" s="7">
        <v>39944</v>
      </c>
      <c r="AA279" s="1">
        <v>309</v>
      </c>
      <c r="AB279" s="1">
        <v>0</v>
      </c>
      <c r="AC279" s="1">
        <v>0</v>
      </c>
      <c r="AD279" s="1" t="s">
        <v>1207</v>
      </c>
    </row>
    <row r="280" spans="1:31" ht="13">
      <c r="A280" s="1" t="s">
        <v>1208</v>
      </c>
      <c r="B280" s="1" t="s">
        <v>34</v>
      </c>
      <c r="C280" s="1" t="s">
        <v>35</v>
      </c>
      <c r="D280" s="1"/>
      <c r="E280" s="6">
        <v>22778</v>
      </c>
      <c r="F280" s="1" t="s">
        <v>84</v>
      </c>
      <c r="G280" s="1">
        <v>1998</v>
      </c>
      <c r="H280" s="1">
        <v>17</v>
      </c>
      <c r="I280" s="7">
        <v>35950</v>
      </c>
      <c r="J280" s="7">
        <v>41512</v>
      </c>
      <c r="K280" s="8" t="s">
        <v>37</v>
      </c>
      <c r="L280" s="9" t="e">
        <f t="shared" ca="1" si="0"/>
        <v>#NAME?</v>
      </c>
      <c r="M280" s="9" t="e">
        <f t="shared" ca="1" si="1"/>
        <v>#NAME?</v>
      </c>
      <c r="N280" s="10" t="e">
        <f t="shared" ca="1" si="2"/>
        <v>#NAME?</v>
      </c>
      <c r="O280" s="1" t="s">
        <v>38</v>
      </c>
      <c r="P280" s="1"/>
      <c r="Q280" s="1" t="s">
        <v>1057</v>
      </c>
      <c r="R280" s="1" t="s">
        <v>1209</v>
      </c>
      <c r="S280" s="1" t="s">
        <v>1210</v>
      </c>
      <c r="T280" s="1" t="s">
        <v>42</v>
      </c>
      <c r="U280" s="1" t="s">
        <v>1211</v>
      </c>
      <c r="V280" s="1" t="s">
        <v>49</v>
      </c>
      <c r="W280" s="1" t="s">
        <v>50</v>
      </c>
      <c r="X280" s="1">
        <v>2</v>
      </c>
      <c r="Y280" s="7">
        <v>39518</v>
      </c>
      <c r="Z280" s="7">
        <v>40679</v>
      </c>
      <c r="AA280" s="1">
        <v>755</v>
      </c>
      <c r="AB280" s="1">
        <v>0</v>
      </c>
      <c r="AC280" s="1">
        <v>0</v>
      </c>
      <c r="AD280" s="1" t="s">
        <v>1212</v>
      </c>
    </row>
    <row r="281" spans="1:31" ht="13">
      <c r="A281" s="1" t="s">
        <v>1213</v>
      </c>
      <c r="B281" s="1" t="s">
        <v>34</v>
      </c>
      <c r="C281" s="1" t="s">
        <v>35</v>
      </c>
      <c r="D281" s="1"/>
      <c r="E281" s="6">
        <v>23901</v>
      </c>
      <c r="F281" s="1" t="s">
        <v>124</v>
      </c>
      <c r="G281" s="1">
        <v>1998</v>
      </c>
      <c r="H281" s="1">
        <v>17</v>
      </c>
      <c r="I281" s="7">
        <v>35950</v>
      </c>
      <c r="J281" s="7">
        <f ca="1">TODAY()</f>
        <v>44606</v>
      </c>
      <c r="K281" s="8" t="s">
        <v>667</v>
      </c>
      <c r="L281" s="9" t="e">
        <f t="shared" ca="1" si="0"/>
        <v>#NAME?</v>
      </c>
      <c r="M281" s="9" t="e">
        <f t="shared" ca="1" si="1"/>
        <v>#NAME?</v>
      </c>
      <c r="N281" s="10" t="e">
        <f t="shared" ca="1" si="2"/>
        <v>#NAME?</v>
      </c>
      <c r="O281" s="1" t="s">
        <v>38</v>
      </c>
      <c r="P281" s="1"/>
      <c r="Q281" s="1" t="s">
        <v>521</v>
      </c>
      <c r="R281" s="1" t="s">
        <v>643</v>
      </c>
      <c r="S281" s="1" t="s">
        <v>456</v>
      </c>
      <c r="T281" s="1" t="s">
        <v>158</v>
      </c>
      <c r="U281" s="1" t="s">
        <v>305</v>
      </c>
      <c r="X281" s="1">
        <v>1</v>
      </c>
      <c r="Y281" s="7">
        <v>39485</v>
      </c>
      <c r="Z281" s="7">
        <v>39485</v>
      </c>
      <c r="AA281" s="1">
        <v>306</v>
      </c>
      <c r="AB281" s="1">
        <v>2</v>
      </c>
      <c r="AC281" s="1">
        <v>15</v>
      </c>
      <c r="AD281" s="1" t="s">
        <v>1214</v>
      </c>
    </row>
    <row r="282" spans="1:31" ht="13">
      <c r="A282" s="1" t="s">
        <v>1215</v>
      </c>
      <c r="B282" s="1" t="s">
        <v>34</v>
      </c>
      <c r="C282" s="1" t="s">
        <v>361</v>
      </c>
      <c r="D282" s="1"/>
      <c r="E282" s="6">
        <v>23422</v>
      </c>
      <c r="F282" s="1" t="s">
        <v>84</v>
      </c>
      <c r="G282" s="1">
        <v>1998</v>
      </c>
      <c r="H282" s="1">
        <v>17</v>
      </c>
      <c r="I282" s="7">
        <v>35950</v>
      </c>
      <c r="J282" s="7">
        <v>41685</v>
      </c>
      <c r="K282" s="8" t="s">
        <v>37</v>
      </c>
      <c r="L282" s="9" t="e">
        <f t="shared" ca="1" si="0"/>
        <v>#NAME?</v>
      </c>
      <c r="M282" s="9" t="e">
        <f t="shared" ca="1" si="1"/>
        <v>#NAME?</v>
      </c>
      <c r="N282" s="10" t="e">
        <f t="shared" ca="1" si="2"/>
        <v>#NAME?</v>
      </c>
      <c r="O282" s="1" t="s">
        <v>38</v>
      </c>
      <c r="P282" s="1"/>
      <c r="Q282" s="1" t="s">
        <v>521</v>
      </c>
      <c r="R282" s="1" t="s">
        <v>1216</v>
      </c>
      <c r="S282" s="1" t="s">
        <v>1217</v>
      </c>
      <c r="T282" s="1" t="s">
        <v>170</v>
      </c>
      <c r="U282" s="1" t="s">
        <v>1218</v>
      </c>
      <c r="X282" s="1">
        <v>2</v>
      </c>
      <c r="Y282" s="7">
        <v>39485</v>
      </c>
      <c r="Z282" s="7">
        <v>40133</v>
      </c>
      <c r="AA282" s="1">
        <v>565</v>
      </c>
      <c r="AB282" s="1">
        <v>0</v>
      </c>
      <c r="AC282" s="1">
        <v>0</v>
      </c>
      <c r="AD282" s="1" t="s">
        <v>1219</v>
      </c>
    </row>
    <row r="283" spans="1:31" ht="13">
      <c r="A283" s="1" t="s">
        <v>1220</v>
      </c>
      <c r="B283" s="1" t="s">
        <v>394</v>
      </c>
      <c r="C283" s="1" t="s">
        <v>35</v>
      </c>
      <c r="D283" s="1"/>
      <c r="E283" s="6">
        <v>18960</v>
      </c>
      <c r="F283" s="1" t="s">
        <v>36</v>
      </c>
      <c r="G283" s="1">
        <v>1998</v>
      </c>
      <c r="H283" s="1">
        <v>17</v>
      </c>
      <c r="I283" s="7">
        <v>35950</v>
      </c>
      <c r="J283" s="7">
        <v>39675</v>
      </c>
      <c r="K283" s="8" t="s">
        <v>37</v>
      </c>
      <c r="L283" s="9" t="e">
        <f t="shared" ca="1" si="0"/>
        <v>#NAME?</v>
      </c>
      <c r="M283" s="9" t="e">
        <f t="shared" ca="1" si="1"/>
        <v>#NAME?</v>
      </c>
      <c r="N283" s="10" t="e">
        <f t="shared" ca="1" si="2"/>
        <v>#NAME?</v>
      </c>
      <c r="O283" s="1" t="s">
        <v>38</v>
      </c>
      <c r="P283" s="1"/>
      <c r="Q283" s="1" t="s">
        <v>90</v>
      </c>
      <c r="R283" s="1" t="s">
        <v>504</v>
      </c>
      <c r="S283" s="1" t="s">
        <v>469</v>
      </c>
      <c r="T283" s="1" t="s">
        <v>1221</v>
      </c>
      <c r="X283" s="1">
        <v>1</v>
      </c>
      <c r="Y283" s="7">
        <v>39302</v>
      </c>
      <c r="Z283" s="7">
        <v>39302</v>
      </c>
      <c r="AA283" s="1">
        <v>305</v>
      </c>
      <c r="AB283" s="1">
        <v>0</v>
      </c>
      <c r="AC283" s="1">
        <v>0</v>
      </c>
      <c r="AD283" s="1" t="s">
        <v>1222</v>
      </c>
    </row>
    <row r="284" spans="1:31" ht="13">
      <c r="A284" s="1" t="s">
        <v>1223</v>
      </c>
      <c r="B284" s="1" t="s">
        <v>34</v>
      </c>
      <c r="C284" s="1" t="s">
        <v>35</v>
      </c>
      <c r="D284" s="1"/>
      <c r="E284" s="6">
        <v>23830</v>
      </c>
      <c r="F284" s="1" t="s">
        <v>84</v>
      </c>
      <c r="G284" s="1">
        <v>1998</v>
      </c>
      <c r="H284" s="1">
        <v>17</v>
      </c>
      <c r="I284" s="7">
        <v>35950</v>
      </c>
      <c r="J284" s="17">
        <v>39225</v>
      </c>
      <c r="K284" s="8" t="s">
        <v>1127</v>
      </c>
      <c r="L284" s="9" t="e">
        <f t="shared" ca="1" si="0"/>
        <v>#NAME?</v>
      </c>
      <c r="M284" s="9" t="e">
        <f t="shared" ca="1" si="1"/>
        <v>#NAME?</v>
      </c>
      <c r="N284" s="10" t="e">
        <f t="shared" ca="1" si="2"/>
        <v>#NAME?</v>
      </c>
      <c r="O284" s="1" t="s">
        <v>38</v>
      </c>
      <c r="P284" s="1"/>
      <c r="Q284" s="1" t="s">
        <v>90</v>
      </c>
      <c r="R284" s="1" t="s">
        <v>1134</v>
      </c>
      <c r="S284" s="1" t="s">
        <v>1224</v>
      </c>
      <c r="T284" s="1" t="s">
        <v>139</v>
      </c>
      <c r="U284" s="1" t="s">
        <v>955</v>
      </c>
      <c r="V284" s="1" t="s">
        <v>43</v>
      </c>
      <c r="W284" s="1" t="s">
        <v>44</v>
      </c>
      <c r="X284" s="1">
        <v>1</v>
      </c>
      <c r="Y284" s="7">
        <v>39060</v>
      </c>
      <c r="Z284" s="7">
        <v>39060</v>
      </c>
      <c r="AA284" s="1">
        <v>308</v>
      </c>
      <c r="AB284" s="1">
        <v>0</v>
      </c>
      <c r="AC284" s="1">
        <v>0</v>
      </c>
      <c r="AD284" s="1" t="s">
        <v>1076</v>
      </c>
    </row>
    <row r="285" spans="1:31" ht="13">
      <c r="A285" s="1" t="s">
        <v>1225</v>
      </c>
      <c r="B285" s="1" t="s">
        <v>34</v>
      </c>
      <c r="C285" s="1" t="s">
        <v>530</v>
      </c>
      <c r="D285" s="1" t="s">
        <v>827</v>
      </c>
      <c r="E285" s="6">
        <v>24252</v>
      </c>
      <c r="F285" s="1" t="s">
        <v>124</v>
      </c>
      <c r="G285" s="1">
        <v>1998</v>
      </c>
      <c r="H285" s="1">
        <v>17</v>
      </c>
      <c r="I285" s="7">
        <v>35950</v>
      </c>
      <c r="J285" s="7">
        <v>40323</v>
      </c>
      <c r="K285" s="8" t="s">
        <v>37</v>
      </c>
      <c r="L285" s="9" t="e">
        <f t="shared" ca="1" si="0"/>
        <v>#NAME?</v>
      </c>
      <c r="M285" s="9" t="e">
        <f t="shared" ca="1" si="1"/>
        <v>#NAME?</v>
      </c>
      <c r="N285" s="10" t="e">
        <f t="shared" ca="1" si="2"/>
        <v>#NAME?</v>
      </c>
      <c r="O285" s="1" t="s">
        <v>38</v>
      </c>
      <c r="P285" s="1"/>
      <c r="Q285" s="1" t="s">
        <v>90</v>
      </c>
      <c r="R285" s="1" t="s">
        <v>1226</v>
      </c>
      <c r="S285" s="1" t="s">
        <v>1227</v>
      </c>
      <c r="T285" s="1" t="s">
        <v>62</v>
      </c>
      <c r="U285" s="1" t="s">
        <v>1228</v>
      </c>
      <c r="X285" s="1">
        <v>2</v>
      </c>
      <c r="Y285" s="7">
        <v>39241</v>
      </c>
      <c r="Z285" s="7">
        <v>40053</v>
      </c>
      <c r="AA285" s="1">
        <v>665</v>
      </c>
      <c r="AB285" s="1">
        <v>5</v>
      </c>
      <c r="AC285" s="1">
        <v>34</v>
      </c>
      <c r="AD285" s="1" t="s">
        <v>1229</v>
      </c>
    </row>
    <row r="286" spans="1:31" ht="13">
      <c r="A286" s="1" t="s">
        <v>1230</v>
      </c>
      <c r="B286" s="1" t="s">
        <v>34</v>
      </c>
      <c r="C286" s="1" t="s">
        <v>35</v>
      </c>
      <c r="D286" s="1"/>
      <c r="E286" s="6">
        <v>23458</v>
      </c>
      <c r="F286" s="1" t="s">
        <v>124</v>
      </c>
      <c r="G286" s="1">
        <v>1998</v>
      </c>
      <c r="H286" s="1">
        <v>17</v>
      </c>
      <c r="I286" s="7">
        <v>35950</v>
      </c>
      <c r="J286" s="7">
        <v>41060</v>
      </c>
      <c r="K286" s="8" t="s">
        <v>37</v>
      </c>
      <c r="L286" s="9" t="e">
        <f t="shared" ca="1" si="0"/>
        <v>#NAME?</v>
      </c>
      <c r="M286" s="9" t="e">
        <f t="shared" ca="1" si="1"/>
        <v>#NAME?</v>
      </c>
      <c r="N286" s="10" t="e">
        <f t="shared" ca="1" si="2"/>
        <v>#NAME?</v>
      </c>
      <c r="O286" s="1" t="s">
        <v>38</v>
      </c>
      <c r="P286" s="1"/>
      <c r="Q286" s="1" t="s">
        <v>90</v>
      </c>
      <c r="R286" s="1" t="s">
        <v>1231</v>
      </c>
      <c r="S286" s="1" t="s">
        <v>1232</v>
      </c>
      <c r="T286" s="1" t="s">
        <v>55</v>
      </c>
      <c r="U286" s="1" t="s">
        <v>1233</v>
      </c>
      <c r="X286" s="1">
        <v>2</v>
      </c>
      <c r="Y286" s="7">
        <v>39060</v>
      </c>
      <c r="Z286" s="7">
        <v>40217</v>
      </c>
      <c r="AA286" s="1">
        <v>638</v>
      </c>
      <c r="AB286" s="1">
        <v>3</v>
      </c>
      <c r="AC286" s="1">
        <v>18</v>
      </c>
      <c r="AD286" s="1" t="s">
        <v>1234</v>
      </c>
    </row>
    <row r="287" spans="1:31" ht="13">
      <c r="A287" s="1" t="s">
        <v>1235</v>
      </c>
      <c r="B287" s="1" t="s">
        <v>34</v>
      </c>
      <c r="C287" s="1" t="s">
        <v>35</v>
      </c>
      <c r="D287" s="1"/>
      <c r="E287" s="6">
        <v>22590</v>
      </c>
      <c r="F287" s="1" t="s">
        <v>84</v>
      </c>
      <c r="G287" s="1">
        <v>1998</v>
      </c>
      <c r="H287" s="1">
        <v>17</v>
      </c>
      <c r="I287" s="7">
        <v>35950</v>
      </c>
      <c r="J287" s="7">
        <v>40527</v>
      </c>
      <c r="K287" s="8" t="s">
        <v>37</v>
      </c>
      <c r="L287" s="9" t="e">
        <f t="shared" ca="1" si="0"/>
        <v>#NAME?</v>
      </c>
      <c r="M287" s="9" t="e">
        <f t="shared" ca="1" si="1"/>
        <v>#NAME?</v>
      </c>
      <c r="N287" s="10" t="e">
        <f t="shared" ca="1" si="2"/>
        <v>#NAME?</v>
      </c>
      <c r="O287" s="1" t="s">
        <v>38</v>
      </c>
      <c r="P287" s="1"/>
      <c r="Q287" s="1" t="s">
        <v>39</v>
      </c>
      <c r="R287" s="1" t="s">
        <v>1236</v>
      </c>
      <c r="S287" s="1" t="s">
        <v>1237</v>
      </c>
      <c r="T287" s="1" t="s">
        <v>87</v>
      </c>
      <c r="U287" s="1" t="s">
        <v>42</v>
      </c>
      <c r="V287" s="1" t="s">
        <v>71</v>
      </c>
      <c r="W287" s="1" t="s">
        <v>150</v>
      </c>
      <c r="X287" s="1">
        <v>2</v>
      </c>
      <c r="Y287" s="7">
        <v>39485</v>
      </c>
      <c r="Z287" s="7">
        <v>40273</v>
      </c>
      <c r="AA287" s="1">
        <v>669</v>
      </c>
      <c r="AB287" s="1">
        <v>0</v>
      </c>
      <c r="AC287" s="1">
        <v>0</v>
      </c>
      <c r="AD287" s="1" t="s">
        <v>1238</v>
      </c>
      <c r="AE287" s="6">
        <v>41091</v>
      </c>
    </row>
    <row r="288" spans="1:31" ht="13">
      <c r="A288" s="1" t="s">
        <v>1239</v>
      </c>
      <c r="B288" s="1" t="s">
        <v>34</v>
      </c>
      <c r="C288" s="1" t="s">
        <v>35</v>
      </c>
      <c r="D288" s="1"/>
      <c r="E288" s="6">
        <v>24878</v>
      </c>
      <c r="F288" s="1" t="s">
        <v>124</v>
      </c>
      <c r="G288" s="1">
        <v>1998</v>
      </c>
      <c r="H288" s="1">
        <v>17</v>
      </c>
      <c r="I288" s="7">
        <v>35950</v>
      </c>
      <c r="J288" s="7">
        <v>40617</v>
      </c>
      <c r="K288" s="8" t="s">
        <v>37</v>
      </c>
      <c r="L288" s="9" t="e">
        <f t="shared" ca="1" si="0"/>
        <v>#NAME?</v>
      </c>
      <c r="M288" s="9" t="e">
        <f t="shared" ca="1" si="1"/>
        <v>#NAME?</v>
      </c>
      <c r="N288" s="10" t="e">
        <f t="shared" ca="1" si="2"/>
        <v>#NAME?</v>
      </c>
      <c r="O288" s="1" t="s">
        <v>38</v>
      </c>
      <c r="P288" s="1"/>
      <c r="Q288" s="1" t="s">
        <v>90</v>
      </c>
      <c r="R288" s="1" t="s">
        <v>1240</v>
      </c>
      <c r="S288" s="1" t="s">
        <v>1241</v>
      </c>
      <c r="T288" s="1" t="s">
        <v>1242</v>
      </c>
      <c r="U288" s="1" t="s">
        <v>452</v>
      </c>
      <c r="X288" s="1">
        <v>2</v>
      </c>
      <c r="Y288" s="7">
        <v>39518</v>
      </c>
      <c r="Z288" s="7">
        <v>40312</v>
      </c>
      <c r="AA288" s="1">
        <v>2571</v>
      </c>
      <c r="AB288" s="1">
        <v>3</v>
      </c>
      <c r="AC288" s="1">
        <v>21</v>
      </c>
      <c r="AD288" s="1" t="s">
        <v>1243</v>
      </c>
    </row>
    <row r="289" spans="1:33" ht="13">
      <c r="A289" s="1" t="s">
        <v>1244</v>
      </c>
      <c r="B289" s="1" t="s">
        <v>394</v>
      </c>
      <c r="C289" s="1" t="s">
        <v>35</v>
      </c>
      <c r="D289" s="1"/>
      <c r="E289" s="6">
        <v>23082</v>
      </c>
      <c r="F289" s="1" t="s">
        <v>124</v>
      </c>
      <c r="G289" s="1">
        <v>1998</v>
      </c>
      <c r="H289" s="1">
        <v>17</v>
      </c>
      <c r="I289" s="7">
        <v>35950</v>
      </c>
      <c r="J289" s="14">
        <v>37035</v>
      </c>
      <c r="K289" s="13" t="s">
        <v>59</v>
      </c>
      <c r="L289" s="9" t="e">
        <f t="shared" ca="1" si="0"/>
        <v>#NAME?</v>
      </c>
      <c r="M289" s="9" t="str">
        <f t="shared" si="1"/>
        <v>N/A</v>
      </c>
      <c r="N289" s="10" t="str">
        <f t="shared" si="2"/>
        <v>N/A</v>
      </c>
      <c r="O289" s="1" t="s">
        <v>38</v>
      </c>
      <c r="P289" s="1"/>
      <c r="Q289" s="1" t="s">
        <v>39</v>
      </c>
      <c r="R289" s="1" t="s">
        <v>1245</v>
      </c>
      <c r="S289" s="1" t="s">
        <v>1246</v>
      </c>
      <c r="T289" s="1" t="s">
        <v>810</v>
      </c>
      <c r="U289" s="1" t="s">
        <v>201</v>
      </c>
      <c r="X289" s="1">
        <v>0</v>
      </c>
      <c r="Y289" s="7"/>
      <c r="Z289" s="7"/>
      <c r="AA289" s="1">
        <v>0</v>
      </c>
      <c r="AB289" s="1">
        <v>0</v>
      </c>
      <c r="AC289" s="1">
        <v>0</v>
      </c>
      <c r="AE289" s="6">
        <v>37035</v>
      </c>
      <c r="AG289" s="1" t="s">
        <v>183</v>
      </c>
    </row>
    <row r="290" spans="1:33" ht="13">
      <c r="A290" s="1" t="s">
        <v>1247</v>
      </c>
      <c r="B290" s="1" t="s">
        <v>34</v>
      </c>
      <c r="C290" s="1" t="s">
        <v>35</v>
      </c>
      <c r="D290" s="1"/>
      <c r="E290" s="6">
        <v>22253</v>
      </c>
      <c r="F290" s="1" t="s">
        <v>124</v>
      </c>
      <c r="G290" s="1">
        <v>1998</v>
      </c>
      <c r="H290" s="1">
        <v>17</v>
      </c>
      <c r="I290" s="7">
        <v>35950</v>
      </c>
      <c r="J290" s="7">
        <v>42246</v>
      </c>
      <c r="K290" s="8" t="s">
        <v>37</v>
      </c>
      <c r="L290" s="9" t="e">
        <f t="shared" ca="1" si="0"/>
        <v>#NAME?</v>
      </c>
      <c r="M290" s="9" t="e">
        <f t="shared" ca="1" si="1"/>
        <v>#NAME?</v>
      </c>
      <c r="N290" s="10" t="e">
        <f t="shared" ca="1" si="2"/>
        <v>#NAME?</v>
      </c>
      <c r="O290" s="1" t="s">
        <v>38</v>
      </c>
      <c r="P290" s="1"/>
      <c r="Q290" s="1" t="s">
        <v>1057</v>
      </c>
      <c r="R290" s="1" t="s">
        <v>1248</v>
      </c>
      <c r="S290" s="1" t="s">
        <v>1249</v>
      </c>
      <c r="T290" s="1" t="s">
        <v>400</v>
      </c>
      <c r="U290" s="1" t="s">
        <v>1250</v>
      </c>
      <c r="X290" s="1">
        <v>3</v>
      </c>
      <c r="Y290" s="7">
        <v>39241</v>
      </c>
      <c r="Z290" s="7">
        <v>41723</v>
      </c>
      <c r="AA290" s="1">
        <v>4700</v>
      </c>
      <c r="AB290" s="1">
        <v>5</v>
      </c>
      <c r="AC290" s="1">
        <v>28</v>
      </c>
      <c r="AD290" s="1" t="s">
        <v>1251</v>
      </c>
    </row>
    <row r="291" spans="1:33" ht="13">
      <c r="A291" s="1" t="s">
        <v>1252</v>
      </c>
      <c r="B291" s="1" t="s">
        <v>34</v>
      </c>
      <c r="C291" s="1" t="s">
        <v>35</v>
      </c>
      <c r="D291" s="1"/>
      <c r="E291" s="6">
        <v>22041</v>
      </c>
      <c r="F291" s="1" t="s">
        <v>84</v>
      </c>
      <c r="G291" s="1">
        <v>1998</v>
      </c>
      <c r="H291" s="1">
        <v>17</v>
      </c>
      <c r="I291" s="7">
        <v>35950</v>
      </c>
      <c r="J291" s="7">
        <f t="shared" ref="J291:J292" ca="1" si="4">TODAY()</f>
        <v>44606</v>
      </c>
      <c r="K291" s="8" t="s">
        <v>1056</v>
      </c>
      <c r="L291" s="9" t="e">
        <f t="shared" ca="1" si="0"/>
        <v>#NAME?</v>
      </c>
      <c r="M291" s="9" t="e">
        <f t="shared" ca="1" si="1"/>
        <v>#NAME?</v>
      </c>
      <c r="N291" s="10" t="e">
        <f t="shared" ca="1" si="2"/>
        <v>#NAME?</v>
      </c>
      <c r="O291" s="1" t="s">
        <v>38</v>
      </c>
      <c r="P291" s="1"/>
      <c r="Q291" s="1" t="s">
        <v>1057</v>
      </c>
      <c r="R291" s="1" t="s">
        <v>1253</v>
      </c>
      <c r="S291" s="1" t="s">
        <v>779</v>
      </c>
      <c r="T291" s="1" t="s">
        <v>821</v>
      </c>
      <c r="U291" s="1" t="s">
        <v>87</v>
      </c>
      <c r="V291" s="1" t="s">
        <v>49</v>
      </c>
      <c r="W291" s="1" t="s">
        <v>674</v>
      </c>
      <c r="X291" s="1">
        <v>2</v>
      </c>
      <c r="Y291" s="7">
        <v>39378</v>
      </c>
      <c r="Z291" s="7">
        <v>40344</v>
      </c>
      <c r="AA291" s="1">
        <v>4281</v>
      </c>
      <c r="AB291" s="1">
        <v>6</v>
      </c>
      <c r="AC291" s="1">
        <v>43</v>
      </c>
      <c r="AD291" s="1" t="s">
        <v>1254</v>
      </c>
    </row>
    <row r="292" spans="1:33" ht="13">
      <c r="A292" s="1" t="s">
        <v>1255</v>
      </c>
      <c r="B292" s="1" t="s">
        <v>394</v>
      </c>
      <c r="C292" s="1" t="s">
        <v>459</v>
      </c>
      <c r="D292" s="1" t="s">
        <v>961</v>
      </c>
      <c r="E292" s="6">
        <v>24004</v>
      </c>
      <c r="F292" s="1" t="s">
        <v>84</v>
      </c>
      <c r="G292" s="1">
        <v>1998</v>
      </c>
      <c r="H292" s="1">
        <v>17</v>
      </c>
      <c r="I292" s="7">
        <v>35950</v>
      </c>
      <c r="J292" s="7">
        <f t="shared" ca="1" si="4"/>
        <v>44606</v>
      </c>
      <c r="K292" s="8" t="s">
        <v>1056</v>
      </c>
      <c r="L292" s="9" t="e">
        <f t="shared" ca="1" si="0"/>
        <v>#NAME?</v>
      </c>
      <c r="M292" s="9" t="e">
        <f t="shared" ca="1" si="1"/>
        <v>#NAME?</v>
      </c>
      <c r="N292" s="10" t="e">
        <f t="shared" ca="1" si="2"/>
        <v>#NAME?</v>
      </c>
      <c r="O292" s="1" t="s">
        <v>38</v>
      </c>
      <c r="P292" s="1"/>
      <c r="Q292" s="1" t="s">
        <v>1057</v>
      </c>
      <c r="R292" s="1" t="s">
        <v>1256</v>
      </c>
      <c r="S292" s="1" t="s">
        <v>1257</v>
      </c>
      <c r="T292" s="1" t="s">
        <v>736</v>
      </c>
      <c r="U292" s="1" t="s">
        <v>654</v>
      </c>
      <c r="V292" s="1" t="s">
        <v>71</v>
      </c>
      <c r="W292" s="1" t="s">
        <v>150</v>
      </c>
      <c r="X292" s="1">
        <v>2</v>
      </c>
      <c r="Y292" s="7">
        <v>39060</v>
      </c>
      <c r="Z292" s="7">
        <v>41104</v>
      </c>
      <c r="AA292" s="1">
        <v>7721</v>
      </c>
      <c r="AB292" s="1">
        <v>7</v>
      </c>
      <c r="AC292" s="1">
        <v>50</v>
      </c>
      <c r="AD292" s="1" t="s">
        <v>1258</v>
      </c>
    </row>
    <row r="293" spans="1:33" ht="13">
      <c r="A293" s="1" t="s">
        <v>1259</v>
      </c>
      <c r="B293" s="1" t="s">
        <v>34</v>
      </c>
      <c r="C293" s="1" t="s">
        <v>35</v>
      </c>
      <c r="D293" s="1"/>
      <c r="E293" s="6">
        <v>22853</v>
      </c>
      <c r="F293" s="1" t="s">
        <v>84</v>
      </c>
      <c r="G293" s="1">
        <v>1998</v>
      </c>
      <c r="H293" s="1">
        <v>17</v>
      </c>
      <c r="I293" s="7">
        <v>35950</v>
      </c>
      <c r="J293" s="7">
        <v>39736</v>
      </c>
      <c r="K293" s="8" t="s">
        <v>37</v>
      </c>
      <c r="L293" s="9" t="e">
        <f t="shared" ca="1" si="0"/>
        <v>#NAME?</v>
      </c>
      <c r="M293" s="9" t="str">
        <f t="shared" si="1"/>
        <v>N/A</v>
      </c>
      <c r="N293" s="10" t="str">
        <f t="shared" si="2"/>
        <v>N/A</v>
      </c>
      <c r="O293" s="1" t="s">
        <v>38</v>
      </c>
      <c r="P293" s="1"/>
      <c r="Q293" s="1" t="s">
        <v>90</v>
      </c>
      <c r="R293" s="1" t="s">
        <v>102</v>
      </c>
      <c r="S293" s="1" t="s">
        <v>1260</v>
      </c>
      <c r="T293" s="1" t="s">
        <v>158</v>
      </c>
      <c r="U293" s="1" t="s">
        <v>1261</v>
      </c>
      <c r="V293" s="1" t="s">
        <v>43</v>
      </c>
      <c r="W293" s="1" t="s">
        <v>150</v>
      </c>
      <c r="X293" s="1">
        <v>0</v>
      </c>
      <c r="Y293" s="7"/>
      <c r="Z293" s="7"/>
      <c r="AA293" s="1">
        <v>0</v>
      </c>
      <c r="AB293" s="1">
        <v>0</v>
      </c>
      <c r="AC293" s="1">
        <v>0</v>
      </c>
      <c r="AG293" s="1" t="s">
        <v>1262</v>
      </c>
    </row>
    <row r="294" spans="1:33" ht="13">
      <c r="A294" s="1" t="s">
        <v>1263</v>
      </c>
      <c r="B294" s="1" t="s">
        <v>34</v>
      </c>
      <c r="C294" s="1" t="s">
        <v>530</v>
      </c>
      <c r="D294" s="1" t="s">
        <v>1264</v>
      </c>
      <c r="E294" s="6">
        <v>22826</v>
      </c>
      <c r="F294" s="1" t="s">
        <v>84</v>
      </c>
      <c r="G294" s="1">
        <v>1998</v>
      </c>
      <c r="H294" s="1">
        <v>17</v>
      </c>
      <c r="I294" s="7">
        <v>35950</v>
      </c>
      <c r="J294" s="7">
        <v>41344</v>
      </c>
      <c r="K294" s="8" t="s">
        <v>37</v>
      </c>
      <c r="L294" s="9" t="e">
        <f t="shared" ca="1" si="0"/>
        <v>#NAME?</v>
      </c>
      <c r="M294" s="9" t="e">
        <f t="shared" ca="1" si="1"/>
        <v>#NAME?</v>
      </c>
      <c r="N294" s="10" t="e">
        <f t="shared" ca="1" si="2"/>
        <v>#NAME?</v>
      </c>
      <c r="O294" s="1" t="s">
        <v>38</v>
      </c>
      <c r="P294" s="1"/>
      <c r="Q294" s="1" t="s">
        <v>90</v>
      </c>
      <c r="R294" s="1" t="s">
        <v>1265</v>
      </c>
      <c r="S294" s="1" t="s">
        <v>1257</v>
      </c>
      <c r="T294" s="1" t="s">
        <v>272</v>
      </c>
      <c r="U294" s="1" t="s">
        <v>654</v>
      </c>
      <c r="V294" s="1" t="s">
        <v>49</v>
      </c>
      <c r="W294" s="1" t="s">
        <v>56</v>
      </c>
      <c r="X294" s="1">
        <v>2</v>
      </c>
      <c r="Y294" s="7">
        <v>39378</v>
      </c>
      <c r="Z294" s="7">
        <v>40217</v>
      </c>
      <c r="AA294" s="1">
        <v>692</v>
      </c>
      <c r="AB294" s="1">
        <v>0</v>
      </c>
      <c r="AC294" s="1">
        <v>0</v>
      </c>
      <c r="AD294" s="1" t="s">
        <v>1266</v>
      </c>
    </row>
    <row r="295" spans="1:33" ht="13">
      <c r="A295" s="1" t="s">
        <v>1267</v>
      </c>
      <c r="B295" s="1" t="s">
        <v>34</v>
      </c>
      <c r="C295" s="1" t="s">
        <v>35</v>
      </c>
      <c r="D295" s="1"/>
      <c r="E295" s="6">
        <v>24707</v>
      </c>
      <c r="F295" s="1" t="s">
        <v>84</v>
      </c>
      <c r="G295" s="1">
        <v>2000</v>
      </c>
      <c r="H295" s="1">
        <v>18</v>
      </c>
      <c r="I295" s="7">
        <v>36733</v>
      </c>
      <c r="J295" s="7">
        <v>42195</v>
      </c>
      <c r="K295" s="8" t="s">
        <v>37</v>
      </c>
      <c r="L295" s="9" t="e">
        <f t="shared" ca="1" si="0"/>
        <v>#NAME?</v>
      </c>
      <c r="M295" s="9" t="e">
        <f t="shared" ca="1" si="1"/>
        <v>#NAME?</v>
      </c>
      <c r="N295" s="10" t="e">
        <f t="shared" ca="1" si="2"/>
        <v>#NAME?</v>
      </c>
      <c r="O295" s="1" t="s">
        <v>38</v>
      </c>
      <c r="P295" s="1"/>
      <c r="Q295" s="1" t="s">
        <v>1057</v>
      </c>
      <c r="R295" s="1" t="s">
        <v>1268</v>
      </c>
      <c r="S295" s="1" t="s">
        <v>1269</v>
      </c>
      <c r="T295" s="1" t="s">
        <v>175</v>
      </c>
      <c r="U295" s="1" t="s">
        <v>175</v>
      </c>
      <c r="V295" s="1" t="s">
        <v>43</v>
      </c>
      <c r="W295" s="1" t="s">
        <v>150</v>
      </c>
      <c r="X295" s="1">
        <v>2</v>
      </c>
      <c r="Y295" s="7">
        <v>39887</v>
      </c>
      <c r="Z295" s="7">
        <v>40312</v>
      </c>
      <c r="AA295" s="1">
        <v>579</v>
      </c>
      <c r="AB295" s="1">
        <v>0</v>
      </c>
      <c r="AC295" s="1">
        <v>0</v>
      </c>
      <c r="AD295" s="1" t="s">
        <v>1270</v>
      </c>
    </row>
    <row r="296" spans="1:33" ht="13">
      <c r="A296" s="1" t="s">
        <v>1271</v>
      </c>
      <c r="B296" s="1" t="s">
        <v>34</v>
      </c>
      <c r="C296" s="1" t="s">
        <v>35</v>
      </c>
      <c r="D296" s="1"/>
      <c r="E296" s="6">
        <v>21656</v>
      </c>
      <c r="F296" s="1" t="s">
        <v>124</v>
      </c>
      <c r="G296" s="1">
        <v>2000</v>
      </c>
      <c r="H296" s="1">
        <v>18</v>
      </c>
      <c r="I296" s="7">
        <v>36733</v>
      </c>
      <c r="J296" s="7">
        <f t="shared" ref="J296:J299" ca="1" si="5">TODAY()</f>
        <v>44606</v>
      </c>
      <c r="K296" s="8" t="s">
        <v>1056</v>
      </c>
      <c r="L296" s="9" t="e">
        <f t="shared" ca="1" si="0"/>
        <v>#NAME?</v>
      </c>
      <c r="M296" s="9" t="e">
        <f t="shared" ca="1" si="1"/>
        <v>#NAME?</v>
      </c>
      <c r="N296" s="10" t="e">
        <f t="shared" ca="1" si="2"/>
        <v>#NAME?</v>
      </c>
      <c r="O296" s="1" t="s">
        <v>38</v>
      </c>
      <c r="P296" s="1"/>
      <c r="Q296" s="1" t="s">
        <v>1057</v>
      </c>
      <c r="R296" s="1" t="s">
        <v>1272</v>
      </c>
      <c r="S296" s="1" t="s">
        <v>1273</v>
      </c>
      <c r="T296" s="1" t="s">
        <v>1054</v>
      </c>
      <c r="U296" s="1" t="s">
        <v>1274</v>
      </c>
      <c r="X296" s="1">
        <v>2</v>
      </c>
      <c r="Y296" s="7">
        <v>39898</v>
      </c>
      <c r="Z296" s="7">
        <v>40598</v>
      </c>
      <c r="AA296" s="1">
        <v>5075</v>
      </c>
      <c r="AB296" s="1">
        <v>1</v>
      </c>
      <c r="AC296" s="1">
        <v>5</v>
      </c>
      <c r="AD296" s="1" t="s">
        <v>1275</v>
      </c>
    </row>
    <row r="297" spans="1:33" ht="13">
      <c r="A297" s="1" t="s">
        <v>1276</v>
      </c>
      <c r="B297" s="1" t="s">
        <v>34</v>
      </c>
      <c r="C297" s="1" t="s">
        <v>35</v>
      </c>
      <c r="D297" s="1"/>
      <c r="E297" s="6">
        <v>25777</v>
      </c>
      <c r="F297" s="1" t="s">
        <v>84</v>
      </c>
      <c r="G297" s="1">
        <v>2000</v>
      </c>
      <c r="H297" s="1">
        <v>18</v>
      </c>
      <c r="I297" s="7">
        <v>36733</v>
      </c>
      <c r="J297" s="7">
        <f t="shared" ca="1" si="5"/>
        <v>44606</v>
      </c>
      <c r="K297" s="8" t="s">
        <v>1056</v>
      </c>
      <c r="L297" s="9" t="e">
        <f t="shared" ca="1" si="0"/>
        <v>#NAME?</v>
      </c>
      <c r="M297" s="9" t="e">
        <f t="shared" ca="1" si="1"/>
        <v>#NAME?</v>
      </c>
      <c r="N297" s="10" t="e">
        <f t="shared" ca="1" si="2"/>
        <v>#NAME?</v>
      </c>
      <c r="O297" s="1" t="s">
        <v>38</v>
      </c>
      <c r="P297" s="1"/>
      <c r="Q297" s="1" t="s">
        <v>1057</v>
      </c>
      <c r="R297" s="1" t="s">
        <v>1277</v>
      </c>
      <c r="S297" s="1" t="s">
        <v>1278</v>
      </c>
      <c r="T297" s="1" t="s">
        <v>1279</v>
      </c>
      <c r="U297" s="1" t="s">
        <v>62</v>
      </c>
      <c r="V297" s="1" t="s">
        <v>49</v>
      </c>
      <c r="W297" s="1" t="s">
        <v>64</v>
      </c>
      <c r="X297" s="1">
        <v>3</v>
      </c>
      <c r="Y297" s="7">
        <v>39518</v>
      </c>
      <c r="Z297" s="17">
        <v>43981</v>
      </c>
      <c r="AA297" s="1" t="s">
        <v>1280</v>
      </c>
      <c r="AB297" s="1">
        <v>10</v>
      </c>
      <c r="AC297" s="1" t="s">
        <v>1281</v>
      </c>
      <c r="AD297" s="1" t="s">
        <v>1282</v>
      </c>
    </row>
    <row r="298" spans="1:33" ht="13">
      <c r="A298" s="1" t="s">
        <v>1283</v>
      </c>
      <c r="B298" s="1" t="s">
        <v>34</v>
      </c>
      <c r="C298" s="1" t="s">
        <v>35</v>
      </c>
      <c r="D298" s="1"/>
      <c r="E298" s="6">
        <v>23651</v>
      </c>
      <c r="F298" s="1" t="s">
        <v>84</v>
      </c>
      <c r="G298" s="1">
        <v>2000</v>
      </c>
      <c r="H298" s="1">
        <v>18</v>
      </c>
      <c r="I298" s="7">
        <v>36733</v>
      </c>
      <c r="J298" s="7">
        <f t="shared" ca="1" si="5"/>
        <v>44606</v>
      </c>
      <c r="K298" s="8" t="s">
        <v>1056</v>
      </c>
      <c r="L298" s="9" t="e">
        <f t="shared" ca="1" si="0"/>
        <v>#NAME?</v>
      </c>
      <c r="M298" s="9" t="e">
        <f t="shared" ca="1" si="1"/>
        <v>#NAME?</v>
      </c>
      <c r="N298" s="10" t="e">
        <f t="shared" ca="1" si="2"/>
        <v>#NAME?</v>
      </c>
      <c r="O298" s="1" t="s">
        <v>38</v>
      </c>
      <c r="P298" s="1"/>
      <c r="Q298" s="1" t="s">
        <v>1057</v>
      </c>
      <c r="R298" s="1" t="s">
        <v>311</v>
      </c>
      <c r="S298" s="1" t="s">
        <v>628</v>
      </c>
      <c r="T298" s="1" t="s">
        <v>42</v>
      </c>
      <c r="U298" s="1" t="s">
        <v>139</v>
      </c>
      <c r="V298" s="1" t="s">
        <v>49</v>
      </c>
      <c r="W298" s="1" t="s">
        <v>64</v>
      </c>
      <c r="X298" s="1">
        <v>2</v>
      </c>
      <c r="Y298" s="7">
        <v>39766</v>
      </c>
      <c r="Z298" s="7">
        <v>40598</v>
      </c>
      <c r="AA298" s="1">
        <v>687</v>
      </c>
      <c r="AB298" s="1">
        <v>0</v>
      </c>
      <c r="AC298" s="1">
        <v>0</v>
      </c>
      <c r="AD298" s="1" t="s">
        <v>1284</v>
      </c>
    </row>
    <row r="299" spans="1:33" ht="13">
      <c r="A299" s="1" t="s">
        <v>1285</v>
      </c>
      <c r="B299" s="1" t="s">
        <v>34</v>
      </c>
      <c r="C299" s="1" t="s">
        <v>35</v>
      </c>
      <c r="D299" s="1"/>
      <c r="E299" s="6">
        <v>23420</v>
      </c>
      <c r="F299" s="1" t="s">
        <v>84</v>
      </c>
      <c r="G299" s="1">
        <v>2000</v>
      </c>
      <c r="H299" s="1">
        <v>18</v>
      </c>
      <c r="I299" s="7">
        <v>36733</v>
      </c>
      <c r="J299" s="7">
        <f t="shared" ca="1" si="5"/>
        <v>44606</v>
      </c>
      <c r="K299" s="8" t="s">
        <v>1056</v>
      </c>
      <c r="L299" s="9" t="e">
        <f t="shared" ca="1" si="0"/>
        <v>#NAME?</v>
      </c>
      <c r="M299" s="9" t="e">
        <f t="shared" ca="1" si="1"/>
        <v>#NAME?</v>
      </c>
      <c r="N299" s="10" t="e">
        <f t="shared" ca="1" si="2"/>
        <v>#NAME?</v>
      </c>
      <c r="O299" s="1" t="s">
        <v>38</v>
      </c>
      <c r="P299" s="1"/>
      <c r="Q299" s="1" t="s">
        <v>1057</v>
      </c>
      <c r="R299" s="1" t="s">
        <v>1286</v>
      </c>
      <c r="S299" s="1" t="s">
        <v>227</v>
      </c>
      <c r="T299" s="1" t="s">
        <v>139</v>
      </c>
      <c r="U299" s="1" t="s">
        <v>900</v>
      </c>
      <c r="V299" s="1" t="s">
        <v>71</v>
      </c>
      <c r="W299" s="1" t="s">
        <v>150</v>
      </c>
      <c r="X299" s="1">
        <v>3</v>
      </c>
      <c r="Y299" s="7">
        <v>39766</v>
      </c>
      <c r="Z299" s="7">
        <v>40598</v>
      </c>
      <c r="AA299" s="1">
        <v>970</v>
      </c>
      <c r="AB299" s="1">
        <v>7</v>
      </c>
      <c r="AC299" s="1">
        <v>47</v>
      </c>
      <c r="AD299" s="1" t="s">
        <v>1287</v>
      </c>
    </row>
    <row r="300" spans="1:33" ht="13">
      <c r="A300" s="1" t="s">
        <v>1288</v>
      </c>
      <c r="B300" s="1" t="s">
        <v>34</v>
      </c>
      <c r="C300" s="1" t="s">
        <v>361</v>
      </c>
      <c r="D300" s="1"/>
      <c r="E300" s="6">
        <v>22955</v>
      </c>
      <c r="F300" s="1" t="s">
        <v>84</v>
      </c>
      <c r="G300" s="1">
        <v>2000</v>
      </c>
      <c r="H300" s="1">
        <v>18</v>
      </c>
      <c r="I300" s="7">
        <v>36733</v>
      </c>
      <c r="J300" s="7">
        <v>41562</v>
      </c>
      <c r="K300" s="8" t="s">
        <v>37</v>
      </c>
      <c r="L300" s="9" t="e">
        <f t="shared" ca="1" si="0"/>
        <v>#NAME?</v>
      </c>
      <c r="M300" s="9" t="e">
        <f t="shared" ca="1" si="1"/>
        <v>#NAME?</v>
      </c>
      <c r="N300" s="10" t="e">
        <f t="shared" ca="1" si="2"/>
        <v>#NAME?</v>
      </c>
      <c r="O300" s="1" t="s">
        <v>38</v>
      </c>
      <c r="P300" s="1"/>
      <c r="Q300" s="1" t="s">
        <v>90</v>
      </c>
      <c r="R300" s="1" t="s">
        <v>407</v>
      </c>
      <c r="S300" s="1" t="s">
        <v>1289</v>
      </c>
      <c r="T300" s="1" t="s">
        <v>1290</v>
      </c>
      <c r="U300" s="1" t="s">
        <v>1291</v>
      </c>
      <c r="V300" s="1" t="s">
        <v>49</v>
      </c>
      <c r="W300" s="1" t="s">
        <v>64</v>
      </c>
      <c r="X300" s="1">
        <v>2</v>
      </c>
      <c r="Y300" s="7">
        <v>39302</v>
      </c>
      <c r="Z300" s="7">
        <v>40598</v>
      </c>
      <c r="AA300" s="1">
        <v>613</v>
      </c>
      <c r="AB300" s="1">
        <v>2</v>
      </c>
      <c r="AC300" s="1">
        <v>13</v>
      </c>
      <c r="AD300" s="1" t="s">
        <v>1292</v>
      </c>
    </row>
    <row r="301" spans="1:33" ht="13">
      <c r="A301" s="1" t="s">
        <v>1293</v>
      </c>
      <c r="B301" s="1" t="s">
        <v>34</v>
      </c>
      <c r="C301" s="1" t="s">
        <v>35</v>
      </c>
      <c r="D301" s="1"/>
      <c r="E301" s="6">
        <v>23979</v>
      </c>
      <c r="F301" s="1" t="s">
        <v>124</v>
      </c>
      <c r="G301" s="1">
        <v>2000</v>
      </c>
      <c r="H301" s="1">
        <v>18</v>
      </c>
      <c r="I301" s="7">
        <v>36733</v>
      </c>
      <c r="J301" s="7">
        <f ca="1">TODAY()</f>
        <v>44606</v>
      </c>
      <c r="K301" s="8" t="s">
        <v>1056</v>
      </c>
      <c r="L301" s="9" t="e">
        <f t="shared" ca="1" si="0"/>
        <v>#NAME?</v>
      </c>
      <c r="M301" s="9" t="e">
        <f t="shared" ca="1" si="1"/>
        <v>#NAME?</v>
      </c>
      <c r="N301" s="10" t="e">
        <f t="shared" ca="1" si="2"/>
        <v>#NAME?</v>
      </c>
      <c r="O301" s="1" t="s">
        <v>38</v>
      </c>
      <c r="P301" s="1"/>
      <c r="Q301" s="1" t="s">
        <v>1057</v>
      </c>
      <c r="R301" s="1" t="s">
        <v>1294</v>
      </c>
      <c r="S301" s="1" t="s">
        <v>1295</v>
      </c>
      <c r="T301" s="1" t="s">
        <v>1296</v>
      </c>
      <c r="U301" s="1" t="s">
        <v>1297</v>
      </c>
      <c r="X301" s="1">
        <v>3</v>
      </c>
      <c r="Y301" s="7">
        <v>39944</v>
      </c>
      <c r="Z301" s="17">
        <v>43180</v>
      </c>
      <c r="AA301" s="1" t="s">
        <v>1298</v>
      </c>
      <c r="AB301" s="1">
        <v>9</v>
      </c>
      <c r="AC301" s="1" t="s">
        <v>1299</v>
      </c>
      <c r="AD301" s="1" t="s">
        <v>1300</v>
      </c>
    </row>
    <row r="302" spans="1:33" ht="13">
      <c r="A302" s="1" t="s">
        <v>1301</v>
      </c>
      <c r="B302" s="1" t="s">
        <v>34</v>
      </c>
      <c r="C302" s="1" t="s">
        <v>35</v>
      </c>
      <c r="D302" s="1"/>
      <c r="E302" s="6">
        <v>22104</v>
      </c>
      <c r="F302" s="1" t="s">
        <v>124</v>
      </c>
      <c r="G302" s="1">
        <v>2000</v>
      </c>
      <c r="H302" s="1">
        <v>18</v>
      </c>
      <c r="I302" s="7">
        <v>36733</v>
      </c>
      <c r="J302" s="7">
        <v>42398</v>
      </c>
      <c r="K302" s="8" t="s">
        <v>37</v>
      </c>
      <c r="L302" s="9" t="e">
        <f t="shared" ca="1" si="0"/>
        <v>#NAME?</v>
      </c>
      <c r="M302" s="9" t="e">
        <f t="shared" ca="1" si="1"/>
        <v>#NAME?</v>
      </c>
      <c r="N302" s="10" t="e">
        <f t="shared" ca="1" si="2"/>
        <v>#NAME?</v>
      </c>
      <c r="O302" s="1" t="s">
        <v>38</v>
      </c>
      <c r="P302" s="1"/>
      <c r="Q302" s="1" t="s">
        <v>1057</v>
      </c>
      <c r="R302" s="1" t="s">
        <v>1302</v>
      </c>
      <c r="S302" s="1" t="s">
        <v>1303</v>
      </c>
      <c r="T302" s="1" t="s">
        <v>87</v>
      </c>
      <c r="U302" s="1" t="s">
        <v>1304</v>
      </c>
      <c r="V302" s="1" t="s">
        <v>49</v>
      </c>
      <c r="W302" s="1" t="s">
        <v>50</v>
      </c>
      <c r="X302" s="1">
        <v>2</v>
      </c>
      <c r="Y302" s="7">
        <v>40053</v>
      </c>
      <c r="Z302" s="7">
        <v>41205</v>
      </c>
      <c r="AA302" s="1">
        <v>3781</v>
      </c>
      <c r="AB302" s="1">
        <v>0</v>
      </c>
      <c r="AC302" s="1">
        <v>0</v>
      </c>
      <c r="AD302" s="1" t="s">
        <v>1305</v>
      </c>
    </row>
    <row r="303" spans="1:33" ht="13">
      <c r="A303" s="1" t="s">
        <v>1306</v>
      </c>
      <c r="B303" s="1" t="s">
        <v>34</v>
      </c>
      <c r="C303" s="1" t="s">
        <v>35</v>
      </c>
      <c r="D303" s="1"/>
      <c r="E303" s="6">
        <v>22574</v>
      </c>
      <c r="F303" s="1" t="s">
        <v>84</v>
      </c>
      <c r="G303" s="1">
        <v>2000</v>
      </c>
      <c r="H303" s="1">
        <v>18</v>
      </c>
      <c r="I303" s="7">
        <v>36733</v>
      </c>
      <c r="J303" s="7">
        <v>41258</v>
      </c>
      <c r="K303" s="8" t="s">
        <v>37</v>
      </c>
      <c r="L303" s="9" t="e">
        <f t="shared" ca="1" si="0"/>
        <v>#NAME?</v>
      </c>
      <c r="M303" s="9" t="e">
        <f t="shared" ca="1" si="1"/>
        <v>#NAME?</v>
      </c>
      <c r="N303" s="10" t="e">
        <f t="shared" ca="1" si="2"/>
        <v>#NAME?</v>
      </c>
      <c r="O303" s="1" t="s">
        <v>38</v>
      </c>
      <c r="P303" s="1"/>
      <c r="Q303" s="1" t="s">
        <v>521</v>
      </c>
      <c r="R303" s="1" t="s">
        <v>1307</v>
      </c>
      <c r="S303" s="1" t="s">
        <v>1308</v>
      </c>
      <c r="T303" s="1" t="s">
        <v>1309</v>
      </c>
      <c r="U303" s="1" t="s">
        <v>1310</v>
      </c>
      <c r="V303" s="1" t="s">
        <v>49</v>
      </c>
      <c r="W303" s="1" t="s">
        <v>50</v>
      </c>
      <c r="X303" s="1">
        <v>2</v>
      </c>
      <c r="Y303" s="7">
        <v>39599</v>
      </c>
      <c r="Z303" s="7">
        <v>40637</v>
      </c>
      <c r="AA303" s="1">
        <v>4271</v>
      </c>
      <c r="AB303" s="1">
        <v>4</v>
      </c>
      <c r="AC303" s="1">
        <v>27</v>
      </c>
      <c r="AD303" s="1" t="s">
        <v>1311</v>
      </c>
    </row>
    <row r="304" spans="1:33" ht="13">
      <c r="A304" s="1" t="s">
        <v>1312</v>
      </c>
      <c r="B304" s="1" t="s">
        <v>34</v>
      </c>
      <c r="C304" s="1" t="s">
        <v>35</v>
      </c>
      <c r="D304" s="1"/>
      <c r="E304" s="6">
        <v>22932</v>
      </c>
      <c r="F304" s="1" t="s">
        <v>84</v>
      </c>
      <c r="G304" s="1">
        <v>2000</v>
      </c>
      <c r="H304" s="1">
        <v>18</v>
      </c>
      <c r="I304" s="7">
        <v>36733</v>
      </c>
      <c r="J304" s="7">
        <v>41014</v>
      </c>
      <c r="K304" s="8" t="s">
        <v>37</v>
      </c>
      <c r="L304" s="9" t="e">
        <f t="shared" ca="1" si="0"/>
        <v>#NAME?</v>
      </c>
      <c r="M304" s="9" t="e">
        <f t="shared" ca="1" si="1"/>
        <v>#NAME?</v>
      </c>
      <c r="N304" s="10" t="e">
        <f t="shared" ca="1" si="2"/>
        <v>#NAME?</v>
      </c>
      <c r="O304" s="1" t="s">
        <v>38</v>
      </c>
      <c r="P304" s="1"/>
      <c r="Q304" s="1" t="s">
        <v>521</v>
      </c>
      <c r="R304" s="1" t="s">
        <v>1313</v>
      </c>
      <c r="S304" s="1" t="s">
        <v>658</v>
      </c>
      <c r="T304" s="1" t="s">
        <v>87</v>
      </c>
      <c r="U304" s="1" t="s">
        <v>87</v>
      </c>
      <c r="V304" s="1" t="s">
        <v>49</v>
      </c>
      <c r="W304" s="1" t="s">
        <v>50</v>
      </c>
      <c r="X304" s="1">
        <v>2</v>
      </c>
      <c r="Y304" s="7">
        <v>39944</v>
      </c>
      <c r="Z304" s="7">
        <v>40312</v>
      </c>
      <c r="AA304" s="1">
        <v>592</v>
      </c>
      <c r="AB304" s="1">
        <v>4</v>
      </c>
      <c r="AC304" s="1">
        <v>30</v>
      </c>
      <c r="AD304" s="1" t="s">
        <v>1314</v>
      </c>
    </row>
    <row r="305" spans="1:33" ht="13">
      <c r="A305" s="1" t="s">
        <v>1315</v>
      </c>
      <c r="B305" s="1" t="s">
        <v>34</v>
      </c>
      <c r="C305" s="1" t="s">
        <v>35</v>
      </c>
      <c r="D305" s="1"/>
      <c r="E305" s="6">
        <v>24401</v>
      </c>
      <c r="F305" s="1" t="s">
        <v>36</v>
      </c>
      <c r="G305" s="1">
        <v>2000</v>
      </c>
      <c r="H305" s="1">
        <v>18</v>
      </c>
      <c r="I305" s="7">
        <v>36733</v>
      </c>
      <c r="J305" s="17">
        <v>44393</v>
      </c>
      <c r="K305" s="8" t="s">
        <v>37</v>
      </c>
      <c r="L305" s="9" t="e">
        <f t="shared" ca="1" si="0"/>
        <v>#NAME?</v>
      </c>
      <c r="M305" s="9" t="e">
        <f t="shared" ca="1" si="1"/>
        <v>#NAME?</v>
      </c>
      <c r="N305" s="10" t="e">
        <f t="shared" ca="1" si="2"/>
        <v>#NAME?</v>
      </c>
      <c r="O305" s="1" t="s">
        <v>38</v>
      </c>
      <c r="P305" s="1"/>
      <c r="Q305" s="1" t="s">
        <v>1057</v>
      </c>
      <c r="R305" s="1" t="s">
        <v>1316</v>
      </c>
      <c r="S305" s="1" t="s">
        <v>1317</v>
      </c>
      <c r="T305" s="1" t="s">
        <v>506</v>
      </c>
      <c r="V305" s="1" t="s">
        <v>49</v>
      </c>
      <c r="W305" s="1" t="s">
        <v>182</v>
      </c>
      <c r="X305" s="1">
        <v>2</v>
      </c>
      <c r="Y305" s="7">
        <v>40009</v>
      </c>
      <c r="Z305" s="7">
        <v>40732</v>
      </c>
      <c r="AA305" s="1">
        <v>683</v>
      </c>
      <c r="AB305" s="1">
        <v>0</v>
      </c>
      <c r="AC305" s="1">
        <v>0</v>
      </c>
      <c r="AD305" s="1" t="s">
        <v>1318</v>
      </c>
    </row>
    <row r="306" spans="1:33" ht="13">
      <c r="A306" s="1" t="s">
        <v>1319</v>
      </c>
      <c r="B306" s="1" t="s">
        <v>34</v>
      </c>
      <c r="C306" s="1" t="s">
        <v>35</v>
      </c>
      <c r="D306" s="1"/>
      <c r="E306" s="6">
        <v>23110</v>
      </c>
      <c r="F306" s="1" t="s">
        <v>84</v>
      </c>
      <c r="G306" s="1">
        <v>2000</v>
      </c>
      <c r="H306" s="1">
        <v>18</v>
      </c>
      <c r="I306" s="7">
        <v>36733</v>
      </c>
      <c r="J306" s="17">
        <v>43374</v>
      </c>
      <c r="K306" s="8" t="s">
        <v>37</v>
      </c>
      <c r="L306" s="9" t="e">
        <f t="shared" ca="1" si="0"/>
        <v>#NAME?</v>
      </c>
      <c r="M306" s="9" t="e">
        <f t="shared" ca="1" si="1"/>
        <v>#NAME?</v>
      </c>
      <c r="N306" s="10" t="e">
        <f t="shared" ca="1" si="2"/>
        <v>#NAME?</v>
      </c>
      <c r="O306" s="1" t="s">
        <v>38</v>
      </c>
      <c r="P306" s="1"/>
      <c r="Q306" s="1" t="s">
        <v>1057</v>
      </c>
      <c r="R306" s="1" t="s">
        <v>782</v>
      </c>
      <c r="S306" s="1" t="s">
        <v>1320</v>
      </c>
      <c r="T306" s="1" t="s">
        <v>1008</v>
      </c>
      <c r="U306" s="1" t="s">
        <v>1321</v>
      </c>
      <c r="V306" s="1" t="s">
        <v>49</v>
      </c>
      <c r="W306" s="1" t="s">
        <v>490</v>
      </c>
      <c r="X306" s="1">
        <v>2</v>
      </c>
      <c r="Y306" s="7">
        <v>40009</v>
      </c>
      <c r="Z306" s="7">
        <v>42353</v>
      </c>
      <c r="AA306" s="1">
        <v>5857</v>
      </c>
      <c r="AB306" s="1">
        <v>3</v>
      </c>
      <c r="AC306" s="1">
        <v>13</v>
      </c>
      <c r="AD306" s="1" t="s">
        <v>1322</v>
      </c>
    </row>
    <row r="307" spans="1:33" ht="13">
      <c r="A307" s="1" t="s">
        <v>1323</v>
      </c>
      <c r="B307" s="1" t="s">
        <v>394</v>
      </c>
      <c r="C307" s="1" t="s">
        <v>35</v>
      </c>
      <c r="D307" s="1"/>
      <c r="E307" s="6">
        <v>26175</v>
      </c>
      <c r="F307" s="1" t="s">
        <v>124</v>
      </c>
      <c r="G307" s="1">
        <v>2000</v>
      </c>
      <c r="H307" s="1">
        <v>18</v>
      </c>
      <c r="I307" s="7">
        <v>36733</v>
      </c>
      <c r="J307" s="7">
        <f ca="1">TODAY()</f>
        <v>44606</v>
      </c>
      <c r="K307" s="8" t="s">
        <v>1056</v>
      </c>
      <c r="L307" s="9" t="e">
        <f t="shared" ca="1" si="0"/>
        <v>#NAME?</v>
      </c>
      <c r="M307" s="9" t="e">
        <f t="shared" ca="1" si="1"/>
        <v>#NAME?</v>
      </c>
      <c r="N307" s="10" t="e">
        <f t="shared" ca="1" si="2"/>
        <v>#NAME?</v>
      </c>
      <c r="O307" s="1" t="s">
        <v>38</v>
      </c>
      <c r="P307" s="1"/>
      <c r="Q307" s="1" t="s">
        <v>1057</v>
      </c>
      <c r="R307" s="1" t="s">
        <v>1324</v>
      </c>
      <c r="S307" s="1" t="s">
        <v>1325</v>
      </c>
      <c r="T307" s="1" t="s">
        <v>87</v>
      </c>
      <c r="U307" s="1" t="s">
        <v>1326</v>
      </c>
      <c r="X307" s="1">
        <v>2</v>
      </c>
      <c r="Y307" s="7">
        <v>39944</v>
      </c>
      <c r="Z307" s="17">
        <v>44309</v>
      </c>
      <c r="AA307" s="1" t="s">
        <v>1327</v>
      </c>
      <c r="AB307" s="1">
        <v>0</v>
      </c>
      <c r="AC307" s="1">
        <v>0</v>
      </c>
      <c r="AD307" s="1" t="s">
        <v>1328</v>
      </c>
    </row>
    <row r="308" spans="1:33" ht="13">
      <c r="A308" s="1" t="s">
        <v>1329</v>
      </c>
      <c r="B308" s="1" t="s">
        <v>394</v>
      </c>
      <c r="C308" s="1" t="s">
        <v>35</v>
      </c>
      <c r="D308" s="1"/>
      <c r="E308" s="6">
        <v>25483</v>
      </c>
      <c r="F308" s="1" t="s">
        <v>124</v>
      </c>
      <c r="G308" s="1">
        <v>2000</v>
      </c>
      <c r="H308" s="1">
        <v>18</v>
      </c>
      <c r="I308" s="7">
        <v>36733</v>
      </c>
      <c r="J308" s="17">
        <v>43921</v>
      </c>
      <c r="K308" s="8" t="s">
        <v>37</v>
      </c>
      <c r="L308" s="9" t="e">
        <f t="shared" ca="1" si="0"/>
        <v>#NAME?</v>
      </c>
      <c r="M308" s="9" t="e">
        <f t="shared" ca="1" si="1"/>
        <v>#NAME?</v>
      </c>
      <c r="N308" s="10" t="e">
        <f t="shared" ca="1" si="2"/>
        <v>#NAME?</v>
      </c>
      <c r="O308" s="1" t="s">
        <v>38</v>
      </c>
      <c r="P308" s="1"/>
      <c r="Q308" s="1" t="s">
        <v>1057</v>
      </c>
      <c r="R308" s="1" t="s">
        <v>1330</v>
      </c>
      <c r="S308" s="1" t="s">
        <v>1331</v>
      </c>
      <c r="T308" s="1" t="s">
        <v>62</v>
      </c>
      <c r="U308" s="1" t="s">
        <v>62</v>
      </c>
      <c r="X308" s="1">
        <v>2</v>
      </c>
      <c r="Y308" s="7">
        <v>39599</v>
      </c>
      <c r="Z308" s="7">
        <v>41422</v>
      </c>
      <c r="AA308" s="1">
        <v>4320</v>
      </c>
      <c r="AB308" s="1">
        <v>0</v>
      </c>
      <c r="AC308" s="1">
        <v>0</v>
      </c>
      <c r="AD308" s="1" t="s">
        <v>1332</v>
      </c>
    </row>
    <row r="309" spans="1:33" ht="13">
      <c r="A309" s="1" t="s">
        <v>1333</v>
      </c>
      <c r="B309" s="1" t="s">
        <v>394</v>
      </c>
      <c r="C309" s="1" t="s">
        <v>35</v>
      </c>
      <c r="D309" s="1"/>
      <c r="E309" s="6">
        <v>22969</v>
      </c>
      <c r="F309" s="1" t="s">
        <v>84</v>
      </c>
      <c r="G309" s="1">
        <v>2000</v>
      </c>
      <c r="H309" s="1">
        <v>18</v>
      </c>
      <c r="I309" s="7">
        <v>36733</v>
      </c>
      <c r="J309" s="7">
        <v>42155</v>
      </c>
      <c r="K309" s="8" t="s">
        <v>37</v>
      </c>
      <c r="L309" s="9" t="e">
        <f t="shared" ca="1" si="0"/>
        <v>#NAME?</v>
      </c>
      <c r="M309" s="9" t="e">
        <f t="shared" ca="1" si="1"/>
        <v>#NAME?</v>
      </c>
      <c r="N309" s="10" t="e">
        <f t="shared" ca="1" si="2"/>
        <v>#NAME?</v>
      </c>
      <c r="O309" s="1" t="s">
        <v>38</v>
      </c>
      <c r="P309" s="1"/>
      <c r="Q309" s="1" t="s">
        <v>1057</v>
      </c>
      <c r="R309" s="1" t="s">
        <v>1334</v>
      </c>
      <c r="S309" s="1" t="s">
        <v>1335</v>
      </c>
      <c r="T309" s="1" t="s">
        <v>42</v>
      </c>
      <c r="U309" s="1" t="s">
        <v>654</v>
      </c>
      <c r="X309" s="1">
        <v>2</v>
      </c>
      <c r="Y309" s="7">
        <v>40053</v>
      </c>
      <c r="Z309" s="7">
        <v>40598</v>
      </c>
      <c r="AA309" s="1">
        <v>2477</v>
      </c>
      <c r="AB309" s="1">
        <v>1</v>
      </c>
      <c r="AC309" s="1">
        <v>6</v>
      </c>
      <c r="AD309" s="1" t="s">
        <v>1336</v>
      </c>
    </row>
    <row r="310" spans="1:33" ht="13">
      <c r="A310" s="1" t="s">
        <v>1337</v>
      </c>
      <c r="B310" s="1" t="s">
        <v>34</v>
      </c>
      <c r="C310" s="1" t="s">
        <v>35</v>
      </c>
      <c r="D310" s="1"/>
      <c r="E310" s="6">
        <v>24807</v>
      </c>
      <c r="F310" s="1" t="s">
        <v>84</v>
      </c>
      <c r="G310" s="1">
        <v>2000</v>
      </c>
      <c r="H310" s="1">
        <v>18</v>
      </c>
      <c r="I310" s="7">
        <v>36733</v>
      </c>
      <c r="J310" s="7">
        <v>42605</v>
      </c>
      <c r="K310" s="8" t="s">
        <v>37</v>
      </c>
      <c r="L310" s="9" t="e">
        <f t="shared" ca="1" si="0"/>
        <v>#NAME?</v>
      </c>
      <c r="M310" s="9" t="e">
        <f t="shared" ca="1" si="1"/>
        <v>#NAME?</v>
      </c>
      <c r="N310" s="10" t="e">
        <f t="shared" ca="1" si="2"/>
        <v>#NAME?</v>
      </c>
      <c r="O310" s="1" t="s">
        <v>38</v>
      </c>
      <c r="P310" s="1"/>
      <c r="Q310" s="1" t="s">
        <v>1057</v>
      </c>
      <c r="R310" s="1" t="s">
        <v>631</v>
      </c>
      <c r="S310" s="1" t="s">
        <v>1289</v>
      </c>
      <c r="T310" s="1" t="s">
        <v>272</v>
      </c>
      <c r="U310" s="1" t="s">
        <v>228</v>
      </c>
      <c r="V310" s="1" t="s">
        <v>49</v>
      </c>
      <c r="W310" s="1" t="s">
        <v>64</v>
      </c>
      <c r="X310" s="1">
        <v>2</v>
      </c>
      <c r="Y310" s="7">
        <v>40217</v>
      </c>
      <c r="Z310" s="7">
        <v>41966</v>
      </c>
      <c r="AA310" s="1">
        <v>5122</v>
      </c>
      <c r="AB310" s="1">
        <v>3</v>
      </c>
      <c r="AC310" s="1">
        <v>18</v>
      </c>
      <c r="AD310" s="1" t="s">
        <v>1338</v>
      </c>
    </row>
    <row r="311" spans="1:33" ht="13">
      <c r="A311" s="1" t="s">
        <v>1339</v>
      </c>
      <c r="B311" s="1" t="s">
        <v>34</v>
      </c>
      <c r="C311" s="1" t="s">
        <v>35</v>
      </c>
      <c r="D311" s="1"/>
      <c r="E311" s="6">
        <v>23009</v>
      </c>
      <c r="F311" s="1" t="s">
        <v>84</v>
      </c>
      <c r="G311" s="1">
        <v>2000</v>
      </c>
      <c r="H311" s="1">
        <v>18</v>
      </c>
      <c r="I311" s="7">
        <v>36733</v>
      </c>
      <c r="J311" s="7">
        <f t="shared" ref="J311:J314" ca="1" si="6">TODAY()</f>
        <v>44606</v>
      </c>
      <c r="K311" s="8" t="s">
        <v>1056</v>
      </c>
      <c r="L311" s="9" t="e">
        <f t="shared" ca="1" si="0"/>
        <v>#NAME?</v>
      </c>
      <c r="M311" s="9" t="e">
        <f t="shared" ca="1" si="1"/>
        <v>#NAME?</v>
      </c>
      <c r="N311" s="10" t="e">
        <f t="shared" ca="1" si="2"/>
        <v>#NAME?</v>
      </c>
      <c r="O311" s="1" t="s">
        <v>38</v>
      </c>
      <c r="P311" s="1"/>
      <c r="Q311" s="1" t="s">
        <v>1057</v>
      </c>
      <c r="R311" s="1" t="s">
        <v>477</v>
      </c>
      <c r="S311" s="1" t="s">
        <v>1340</v>
      </c>
      <c r="T311" s="1" t="s">
        <v>139</v>
      </c>
      <c r="U311" s="1" t="s">
        <v>1341</v>
      </c>
      <c r="V311" s="1" t="s">
        <v>71</v>
      </c>
      <c r="W311" s="1" t="s">
        <v>150</v>
      </c>
      <c r="X311" s="1">
        <v>2</v>
      </c>
      <c r="Y311" s="7">
        <v>40133</v>
      </c>
      <c r="Z311" s="7">
        <v>41907</v>
      </c>
      <c r="AA311" s="1">
        <v>4272</v>
      </c>
      <c r="AB311" s="1">
        <v>4</v>
      </c>
      <c r="AC311" s="1">
        <v>25</v>
      </c>
      <c r="AD311" s="1" t="s">
        <v>1342</v>
      </c>
    </row>
    <row r="312" spans="1:33" ht="13">
      <c r="A312" s="1" t="s">
        <v>1343</v>
      </c>
      <c r="B312" s="1" t="s">
        <v>34</v>
      </c>
      <c r="C312" s="1" t="s">
        <v>530</v>
      </c>
      <c r="D312" s="1" t="s">
        <v>1344</v>
      </c>
      <c r="E312" s="6">
        <v>24609</v>
      </c>
      <c r="F312" s="1" t="s">
        <v>84</v>
      </c>
      <c r="G312" s="1">
        <v>2004</v>
      </c>
      <c r="H312" s="1">
        <v>19</v>
      </c>
      <c r="I312" s="7">
        <v>38113</v>
      </c>
      <c r="J312" s="7">
        <f t="shared" ca="1" si="6"/>
        <v>44606</v>
      </c>
      <c r="K312" s="8" t="s">
        <v>1056</v>
      </c>
      <c r="L312" s="9" t="e">
        <f t="shared" ca="1" si="0"/>
        <v>#NAME?</v>
      </c>
      <c r="M312" s="9" t="e">
        <f t="shared" ca="1" si="1"/>
        <v>#NAME?</v>
      </c>
      <c r="N312" s="10" t="e">
        <f t="shared" ca="1" si="2"/>
        <v>#NAME?</v>
      </c>
      <c r="O312" s="1" t="s">
        <v>38</v>
      </c>
      <c r="P312" s="1"/>
      <c r="Q312" s="1" t="s">
        <v>1057</v>
      </c>
      <c r="R312" s="1" t="s">
        <v>1345</v>
      </c>
      <c r="S312" s="1" t="s">
        <v>1346</v>
      </c>
      <c r="T312" s="1" t="s">
        <v>210</v>
      </c>
      <c r="U312" s="1" t="s">
        <v>210</v>
      </c>
      <c r="X312" s="1">
        <v>3</v>
      </c>
      <c r="Y312" s="7">
        <v>39887</v>
      </c>
      <c r="Z312" s="17">
        <v>42991</v>
      </c>
      <c r="AA312" s="1" t="s">
        <v>1347</v>
      </c>
      <c r="AB312" s="1">
        <v>3</v>
      </c>
      <c r="AC312" s="24" t="s">
        <v>1348</v>
      </c>
      <c r="AD312" s="1" t="s">
        <v>1349</v>
      </c>
    </row>
    <row r="313" spans="1:33" ht="13">
      <c r="A313" s="1" t="s">
        <v>1350</v>
      </c>
      <c r="B313" s="1" t="s">
        <v>34</v>
      </c>
      <c r="C313" s="1" t="s">
        <v>35</v>
      </c>
      <c r="D313" s="1"/>
      <c r="E313" s="6">
        <v>23341</v>
      </c>
      <c r="F313" s="1" t="s">
        <v>84</v>
      </c>
      <c r="G313" s="1">
        <v>2004</v>
      </c>
      <c r="H313" s="1">
        <v>19</v>
      </c>
      <c r="I313" s="7">
        <v>38113</v>
      </c>
      <c r="J313" s="7">
        <f t="shared" ca="1" si="6"/>
        <v>44606</v>
      </c>
      <c r="K313" s="8" t="s">
        <v>667</v>
      </c>
      <c r="L313" s="9" t="e">
        <f t="shared" ca="1" si="0"/>
        <v>#NAME?</v>
      </c>
      <c r="M313" s="9" t="e">
        <f t="shared" ca="1" si="1"/>
        <v>#NAME?</v>
      </c>
      <c r="N313" s="10" t="e">
        <f t="shared" ca="1" si="2"/>
        <v>#NAME?</v>
      </c>
      <c r="O313" s="1" t="s">
        <v>38</v>
      </c>
      <c r="P313" s="1"/>
      <c r="Q313" s="1" t="s">
        <v>1057</v>
      </c>
      <c r="R313" s="1" t="s">
        <v>1351</v>
      </c>
      <c r="S313" s="1" t="s">
        <v>1352</v>
      </c>
      <c r="T313" s="1" t="s">
        <v>1353</v>
      </c>
      <c r="U313" s="1" t="s">
        <v>1354</v>
      </c>
      <c r="X313" s="1">
        <v>2</v>
      </c>
      <c r="Y313" s="7">
        <v>39887</v>
      </c>
      <c r="Z313" s="17">
        <v>43180</v>
      </c>
      <c r="AA313" s="1" t="s">
        <v>1355</v>
      </c>
      <c r="AB313" s="1">
        <v>5</v>
      </c>
      <c r="AC313" s="1" t="s">
        <v>1356</v>
      </c>
      <c r="AD313" s="1" t="s">
        <v>1357</v>
      </c>
    </row>
    <row r="314" spans="1:33" ht="13">
      <c r="A314" s="1" t="s">
        <v>1358</v>
      </c>
      <c r="B314" s="1" t="s">
        <v>34</v>
      </c>
      <c r="C314" s="1" t="s">
        <v>35</v>
      </c>
      <c r="D314" s="1"/>
      <c r="E314" s="6">
        <v>24726</v>
      </c>
      <c r="F314" s="1" t="s">
        <v>84</v>
      </c>
      <c r="G314" s="1">
        <v>2004</v>
      </c>
      <c r="H314" s="1">
        <v>19</v>
      </c>
      <c r="I314" s="7">
        <v>38113</v>
      </c>
      <c r="J314" s="7">
        <f t="shared" ca="1" si="6"/>
        <v>44606</v>
      </c>
      <c r="K314" s="8" t="s">
        <v>1056</v>
      </c>
      <c r="L314" s="9" t="e">
        <f t="shared" ca="1" si="0"/>
        <v>#NAME?</v>
      </c>
      <c r="M314" s="9" t="e">
        <f t="shared" ca="1" si="1"/>
        <v>#NAME?</v>
      </c>
      <c r="N314" s="10" t="e">
        <f t="shared" ca="1" si="2"/>
        <v>#NAME?</v>
      </c>
      <c r="O314" s="1" t="s">
        <v>38</v>
      </c>
      <c r="P314" s="1"/>
      <c r="Q314" s="1" t="s">
        <v>1057</v>
      </c>
      <c r="R314" s="1" t="s">
        <v>1359</v>
      </c>
      <c r="S314" s="1" t="s">
        <v>1360</v>
      </c>
      <c r="T314" s="1" t="s">
        <v>272</v>
      </c>
      <c r="U314" s="1" t="s">
        <v>955</v>
      </c>
      <c r="V314" s="1" t="s">
        <v>49</v>
      </c>
      <c r="W314" s="1" t="s">
        <v>182</v>
      </c>
      <c r="X314" s="1">
        <v>2</v>
      </c>
      <c r="Y314" s="7">
        <v>40133</v>
      </c>
      <c r="Z314" s="17">
        <v>42944</v>
      </c>
      <c r="AA314" s="1" t="s">
        <v>1361</v>
      </c>
      <c r="AB314" s="1">
        <v>5</v>
      </c>
      <c r="AC314" s="1" t="s">
        <v>1362</v>
      </c>
      <c r="AD314" s="1" t="s">
        <v>1363</v>
      </c>
    </row>
    <row r="315" spans="1:33" ht="13">
      <c r="A315" s="1" t="s">
        <v>1364</v>
      </c>
      <c r="B315" s="1" t="s">
        <v>34</v>
      </c>
      <c r="C315" s="1" t="s">
        <v>35</v>
      </c>
      <c r="D315" s="1"/>
      <c r="E315" s="6">
        <v>25572</v>
      </c>
      <c r="F315" s="1" t="s">
        <v>84</v>
      </c>
      <c r="G315" s="1">
        <v>2004</v>
      </c>
      <c r="H315" s="1">
        <v>19</v>
      </c>
      <c r="I315" s="7">
        <v>38113</v>
      </c>
      <c r="J315" s="17">
        <v>44344</v>
      </c>
      <c r="K315" s="8" t="s">
        <v>37</v>
      </c>
      <c r="L315" s="9" t="e">
        <f t="shared" ca="1" si="0"/>
        <v>#NAME?</v>
      </c>
      <c r="M315" s="9" t="e">
        <f t="shared" ca="1" si="1"/>
        <v>#NAME?</v>
      </c>
      <c r="N315" s="10" t="e">
        <f t="shared" ca="1" si="2"/>
        <v>#NAME?</v>
      </c>
      <c r="O315" s="1" t="s">
        <v>38</v>
      </c>
      <c r="P315" s="1"/>
      <c r="Q315" s="1" t="s">
        <v>1057</v>
      </c>
      <c r="R315" s="1" t="s">
        <v>1365</v>
      </c>
      <c r="S315" s="1" t="s">
        <v>227</v>
      </c>
      <c r="T315" s="1" t="s">
        <v>272</v>
      </c>
      <c r="U315" s="1" t="s">
        <v>900</v>
      </c>
      <c r="V315" s="1" t="s">
        <v>43</v>
      </c>
      <c r="W315" s="1" t="s">
        <v>150</v>
      </c>
      <c r="X315" s="1">
        <v>3</v>
      </c>
      <c r="Y315" s="7">
        <v>40009</v>
      </c>
      <c r="Z315" s="17">
        <v>43930</v>
      </c>
      <c r="AA315" s="1" t="s">
        <v>1366</v>
      </c>
      <c r="AB315" s="1">
        <v>10</v>
      </c>
      <c r="AC315" s="1" t="s">
        <v>1367</v>
      </c>
      <c r="AD315" s="1" t="s">
        <v>1368</v>
      </c>
    </row>
    <row r="316" spans="1:33" ht="13">
      <c r="A316" s="1" t="s">
        <v>1369</v>
      </c>
      <c r="B316" s="1" t="s">
        <v>34</v>
      </c>
      <c r="C316" s="1" t="s">
        <v>35</v>
      </c>
      <c r="D316" s="1"/>
      <c r="E316" s="6">
        <v>25162</v>
      </c>
      <c r="F316" s="1" t="s">
        <v>84</v>
      </c>
      <c r="G316" s="1">
        <v>2004</v>
      </c>
      <c r="H316" s="1">
        <v>19</v>
      </c>
      <c r="I316" s="7">
        <v>38113</v>
      </c>
      <c r="J316" s="7">
        <v>41075</v>
      </c>
      <c r="K316" s="8" t="s">
        <v>37</v>
      </c>
      <c r="L316" s="9" t="e">
        <f t="shared" ca="1" si="0"/>
        <v>#NAME?</v>
      </c>
      <c r="M316" s="9" t="e">
        <f t="shared" ca="1" si="1"/>
        <v>#NAME?</v>
      </c>
      <c r="N316" s="10" t="e">
        <f t="shared" ca="1" si="2"/>
        <v>#NAME?</v>
      </c>
      <c r="O316" s="1" t="s">
        <v>38</v>
      </c>
      <c r="P316" s="1"/>
      <c r="Q316" s="1" t="s">
        <v>521</v>
      </c>
      <c r="R316" s="1" t="s">
        <v>1370</v>
      </c>
      <c r="S316" s="1" t="s">
        <v>1371</v>
      </c>
      <c r="T316" s="1" t="s">
        <v>104</v>
      </c>
      <c r="U316" s="1" t="s">
        <v>175</v>
      </c>
      <c r="V316" s="1" t="s">
        <v>49</v>
      </c>
      <c r="W316" s="1" t="s">
        <v>64</v>
      </c>
      <c r="X316" s="1">
        <v>1</v>
      </c>
      <c r="Y316" s="7">
        <v>40273</v>
      </c>
      <c r="Z316" s="7">
        <v>40273</v>
      </c>
      <c r="AA316" s="1">
        <v>362</v>
      </c>
      <c r="AB316" s="1">
        <v>0</v>
      </c>
      <c r="AC316" s="1">
        <v>0</v>
      </c>
      <c r="AD316" s="1" t="s">
        <v>1372</v>
      </c>
    </row>
    <row r="317" spans="1:33" ht="13">
      <c r="A317" s="1" t="s">
        <v>1373</v>
      </c>
      <c r="B317" s="1" t="s">
        <v>34</v>
      </c>
      <c r="C317" s="1" t="s">
        <v>530</v>
      </c>
      <c r="D317" s="1" t="s">
        <v>827</v>
      </c>
      <c r="E317" s="6">
        <v>22865</v>
      </c>
      <c r="F317" s="1" t="s">
        <v>84</v>
      </c>
      <c r="G317" s="1">
        <v>2004</v>
      </c>
      <c r="H317" s="1">
        <v>19</v>
      </c>
      <c r="I317" s="7">
        <v>38113</v>
      </c>
      <c r="J317" s="7">
        <v>40557</v>
      </c>
      <c r="K317" s="8" t="s">
        <v>37</v>
      </c>
      <c r="L317" s="9" t="e">
        <f t="shared" ca="1" si="0"/>
        <v>#NAME?</v>
      </c>
      <c r="M317" s="9" t="e">
        <f t="shared" ca="1" si="1"/>
        <v>#NAME?</v>
      </c>
      <c r="N317" s="10" t="e">
        <f t="shared" ca="1" si="2"/>
        <v>#NAME?</v>
      </c>
      <c r="O317" s="1" t="s">
        <v>38</v>
      </c>
      <c r="P317" s="1"/>
      <c r="Q317" s="1" t="s">
        <v>90</v>
      </c>
      <c r="R317" s="1" t="s">
        <v>1374</v>
      </c>
      <c r="S317" s="1" t="s">
        <v>1375</v>
      </c>
      <c r="T317" s="1" t="s">
        <v>139</v>
      </c>
      <c r="U317" s="1" t="s">
        <v>1376</v>
      </c>
      <c r="X317" s="1">
        <v>1</v>
      </c>
      <c r="Y317" s="7">
        <v>40053</v>
      </c>
      <c r="Z317" s="7">
        <v>40053</v>
      </c>
      <c r="AA317" s="1">
        <v>332</v>
      </c>
      <c r="AB317" s="1">
        <v>0</v>
      </c>
      <c r="AC317" s="1">
        <v>0</v>
      </c>
      <c r="AD317" s="1" t="s">
        <v>1377</v>
      </c>
    </row>
    <row r="318" spans="1:33" ht="13">
      <c r="A318" s="1" t="s">
        <v>1378</v>
      </c>
      <c r="B318" s="1" t="s">
        <v>34</v>
      </c>
      <c r="C318" s="1" t="s">
        <v>35</v>
      </c>
      <c r="D318" s="1"/>
      <c r="E318" s="6">
        <v>24627</v>
      </c>
      <c r="F318" s="1" t="s">
        <v>84</v>
      </c>
      <c r="G318" s="1">
        <v>2004</v>
      </c>
      <c r="H318" s="1">
        <v>19</v>
      </c>
      <c r="I318" s="7">
        <v>38113</v>
      </c>
      <c r="J318" s="7">
        <f t="shared" ref="J318:J319" ca="1" si="7">TODAY()</f>
        <v>44606</v>
      </c>
      <c r="K318" s="8" t="s">
        <v>1056</v>
      </c>
      <c r="L318" s="9" t="e">
        <f t="shared" ca="1" si="0"/>
        <v>#NAME?</v>
      </c>
      <c r="M318" s="9" t="e">
        <f t="shared" ca="1" si="1"/>
        <v>#NAME?</v>
      </c>
      <c r="N318" s="10" t="e">
        <f t="shared" ca="1" si="2"/>
        <v>#NAME?</v>
      </c>
      <c r="O318" s="1" t="s">
        <v>38</v>
      </c>
      <c r="P318" s="1"/>
      <c r="Q318" s="1" t="s">
        <v>1057</v>
      </c>
      <c r="R318" s="1" t="s">
        <v>1379</v>
      </c>
      <c r="S318" s="1" t="s">
        <v>779</v>
      </c>
      <c r="T318" s="1" t="s">
        <v>87</v>
      </c>
      <c r="U318" s="1" t="s">
        <v>592</v>
      </c>
      <c r="V318" s="1" t="s">
        <v>49</v>
      </c>
      <c r="W318" s="1" t="s">
        <v>674</v>
      </c>
      <c r="X318" s="1">
        <v>3</v>
      </c>
      <c r="Y318" s="17">
        <v>39766</v>
      </c>
      <c r="Z318" s="17">
        <v>44309</v>
      </c>
      <c r="AA318" s="1" t="s">
        <v>1380</v>
      </c>
      <c r="AB318" s="1">
        <v>9</v>
      </c>
      <c r="AC318" s="1" t="s">
        <v>1381</v>
      </c>
      <c r="AD318" s="1" t="s">
        <v>1382</v>
      </c>
    </row>
    <row r="319" spans="1:33" ht="13">
      <c r="A319" s="1" t="s">
        <v>1383</v>
      </c>
      <c r="B319" s="1" t="s">
        <v>34</v>
      </c>
      <c r="C319" s="1" t="s">
        <v>35</v>
      </c>
      <c r="D319" s="1"/>
      <c r="E319" s="6">
        <v>22157</v>
      </c>
      <c r="F319" s="1" t="s">
        <v>124</v>
      </c>
      <c r="G319" s="1">
        <v>2004</v>
      </c>
      <c r="H319" s="1">
        <v>19</v>
      </c>
      <c r="I319" s="7">
        <v>38113</v>
      </c>
      <c r="J319" s="7">
        <f t="shared" ca="1" si="7"/>
        <v>44606</v>
      </c>
      <c r="K319" s="8" t="s">
        <v>1056</v>
      </c>
      <c r="L319" s="9" t="e">
        <f t="shared" ca="1" si="0"/>
        <v>#NAME?</v>
      </c>
      <c r="M319" s="9" t="e">
        <f t="shared" ca="1" si="1"/>
        <v>#NAME?</v>
      </c>
      <c r="N319" s="10" t="e">
        <f t="shared" ca="1" si="2"/>
        <v>#NAME?</v>
      </c>
      <c r="O319" s="1" t="s">
        <v>38</v>
      </c>
      <c r="P319" s="1"/>
      <c r="Q319" s="1" t="s">
        <v>1057</v>
      </c>
      <c r="R319" s="1" t="s">
        <v>1384</v>
      </c>
      <c r="S319" s="1" t="s">
        <v>1385</v>
      </c>
      <c r="T319" s="1" t="s">
        <v>158</v>
      </c>
      <c r="U319" s="1" t="s">
        <v>1386</v>
      </c>
      <c r="X319" s="1">
        <v>3</v>
      </c>
      <c r="Y319" s="7">
        <v>40009</v>
      </c>
      <c r="Z319" s="17">
        <v>44511</v>
      </c>
      <c r="AA319" s="25">
        <v>3871</v>
      </c>
      <c r="AB319" s="1">
        <v>5</v>
      </c>
      <c r="AC319" s="1" t="s">
        <v>1387</v>
      </c>
      <c r="AD319" s="1" t="s">
        <v>1388</v>
      </c>
      <c r="AG319" s="1" t="s">
        <v>1389</v>
      </c>
    </row>
    <row r="320" spans="1:33" ht="13">
      <c r="A320" s="1" t="s">
        <v>1390</v>
      </c>
      <c r="B320" s="1" t="s">
        <v>394</v>
      </c>
      <c r="C320" s="1" t="s">
        <v>35</v>
      </c>
      <c r="D320" s="1"/>
      <c r="E320" s="6">
        <v>27516</v>
      </c>
      <c r="F320" s="1" t="s">
        <v>84</v>
      </c>
      <c r="G320" s="1">
        <v>2004</v>
      </c>
      <c r="H320" s="1">
        <v>19</v>
      </c>
      <c r="I320" s="7">
        <v>38113</v>
      </c>
      <c r="J320" s="7">
        <v>41803</v>
      </c>
      <c r="K320" s="8" t="s">
        <v>37</v>
      </c>
      <c r="L320" s="9" t="e">
        <f t="shared" ca="1" si="0"/>
        <v>#NAME?</v>
      </c>
      <c r="M320" s="9" t="e">
        <f t="shared" ca="1" si="1"/>
        <v>#NAME?</v>
      </c>
      <c r="N320" s="10" t="e">
        <f t="shared" ca="1" si="2"/>
        <v>#NAME?</v>
      </c>
      <c r="O320" s="1" t="s">
        <v>38</v>
      </c>
      <c r="P320" s="1"/>
      <c r="Q320" s="1" t="s">
        <v>1057</v>
      </c>
      <c r="R320" s="1" t="s">
        <v>1391</v>
      </c>
      <c r="S320" s="1" t="s">
        <v>1392</v>
      </c>
      <c r="T320" s="1" t="s">
        <v>210</v>
      </c>
      <c r="X320" s="1">
        <v>1</v>
      </c>
      <c r="Y320" s="7">
        <v>40273</v>
      </c>
      <c r="Z320" s="7">
        <v>40273</v>
      </c>
      <c r="AA320" s="1">
        <v>362</v>
      </c>
      <c r="AB320" s="1">
        <v>0</v>
      </c>
      <c r="AC320" s="1">
        <v>0</v>
      </c>
      <c r="AD320" s="1" t="s">
        <v>1372</v>
      </c>
    </row>
    <row r="321" spans="1:33" ht="13">
      <c r="A321" s="1" t="s">
        <v>1393</v>
      </c>
      <c r="B321" s="1" t="s">
        <v>34</v>
      </c>
      <c r="C321" s="1" t="s">
        <v>361</v>
      </c>
      <c r="D321" s="1"/>
      <c r="E321" s="6">
        <v>24007</v>
      </c>
      <c r="F321" s="1" t="s">
        <v>124</v>
      </c>
      <c r="G321" s="1">
        <v>2004</v>
      </c>
      <c r="H321" s="1">
        <v>19</v>
      </c>
      <c r="I321" s="7">
        <v>38113</v>
      </c>
      <c r="J321" s="7">
        <v>40801</v>
      </c>
      <c r="K321" s="8" t="s">
        <v>37</v>
      </c>
      <c r="L321" s="9" t="e">
        <f t="shared" ca="1" si="0"/>
        <v>#NAME?</v>
      </c>
      <c r="M321" s="9" t="e">
        <f t="shared" ca="1" si="1"/>
        <v>#NAME?</v>
      </c>
      <c r="N321" s="10" t="e">
        <f t="shared" ca="1" si="2"/>
        <v>#NAME?</v>
      </c>
      <c r="O321" s="1" t="s">
        <v>38</v>
      </c>
      <c r="P321" s="1"/>
      <c r="Q321" s="1" t="s">
        <v>90</v>
      </c>
      <c r="R321" s="1" t="s">
        <v>1394</v>
      </c>
      <c r="S321" s="1" t="s">
        <v>1395</v>
      </c>
      <c r="T321" s="1" t="s">
        <v>579</v>
      </c>
      <c r="U321" s="1" t="s">
        <v>1396</v>
      </c>
      <c r="X321" s="1">
        <v>1</v>
      </c>
      <c r="Y321" s="7">
        <v>40133</v>
      </c>
      <c r="Z321" s="7">
        <v>40133</v>
      </c>
      <c r="AA321" s="1">
        <v>259</v>
      </c>
      <c r="AB321" s="1">
        <v>2</v>
      </c>
      <c r="AC321" s="1">
        <v>12</v>
      </c>
      <c r="AD321" s="1" t="s">
        <v>1397</v>
      </c>
    </row>
    <row r="322" spans="1:33" ht="13">
      <c r="A322" s="1" t="s">
        <v>1398</v>
      </c>
      <c r="B322" s="1" t="s">
        <v>394</v>
      </c>
      <c r="C322" s="1" t="s">
        <v>35</v>
      </c>
      <c r="D322" s="1"/>
      <c r="E322" s="6">
        <v>23897</v>
      </c>
      <c r="F322" s="1" t="s">
        <v>124</v>
      </c>
      <c r="G322" s="1">
        <v>2004</v>
      </c>
      <c r="H322" s="1">
        <v>19</v>
      </c>
      <c r="I322" s="7">
        <v>38113</v>
      </c>
      <c r="J322" s="7">
        <f t="shared" ref="J322:J324" ca="1" si="8">TODAY()</f>
        <v>44606</v>
      </c>
      <c r="K322" s="8" t="s">
        <v>1056</v>
      </c>
      <c r="L322" s="9" t="e">
        <f t="shared" ca="1" si="0"/>
        <v>#NAME?</v>
      </c>
      <c r="M322" s="9" t="e">
        <f t="shared" ca="1" si="1"/>
        <v>#NAME?</v>
      </c>
      <c r="N322" s="10" t="e">
        <f t="shared" ca="1" si="2"/>
        <v>#NAME?</v>
      </c>
      <c r="O322" s="1" t="s">
        <v>38</v>
      </c>
      <c r="P322" s="1"/>
      <c r="Q322" s="1" t="s">
        <v>1057</v>
      </c>
      <c r="R322" s="1" t="s">
        <v>1399</v>
      </c>
      <c r="S322" s="1" t="s">
        <v>1400</v>
      </c>
      <c r="T322" s="1" t="s">
        <v>1401</v>
      </c>
      <c r="U322" s="1" t="s">
        <v>1401</v>
      </c>
      <c r="X322" s="1">
        <v>2</v>
      </c>
      <c r="Y322" s="7">
        <v>40344</v>
      </c>
      <c r="Z322" s="17">
        <v>44151</v>
      </c>
      <c r="AA322" s="1" t="s">
        <v>1402</v>
      </c>
      <c r="AB322" s="1">
        <v>0</v>
      </c>
      <c r="AC322" s="1">
        <v>0</v>
      </c>
      <c r="AD322" s="1" t="s">
        <v>1403</v>
      </c>
    </row>
    <row r="323" spans="1:33" ht="13">
      <c r="A323" s="1" t="s">
        <v>1404</v>
      </c>
      <c r="B323" s="1" t="s">
        <v>394</v>
      </c>
      <c r="C323" s="1" t="s">
        <v>530</v>
      </c>
      <c r="D323" s="1" t="s">
        <v>1405</v>
      </c>
      <c r="E323" s="6">
        <v>27859</v>
      </c>
      <c r="F323" s="1" t="s">
        <v>124</v>
      </c>
      <c r="G323" s="1">
        <v>2009</v>
      </c>
      <c r="H323" s="1">
        <v>20</v>
      </c>
      <c r="I323" s="7">
        <v>39993</v>
      </c>
      <c r="J323" s="7">
        <f t="shared" ca="1" si="8"/>
        <v>44606</v>
      </c>
      <c r="K323" s="8" t="s">
        <v>667</v>
      </c>
      <c r="L323" s="9" t="e">
        <f t="shared" ca="1" si="0"/>
        <v>#NAME?</v>
      </c>
      <c r="M323" s="9" t="e">
        <f t="shared" ca="1" si="1"/>
        <v>#NAME?</v>
      </c>
      <c r="N323" s="10" t="e">
        <f t="shared" ca="1" si="2"/>
        <v>#NAME?</v>
      </c>
      <c r="O323" s="1" t="s">
        <v>38</v>
      </c>
      <c r="P323" s="1"/>
      <c r="Q323" s="1" t="s">
        <v>521</v>
      </c>
      <c r="R323" s="1" t="s">
        <v>299</v>
      </c>
      <c r="S323" s="1" t="s">
        <v>1406</v>
      </c>
      <c r="T323" s="1" t="s">
        <v>139</v>
      </c>
      <c r="U323" s="1" t="s">
        <v>201</v>
      </c>
      <c r="X323" s="1">
        <v>1</v>
      </c>
      <c r="Y323" s="17">
        <v>43257</v>
      </c>
      <c r="Z323" s="17">
        <v>43257</v>
      </c>
      <c r="AA323" s="1" t="s">
        <v>1407</v>
      </c>
      <c r="AB323" s="1">
        <v>0</v>
      </c>
      <c r="AC323" s="1">
        <v>0</v>
      </c>
      <c r="AD323" s="1" t="s">
        <v>1408</v>
      </c>
    </row>
    <row r="324" spans="1:33" ht="13">
      <c r="A324" s="1" t="s">
        <v>1409</v>
      </c>
      <c r="B324" s="1" t="s">
        <v>394</v>
      </c>
      <c r="C324" s="1" t="s">
        <v>361</v>
      </c>
      <c r="D324" s="1"/>
      <c r="E324" s="6">
        <v>25875</v>
      </c>
      <c r="F324" s="1" t="s">
        <v>124</v>
      </c>
      <c r="G324" s="1">
        <v>2009</v>
      </c>
      <c r="H324" s="1">
        <v>20</v>
      </c>
      <c r="I324" s="7">
        <v>39993</v>
      </c>
      <c r="J324" s="7">
        <f t="shared" ca="1" si="8"/>
        <v>44606</v>
      </c>
      <c r="K324" s="8" t="s">
        <v>1056</v>
      </c>
      <c r="L324" s="9" t="e">
        <f t="shared" ca="1" si="0"/>
        <v>#NAME?</v>
      </c>
      <c r="M324" s="9" t="e">
        <f t="shared" ca="1" si="1"/>
        <v>#NAME?</v>
      </c>
      <c r="N324" s="10" t="str">
        <f t="shared" si="2"/>
        <v>N/A</v>
      </c>
      <c r="O324" s="1" t="s">
        <v>38</v>
      </c>
      <c r="P324" s="1"/>
      <c r="Q324" s="1" t="s">
        <v>1057</v>
      </c>
      <c r="R324" s="1" t="s">
        <v>1248</v>
      </c>
      <c r="S324" s="1" t="s">
        <v>1410</v>
      </c>
      <c r="T324" s="1" t="s">
        <v>158</v>
      </c>
      <c r="U324" s="1" t="s">
        <v>87</v>
      </c>
      <c r="X324" s="1">
        <v>0</v>
      </c>
      <c r="Y324" s="7"/>
      <c r="Z324" s="7"/>
      <c r="AA324" s="1">
        <v>0</v>
      </c>
      <c r="AB324" s="1">
        <v>0</v>
      </c>
      <c r="AC324" s="1">
        <v>0</v>
      </c>
      <c r="AG324" s="1" t="s">
        <v>1411</v>
      </c>
    </row>
    <row r="325" spans="1:33" ht="13">
      <c r="A325" s="1" t="s">
        <v>1412</v>
      </c>
      <c r="B325" s="1" t="s">
        <v>34</v>
      </c>
      <c r="C325" s="1" t="s">
        <v>35</v>
      </c>
      <c r="D325" s="1"/>
      <c r="E325" s="6">
        <v>27052</v>
      </c>
      <c r="F325" s="1" t="s">
        <v>84</v>
      </c>
      <c r="G325" s="1">
        <v>2009</v>
      </c>
      <c r="H325" s="1">
        <v>20</v>
      </c>
      <c r="I325" s="7">
        <v>39993</v>
      </c>
      <c r="J325" s="17">
        <v>43251</v>
      </c>
      <c r="K325" s="8" t="s">
        <v>37</v>
      </c>
      <c r="L325" s="9" t="e">
        <f t="shared" ca="1" si="0"/>
        <v>#NAME?</v>
      </c>
      <c r="M325" s="9" t="e">
        <f t="shared" ca="1" si="1"/>
        <v>#NAME?</v>
      </c>
      <c r="N325" s="10" t="e">
        <f t="shared" ca="1" si="2"/>
        <v>#NAME?</v>
      </c>
      <c r="O325" s="1" t="s">
        <v>38</v>
      </c>
      <c r="P325" s="1"/>
      <c r="Q325" s="1" t="s">
        <v>90</v>
      </c>
      <c r="R325" s="1" t="s">
        <v>1413</v>
      </c>
      <c r="S325" s="1" t="s">
        <v>635</v>
      </c>
      <c r="T325" s="1" t="s">
        <v>104</v>
      </c>
      <c r="U325" s="1" t="s">
        <v>175</v>
      </c>
      <c r="X325" s="1">
        <v>1</v>
      </c>
      <c r="Y325" s="7">
        <v>42809</v>
      </c>
      <c r="Z325" s="7">
        <v>42809</v>
      </c>
      <c r="AA325" s="1" t="s">
        <v>1414</v>
      </c>
      <c r="AB325" s="1">
        <v>0</v>
      </c>
      <c r="AC325" s="1">
        <v>0</v>
      </c>
      <c r="AD325" s="1" t="s">
        <v>1415</v>
      </c>
    </row>
    <row r="326" spans="1:33" ht="13">
      <c r="A326" s="1" t="s">
        <v>1416</v>
      </c>
      <c r="B326" s="1" t="s">
        <v>34</v>
      </c>
      <c r="C326" s="1" t="s">
        <v>35</v>
      </c>
      <c r="D326" s="1"/>
      <c r="E326" s="6">
        <v>25200</v>
      </c>
      <c r="F326" s="1" t="s">
        <v>84</v>
      </c>
      <c r="G326" s="1">
        <v>2009</v>
      </c>
      <c r="H326" s="1">
        <v>20</v>
      </c>
      <c r="I326" s="7">
        <v>39993</v>
      </c>
      <c r="J326" s="7">
        <f t="shared" ref="J326:J346" ca="1" si="9">TODAY()</f>
        <v>44606</v>
      </c>
      <c r="K326" s="8" t="s">
        <v>1056</v>
      </c>
      <c r="L326" s="9" t="e">
        <f t="shared" ca="1" si="0"/>
        <v>#NAME?</v>
      </c>
      <c r="M326" s="9" t="e">
        <f t="shared" ca="1" si="1"/>
        <v>#NAME?</v>
      </c>
      <c r="N326" s="10" t="e">
        <f t="shared" ca="1" si="2"/>
        <v>#NAME?</v>
      </c>
      <c r="O326" s="1" t="s">
        <v>38</v>
      </c>
      <c r="P326" s="1"/>
      <c r="Q326" s="1" t="s">
        <v>1057</v>
      </c>
      <c r="R326" s="1" t="s">
        <v>1417</v>
      </c>
      <c r="S326" s="1" t="s">
        <v>1418</v>
      </c>
      <c r="T326" s="1" t="s">
        <v>87</v>
      </c>
      <c r="U326" s="1" t="s">
        <v>87</v>
      </c>
      <c r="V326" s="1" t="s">
        <v>49</v>
      </c>
      <c r="W326" s="1" t="s">
        <v>64</v>
      </c>
      <c r="X326" s="1">
        <v>2</v>
      </c>
      <c r="Y326" s="7">
        <v>41907</v>
      </c>
      <c r="Z326" s="17">
        <v>44151</v>
      </c>
      <c r="AA326" s="1" t="s">
        <v>1419</v>
      </c>
      <c r="AB326" s="1">
        <v>5</v>
      </c>
      <c r="AC326" s="1" t="s">
        <v>1420</v>
      </c>
      <c r="AD326" s="1" t="s">
        <v>1421</v>
      </c>
    </row>
    <row r="327" spans="1:33" ht="13">
      <c r="A327" s="1" t="s">
        <v>1422</v>
      </c>
      <c r="B327" s="1" t="s">
        <v>34</v>
      </c>
      <c r="C327" s="1" t="s">
        <v>459</v>
      </c>
      <c r="D327" s="1" t="s">
        <v>1423</v>
      </c>
      <c r="E327" s="6">
        <v>26687</v>
      </c>
      <c r="F327" s="1" t="s">
        <v>124</v>
      </c>
      <c r="G327" s="1">
        <v>2009</v>
      </c>
      <c r="H327" s="1">
        <v>20</v>
      </c>
      <c r="I327" s="7">
        <v>39993</v>
      </c>
      <c r="J327" s="7">
        <f t="shared" ca="1" si="9"/>
        <v>44606</v>
      </c>
      <c r="K327" s="8" t="s">
        <v>1056</v>
      </c>
      <c r="L327" s="9" t="e">
        <f t="shared" ca="1" si="0"/>
        <v>#NAME?</v>
      </c>
      <c r="M327" s="9" t="e">
        <f t="shared" ca="1" si="1"/>
        <v>#NAME?</v>
      </c>
      <c r="N327" s="10" t="e">
        <f t="shared" ca="1" si="2"/>
        <v>#NAME?</v>
      </c>
      <c r="O327" s="1" t="s">
        <v>38</v>
      </c>
      <c r="P327" s="1"/>
      <c r="Q327" s="1" t="s">
        <v>1057</v>
      </c>
      <c r="R327" s="1" t="s">
        <v>1424</v>
      </c>
      <c r="S327" s="1" t="s">
        <v>1425</v>
      </c>
      <c r="T327" s="1" t="s">
        <v>810</v>
      </c>
      <c r="U327" s="1" t="s">
        <v>1426</v>
      </c>
      <c r="X327" s="1">
        <v>1</v>
      </c>
      <c r="Y327" s="7">
        <v>42207</v>
      </c>
      <c r="Z327" s="7">
        <v>42207</v>
      </c>
      <c r="AA327" s="1">
        <v>3400</v>
      </c>
      <c r="AB327" s="1">
        <v>2</v>
      </c>
      <c r="AC327" s="1">
        <v>15</v>
      </c>
      <c r="AD327" s="1" t="s">
        <v>1427</v>
      </c>
    </row>
    <row r="328" spans="1:33" ht="13">
      <c r="A328" s="1" t="s">
        <v>1428</v>
      </c>
      <c r="B328" s="1" t="s">
        <v>394</v>
      </c>
      <c r="C328" s="1" t="s">
        <v>35</v>
      </c>
      <c r="D328" s="1"/>
      <c r="E328" s="6">
        <v>28777</v>
      </c>
      <c r="F328" s="1" t="s">
        <v>124</v>
      </c>
      <c r="G328" s="1">
        <v>2009</v>
      </c>
      <c r="H328" s="1">
        <v>20</v>
      </c>
      <c r="I328" s="7">
        <v>39993</v>
      </c>
      <c r="J328" s="7">
        <f t="shared" ca="1" si="9"/>
        <v>44606</v>
      </c>
      <c r="K328" s="8" t="s">
        <v>1056</v>
      </c>
      <c r="L328" s="9" t="e">
        <f t="shared" ca="1" si="0"/>
        <v>#NAME?</v>
      </c>
      <c r="M328" s="9" t="e">
        <f t="shared" ca="1" si="1"/>
        <v>#NAME?</v>
      </c>
      <c r="N328" s="10" t="e">
        <f t="shared" ca="1" si="2"/>
        <v>#NAME?</v>
      </c>
      <c r="O328" s="1" t="s">
        <v>38</v>
      </c>
      <c r="P328" s="1"/>
      <c r="Q328" s="1" t="s">
        <v>1057</v>
      </c>
      <c r="R328" s="1" t="s">
        <v>1429</v>
      </c>
      <c r="S328" s="1" t="s">
        <v>1430</v>
      </c>
      <c r="T328" s="1" t="s">
        <v>1431</v>
      </c>
      <c r="U328" s="1" t="s">
        <v>1432</v>
      </c>
      <c r="X328" s="1">
        <v>2</v>
      </c>
      <c r="Y328" s="7">
        <v>42558</v>
      </c>
      <c r="Z328" s="17">
        <v>44118</v>
      </c>
      <c r="AA328" s="1" t="s">
        <v>1433</v>
      </c>
      <c r="AB328" s="1">
        <v>4</v>
      </c>
      <c r="AC328" s="26" t="s">
        <v>1434</v>
      </c>
      <c r="AD328" s="1" t="s">
        <v>1435</v>
      </c>
    </row>
    <row r="329" spans="1:33" ht="13">
      <c r="A329" s="1" t="s">
        <v>1436</v>
      </c>
      <c r="B329" s="1" t="s">
        <v>34</v>
      </c>
      <c r="C329" s="1" t="s">
        <v>35</v>
      </c>
      <c r="D329" s="1"/>
      <c r="E329" s="6">
        <v>23942</v>
      </c>
      <c r="F329" s="1" t="s">
        <v>84</v>
      </c>
      <c r="G329" s="1">
        <v>2009</v>
      </c>
      <c r="H329" s="1">
        <v>20</v>
      </c>
      <c r="I329" s="7">
        <v>39993</v>
      </c>
      <c r="J329" s="7">
        <f t="shared" ca="1" si="9"/>
        <v>44606</v>
      </c>
      <c r="K329" s="8" t="s">
        <v>1056</v>
      </c>
      <c r="L329" s="9" t="e">
        <f t="shared" ca="1" si="0"/>
        <v>#NAME?</v>
      </c>
      <c r="M329" s="9" t="e">
        <f t="shared" ca="1" si="1"/>
        <v>#NAME?</v>
      </c>
      <c r="N329" s="10" t="e">
        <f t="shared" ca="1" si="2"/>
        <v>#NAME?</v>
      </c>
      <c r="O329" s="1" t="s">
        <v>38</v>
      </c>
      <c r="P329" s="1"/>
      <c r="Q329" s="1" t="s">
        <v>1057</v>
      </c>
      <c r="R329" s="1" t="s">
        <v>1437</v>
      </c>
      <c r="S329" s="1" t="s">
        <v>1438</v>
      </c>
      <c r="T329" s="1" t="s">
        <v>62</v>
      </c>
      <c r="U329" s="1" t="s">
        <v>62</v>
      </c>
      <c r="V329" s="1" t="s">
        <v>43</v>
      </c>
      <c r="W329" s="1" t="s">
        <v>150</v>
      </c>
      <c r="X329" s="1">
        <v>1</v>
      </c>
      <c r="Y329" s="7">
        <v>43023</v>
      </c>
      <c r="Z329" s="7">
        <v>43023</v>
      </c>
      <c r="AA329" s="1" t="s">
        <v>1439</v>
      </c>
      <c r="AB329" s="1">
        <v>1</v>
      </c>
      <c r="AC329" s="24" t="s">
        <v>1440</v>
      </c>
      <c r="AD329" s="1" t="s">
        <v>1441</v>
      </c>
    </row>
    <row r="330" spans="1:33" ht="13">
      <c r="A330" s="1" t="s">
        <v>1442</v>
      </c>
      <c r="B330" s="1" t="s">
        <v>34</v>
      </c>
      <c r="C330" s="1" t="s">
        <v>35</v>
      </c>
      <c r="D330" s="1"/>
      <c r="E330" s="6">
        <v>24421</v>
      </c>
      <c r="F330" s="1" t="s">
        <v>84</v>
      </c>
      <c r="G330" s="1">
        <v>2009</v>
      </c>
      <c r="H330" s="1">
        <v>20</v>
      </c>
      <c r="I330" s="7">
        <v>39993</v>
      </c>
      <c r="J330" s="7">
        <f t="shared" ca="1" si="9"/>
        <v>44606</v>
      </c>
      <c r="K330" s="8" t="s">
        <v>1056</v>
      </c>
      <c r="L330" s="9" t="e">
        <f t="shared" ca="1" si="0"/>
        <v>#NAME?</v>
      </c>
      <c r="M330" s="9" t="e">
        <f t="shared" ca="1" si="1"/>
        <v>#NAME?</v>
      </c>
      <c r="N330" s="10" t="e">
        <f t="shared" ca="1" si="2"/>
        <v>#NAME?</v>
      </c>
      <c r="O330" s="1" t="s">
        <v>38</v>
      </c>
      <c r="P330" s="1"/>
      <c r="Q330" s="1" t="s">
        <v>1057</v>
      </c>
      <c r="R330" s="1" t="s">
        <v>1443</v>
      </c>
      <c r="S330" s="1" t="s">
        <v>1444</v>
      </c>
      <c r="T330" s="1" t="s">
        <v>158</v>
      </c>
      <c r="U330" s="1" t="s">
        <v>863</v>
      </c>
      <c r="V330" s="1" t="s">
        <v>49</v>
      </c>
      <c r="W330" s="1" t="s">
        <v>674</v>
      </c>
      <c r="X330" s="1">
        <v>2</v>
      </c>
      <c r="Y330" s="17">
        <v>42991</v>
      </c>
      <c r="Z330" s="17">
        <v>44474</v>
      </c>
      <c r="AA330" s="1">
        <v>0</v>
      </c>
      <c r="AB330" s="1">
        <v>4</v>
      </c>
      <c r="AC330" s="1" t="s">
        <v>1445</v>
      </c>
      <c r="AD330" s="1" t="s">
        <v>1446</v>
      </c>
      <c r="AG330" s="1" t="s">
        <v>1389</v>
      </c>
    </row>
    <row r="331" spans="1:33" ht="13">
      <c r="A331" s="1" t="s">
        <v>1447</v>
      </c>
      <c r="B331" s="1" t="s">
        <v>34</v>
      </c>
      <c r="C331" s="1" t="s">
        <v>35</v>
      </c>
      <c r="D331" s="1"/>
      <c r="E331" s="6">
        <v>27709</v>
      </c>
      <c r="F331" s="1" t="s">
        <v>84</v>
      </c>
      <c r="G331" s="1">
        <v>2009</v>
      </c>
      <c r="H331" s="1">
        <v>20</v>
      </c>
      <c r="I331" s="7">
        <v>39993</v>
      </c>
      <c r="J331" s="7">
        <f t="shared" ca="1" si="9"/>
        <v>44606</v>
      </c>
      <c r="K331" s="8" t="s">
        <v>1056</v>
      </c>
      <c r="L331" s="9" t="e">
        <f t="shared" ca="1" si="0"/>
        <v>#NAME?</v>
      </c>
      <c r="M331" s="9" t="e">
        <f t="shared" ca="1" si="1"/>
        <v>#NAME?</v>
      </c>
      <c r="N331" s="10" t="e">
        <f t="shared" ca="1" si="2"/>
        <v>#NAME?</v>
      </c>
      <c r="O331" s="1" t="s">
        <v>38</v>
      </c>
      <c r="P331" s="1"/>
      <c r="Q331" s="1" t="s">
        <v>1057</v>
      </c>
      <c r="R331" s="1" t="s">
        <v>631</v>
      </c>
      <c r="S331" s="1" t="s">
        <v>1448</v>
      </c>
      <c r="T331" s="1" t="s">
        <v>1449</v>
      </c>
      <c r="U331" s="1" t="s">
        <v>917</v>
      </c>
      <c r="V331" s="1" t="s">
        <v>43</v>
      </c>
      <c r="W331" s="1" t="s">
        <v>150</v>
      </c>
      <c r="X331" s="1">
        <v>1</v>
      </c>
      <c r="Y331" s="7">
        <v>41788</v>
      </c>
      <c r="Z331" s="7">
        <v>41788</v>
      </c>
      <c r="AA331" s="1">
        <v>3968</v>
      </c>
      <c r="AB331" s="1">
        <v>2</v>
      </c>
      <c r="AC331" s="1">
        <v>13</v>
      </c>
      <c r="AD331" s="1" t="s">
        <v>1450</v>
      </c>
    </row>
    <row r="332" spans="1:33" ht="13">
      <c r="A332" s="1" t="s">
        <v>1451</v>
      </c>
      <c r="B332" s="1" t="s">
        <v>34</v>
      </c>
      <c r="C332" s="1" t="s">
        <v>35</v>
      </c>
      <c r="D332" s="1"/>
      <c r="E332" s="6">
        <v>26863</v>
      </c>
      <c r="F332" s="1" t="s">
        <v>124</v>
      </c>
      <c r="G332" s="1">
        <v>2013</v>
      </c>
      <c r="H332" s="1">
        <v>21</v>
      </c>
      <c r="I332" s="7">
        <v>41442</v>
      </c>
      <c r="J332" s="7">
        <f t="shared" ca="1" si="9"/>
        <v>44606</v>
      </c>
      <c r="K332" s="8" t="s">
        <v>1056</v>
      </c>
      <c r="L332" s="9" t="e">
        <f t="shared" ca="1" si="0"/>
        <v>#NAME?</v>
      </c>
      <c r="M332" s="9" t="e">
        <f t="shared" ca="1" si="1"/>
        <v>#NAME?</v>
      </c>
      <c r="N332" s="10" t="str">
        <f t="shared" si="2"/>
        <v>N/A</v>
      </c>
      <c r="O332" s="1" t="s">
        <v>38</v>
      </c>
      <c r="P332" s="1"/>
      <c r="Q332" s="1" t="s">
        <v>1057</v>
      </c>
      <c r="R332" s="1" t="s">
        <v>643</v>
      </c>
      <c r="S332" s="1" t="s">
        <v>1452</v>
      </c>
      <c r="T332" s="1" t="s">
        <v>158</v>
      </c>
      <c r="U332" s="1" t="s">
        <v>1453</v>
      </c>
      <c r="V332" s="1" t="s">
        <v>43</v>
      </c>
      <c r="W332" s="1" t="s">
        <v>150</v>
      </c>
      <c r="X332" s="1">
        <v>0</v>
      </c>
      <c r="Y332" s="7"/>
      <c r="Z332" s="7"/>
      <c r="AA332" s="1">
        <v>0</v>
      </c>
      <c r="AB332" s="1">
        <v>0</v>
      </c>
      <c r="AC332" s="1">
        <v>0</v>
      </c>
      <c r="AD332" s="1"/>
    </row>
    <row r="333" spans="1:33" ht="15" customHeight="1">
      <c r="A333" s="1" t="s">
        <v>1454</v>
      </c>
      <c r="B333" s="1" t="s">
        <v>34</v>
      </c>
      <c r="C333" s="1" t="s">
        <v>361</v>
      </c>
      <c r="D333" s="1"/>
      <c r="E333" s="6">
        <v>27880</v>
      </c>
      <c r="F333" s="1" t="s">
        <v>84</v>
      </c>
      <c r="G333" s="1">
        <v>2013</v>
      </c>
      <c r="H333" s="1">
        <v>21</v>
      </c>
      <c r="I333" s="7">
        <v>41442</v>
      </c>
      <c r="J333" s="7">
        <f t="shared" ca="1" si="9"/>
        <v>44606</v>
      </c>
      <c r="K333" s="8" t="s">
        <v>1056</v>
      </c>
      <c r="L333" s="9" t="e">
        <f t="shared" ca="1" si="0"/>
        <v>#NAME?</v>
      </c>
      <c r="M333" s="9" t="e">
        <f t="shared" ca="1" si="1"/>
        <v>#NAME?</v>
      </c>
      <c r="N333" s="10" t="e">
        <f t="shared" ca="1" si="2"/>
        <v>#NAME?</v>
      </c>
      <c r="O333" s="1" t="s">
        <v>38</v>
      </c>
      <c r="P333" s="1"/>
      <c r="Q333" s="1" t="s">
        <v>1057</v>
      </c>
      <c r="R333" s="1" t="s">
        <v>1455</v>
      </c>
      <c r="S333" s="1"/>
      <c r="T333" s="1"/>
      <c r="U333" s="1"/>
      <c r="V333" s="1"/>
      <c r="W333" s="1"/>
      <c r="X333" s="1">
        <v>1</v>
      </c>
      <c r="Y333" s="17">
        <v>44151</v>
      </c>
      <c r="Z333" s="17">
        <v>44151</v>
      </c>
      <c r="AA333" s="24" t="s">
        <v>1456</v>
      </c>
      <c r="AB333" s="1">
        <v>4</v>
      </c>
      <c r="AC333" s="1" t="s">
        <v>1457</v>
      </c>
      <c r="AD333" s="1" t="s">
        <v>1458</v>
      </c>
    </row>
    <row r="334" spans="1:33" ht="13">
      <c r="A334" s="1" t="s">
        <v>1459</v>
      </c>
      <c r="B334" s="1" t="s">
        <v>34</v>
      </c>
      <c r="C334" s="1" t="s">
        <v>35</v>
      </c>
      <c r="D334" s="1"/>
      <c r="E334" s="6">
        <v>27661</v>
      </c>
      <c r="F334" s="1" t="s">
        <v>84</v>
      </c>
      <c r="G334" s="1">
        <v>2013</v>
      </c>
      <c r="H334" s="1">
        <v>21</v>
      </c>
      <c r="I334" s="7">
        <v>41442</v>
      </c>
      <c r="J334" s="7">
        <f t="shared" ca="1" si="9"/>
        <v>44606</v>
      </c>
      <c r="K334" s="8" t="s">
        <v>1056</v>
      </c>
      <c r="L334" s="9" t="e">
        <f t="shared" ca="1" si="0"/>
        <v>#NAME?</v>
      </c>
      <c r="M334" s="9" t="e">
        <f t="shared" ca="1" si="1"/>
        <v>#NAME?</v>
      </c>
      <c r="N334" s="10" t="e">
        <f t="shared" ca="1" si="2"/>
        <v>#NAME?</v>
      </c>
      <c r="O334" s="1" t="s">
        <v>38</v>
      </c>
      <c r="P334" s="1"/>
      <c r="Q334" s="1" t="s">
        <v>1057</v>
      </c>
      <c r="R334" s="1" t="s">
        <v>1460</v>
      </c>
      <c r="S334" s="1"/>
      <c r="T334" s="1"/>
      <c r="U334" s="1"/>
      <c r="V334" s="1"/>
      <c r="W334" s="1"/>
      <c r="X334" s="1">
        <v>2</v>
      </c>
      <c r="Y334" s="17">
        <v>43384</v>
      </c>
      <c r="Z334" s="17">
        <v>43538</v>
      </c>
      <c r="AA334" s="24" t="s">
        <v>1461</v>
      </c>
      <c r="AB334" s="1">
        <v>3</v>
      </c>
      <c r="AC334" s="1" t="s">
        <v>1462</v>
      </c>
      <c r="AD334" s="1" t="s">
        <v>1463</v>
      </c>
    </row>
    <row r="335" spans="1:33" ht="13">
      <c r="A335" s="1" t="s">
        <v>1464</v>
      </c>
      <c r="B335" s="1" t="s">
        <v>394</v>
      </c>
      <c r="C335" s="1" t="s">
        <v>35</v>
      </c>
      <c r="D335" s="1"/>
      <c r="E335" s="6">
        <v>28884</v>
      </c>
      <c r="F335" s="1" t="s">
        <v>84</v>
      </c>
      <c r="G335" s="1">
        <v>2013</v>
      </c>
      <c r="H335" s="1">
        <v>21</v>
      </c>
      <c r="I335" s="7">
        <v>41442</v>
      </c>
      <c r="J335" s="7">
        <f t="shared" ca="1" si="9"/>
        <v>44606</v>
      </c>
      <c r="K335" s="8" t="s">
        <v>1056</v>
      </c>
      <c r="L335" s="9" t="e">
        <f t="shared" ca="1" si="0"/>
        <v>#NAME?</v>
      </c>
      <c r="M335" s="9" t="e">
        <f t="shared" ca="1" si="1"/>
        <v>#NAME?</v>
      </c>
      <c r="N335" s="10" t="e">
        <f t="shared" ca="1" si="2"/>
        <v>#NAME?</v>
      </c>
      <c r="O335" s="1" t="s">
        <v>38</v>
      </c>
      <c r="P335" s="1"/>
      <c r="Q335" s="1" t="s">
        <v>1057</v>
      </c>
      <c r="R335" s="1" t="s">
        <v>148</v>
      </c>
      <c r="S335" s="1"/>
      <c r="T335" s="1"/>
      <c r="U335" s="1"/>
      <c r="V335" s="1"/>
      <c r="W335" s="1"/>
      <c r="X335" s="1">
        <v>1</v>
      </c>
      <c r="Y335" s="17">
        <v>43538</v>
      </c>
      <c r="Z335" s="17">
        <v>43538</v>
      </c>
      <c r="AA335" s="1" t="s">
        <v>1465</v>
      </c>
      <c r="AB335" s="1">
        <v>6</v>
      </c>
      <c r="AC335" s="1" t="s">
        <v>1466</v>
      </c>
      <c r="AD335" s="1" t="s">
        <v>1467</v>
      </c>
    </row>
    <row r="336" spans="1:33" ht="13">
      <c r="A336" s="1" t="s">
        <v>1468</v>
      </c>
      <c r="B336" s="1" t="s">
        <v>394</v>
      </c>
      <c r="C336" s="1" t="s">
        <v>1469</v>
      </c>
      <c r="D336" s="1"/>
      <c r="E336" s="6">
        <v>28303</v>
      </c>
      <c r="F336" s="1" t="s">
        <v>84</v>
      </c>
      <c r="G336" s="1">
        <v>2013</v>
      </c>
      <c r="H336" s="1">
        <v>21</v>
      </c>
      <c r="I336" s="7">
        <v>41442</v>
      </c>
      <c r="J336" s="7">
        <f t="shared" ca="1" si="9"/>
        <v>44606</v>
      </c>
      <c r="K336" s="8" t="s">
        <v>1056</v>
      </c>
      <c r="L336" s="9" t="e">
        <f t="shared" ca="1" si="0"/>
        <v>#NAME?</v>
      </c>
      <c r="M336" s="9" t="e">
        <f t="shared" ca="1" si="1"/>
        <v>#NAME?</v>
      </c>
      <c r="N336" s="10" t="str">
        <f t="shared" si="2"/>
        <v>N/A</v>
      </c>
      <c r="O336" s="1" t="s">
        <v>38</v>
      </c>
      <c r="P336" s="1"/>
      <c r="Q336" s="1" t="s">
        <v>1057</v>
      </c>
      <c r="R336" s="1" t="s">
        <v>1470</v>
      </c>
      <c r="S336" s="1"/>
      <c r="T336" s="1"/>
      <c r="U336" s="1"/>
      <c r="V336" s="1"/>
      <c r="W336" s="1"/>
      <c r="X336" s="1">
        <v>0</v>
      </c>
      <c r="Y336" s="7"/>
      <c r="Z336" s="7"/>
      <c r="AA336" s="1">
        <v>0</v>
      </c>
      <c r="AB336" s="1">
        <v>0</v>
      </c>
      <c r="AC336" s="1">
        <v>0</v>
      </c>
      <c r="AD336" s="1"/>
    </row>
    <row r="337" spans="1:33" ht="13">
      <c r="A337" s="1" t="s">
        <v>1471</v>
      </c>
      <c r="B337" s="1" t="s">
        <v>394</v>
      </c>
      <c r="C337" s="1" t="s">
        <v>35</v>
      </c>
      <c r="D337" s="1"/>
      <c r="E337" s="6">
        <v>29013</v>
      </c>
      <c r="F337" s="1" t="s">
        <v>84</v>
      </c>
      <c r="G337" s="1">
        <v>2013</v>
      </c>
      <c r="H337" s="1">
        <v>21</v>
      </c>
      <c r="I337" s="7">
        <v>41442</v>
      </c>
      <c r="J337" s="7">
        <f t="shared" ca="1" si="9"/>
        <v>44606</v>
      </c>
      <c r="K337" s="8" t="s">
        <v>1056</v>
      </c>
      <c r="L337" s="9" t="e">
        <f t="shared" ca="1" si="0"/>
        <v>#NAME?</v>
      </c>
      <c r="M337" s="9" t="e">
        <f t="shared" ca="1" si="1"/>
        <v>#NAME?</v>
      </c>
      <c r="N337" s="10" t="e">
        <f t="shared" ca="1" si="2"/>
        <v>#NAME?</v>
      </c>
      <c r="O337" s="1" t="s">
        <v>38</v>
      </c>
      <c r="P337" s="1"/>
      <c r="Q337" s="1" t="s">
        <v>1057</v>
      </c>
      <c r="R337" s="1" t="s">
        <v>1472</v>
      </c>
      <c r="S337" s="1"/>
      <c r="T337" s="1"/>
      <c r="U337" s="1"/>
      <c r="V337" s="1"/>
      <c r="W337" s="1"/>
      <c r="X337" s="1">
        <v>1</v>
      </c>
      <c r="Y337" s="17">
        <v>43437</v>
      </c>
      <c r="Z337" s="17">
        <v>43437</v>
      </c>
      <c r="AA337" s="1" t="s">
        <v>1473</v>
      </c>
      <c r="AB337" s="1">
        <v>2</v>
      </c>
      <c r="AC337" s="1" t="s">
        <v>1474</v>
      </c>
      <c r="AD337" s="1" t="s">
        <v>1475</v>
      </c>
    </row>
    <row r="338" spans="1:33" ht="13">
      <c r="A338" s="1" t="s">
        <v>1476</v>
      </c>
      <c r="B338" s="1" t="s">
        <v>394</v>
      </c>
      <c r="C338" s="1" t="s">
        <v>35</v>
      </c>
      <c r="D338" s="1"/>
      <c r="E338" s="6">
        <v>28307</v>
      </c>
      <c r="F338" s="1" t="s">
        <v>124</v>
      </c>
      <c r="G338" s="1">
        <v>2013</v>
      </c>
      <c r="H338" s="1">
        <v>21</v>
      </c>
      <c r="I338" s="7">
        <v>41442</v>
      </c>
      <c r="J338" s="7">
        <f t="shared" ca="1" si="9"/>
        <v>44606</v>
      </c>
      <c r="K338" s="8" t="s">
        <v>1056</v>
      </c>
      <c r="L338" s="9" t="e">
        <f t="shared" ca="1" si="0"/>
        <v>#NAME?</v>
      </c>
      <c r="M338" s="9" t="e">
        <f t="shared" ca="1" si="1"/>
        <v>#NAME?</v>
      </c>
      <c r="N338" s="10" t="e">
        <f t="shared" ca="1" si="2"/>
        <v>#NAME?</v>
      </c>
      <c r="O338" s="1" t="s">
        <v>38</v>
      </c>
      <c r="P338" s="1"/>
      <c r="Q338" s="1" t="s">
        <v>1057</v>
      </c>
      <c r="R338" s="1" t="s">
        <v>1477</v>
      </c>
      <c r="S338" s="1"/>
      <c r="T338" s="1"/>
      <c r="U338" s="1"/>
      <c r="V338" s="1"/>
      <c r="W338" s="1"/>
      <c r="X338" s="1">
        <v>1</v>
      </c>
      <c r="Y338" s="17">
        <v>43733</v>
      </c>
      <c r="Z338" s="17">
        <v>43733</v>
      </c>
      <c r="AA338" s="1" t="s">
        <v>1478</v>
      </c>
      <c r="AB338" s="1">
        <v>3</v>
      </c>
      <c r="AC338" s="27" t="s">
        <v>1479</v>
      </c>
      <c r="AD338" s="1" t="s">
        <v>1480</v>
      </c>
    </row>
    <row r="339" spans="1:33" ht="13">
      <c r="A339" s="1" t="s">
        <v>1481</v>
      </c>
      <c r="B339" s="1" t="s">
        <v>34</v>
      </c>
      <c r="C339" s="1" t="s">
        <v>35</v>
      </c>
      <c r="D339" s="1"/>
      <c r="E339" s="6">
        <v>27795</v>
      </c>
      <c r="F339" s="1" t="s">
        <v>124</v>
      </c>
      <c r="G339" s="1">
        <v>2013</v>
      </c>
      <c r="H339" s="1">
        <v>21</v>
      </c>
      <c r="I339" s="7">
        <v>41442</v>
      </c>
      <c r="J339" s="7">
        <f t="shared" ca="1" si="9"/>
        <v>44606</v>
      </c>
      <c r="K339" s="8" t="s">
        <v>1056</v>
      </c>
      <c r="L339" s="9" t="e">
        <f t="shared" ca="1" si="0"/>
        <v>#NAME?</v>
      </c>
      <c r="M339" s="9" t="e">
        <f t="shared" ca="1" si="1"/>
        <v>#NAME?</v>
      </c>
      <c r="N339" s="10" t="e">
        <f t="shared" ca="1" si="2"/>
        <v>#NAME?</v>
      </c>
      <c r="O339" s="1" t="s">
        <v>38</v>
      </c>
      <c r="P339" s="1"/>
      <c r="Q339" s="1" t="s">
        <v>1057</v>
      </c>
      <c r="R339" s="1" t="s">
        <v>1482</v>
      </c>
      <c r="S339" s="1"/>
      <c r="T339" s="1"/>
      <c r="U339" s="1"/>
      <c r="V339" s="1"/>
      <c r="W339" s="1"/>
      <c r="X339" s="1">
        <v>1</v>
      </c>
      <c r="Y339" s="17">
        <v>43666</v>
      </c>
      <c r="Z339" s="17">
        <v>43666</v>
      </c>
      <c r="AA339" s="1" t="s">
        <v>1483</v>
      </c>
      <c r="AB339" s="1">
        <v>7</v>
      </c>
      <c r="AC339" s="1" t="s">
        <v>1484</v>
      </c>
      <c r="AD339" s="1" t="s">
        <v>1485</v>
      </c>
    </row>
    <row r="340" spans="1:33" ht="13">
      <c r="A340" s="1" t="s">
        <v>1486</v>
      </c>
      <c r="B340" s="1" t="s">
        <v>394</v>
      </c>
      <c r="C340" s="1" t="s">
        <v>35</v>
      </c>
      <c r="D340" s="1"/>
      <c r="E340" s="6">
        <v>32039</v>
      </c>
      <c r="F340" s="1" t="s">
        <v>84</v>
      </c>
      <c r="G340" s="1">
        <v>2017</v>
      </c>
      <c r="H340" s="1">
        <v>22</v>
      </c>
      <c r="I340" s="2">
        <v>42893</v>
      </c>
      <c r="J340" s="7">
        <f t="shared" ca="1" si="9"/>
        <v>44606</v>
      </c>
      <c r="K340" s="8" t="s">
        <v>1056</v>
      </c>
      <c r="L340" s="9" t="e">
        <f t="shared" ca="1" si="0"/>
        <v>#NAME?</v>
      </c>
      <c r="M340" s="9" t="e">
        <f t="shared" ca="1" si="1"/>
        <v>#NAME?</v>
      </c>
      <c r="N340" s="10" t="e">
        <f t="shared" ca="1" si="2"/>
        <v>#NAME?</v>
      </c>
      <c r="O340" s="1" t="s">
        <v>38</v>
      </c>
      <c r="P340" s="1"/>
      <c r="Q340" s="1" t="s">
        <v>1057</v>
      </c>
      <c r="R340" s="1" t="s">
        <v>1487</v>
      </c>
      <c r="S340" s="1"/>
      <c r="T340" s="1"/>
      <c r="U340" s="1"/>
      <c r="V340" s="1"/>
      <c r="W340" s="1"/>
      <c r="X340" s="1">
        <v>1</v>
      </c>
      <c r="Y340" s="2">
        <v>44511</v>
      </c>
      <c r="Z340" s="2">
        <v>44511</v>
      </c>
      <c r="AA340" s="1">
        <v>0</v>
      </c>
      <c r="AB340" s="1">
        <v>1</v>
      </c>
      <c r="AC340" s="1" t="s">
        <v>1488</v>
      </c>
      <c r="AD340" s="1" t="s">
        <v>1489</v>
      </c>
      <c r="AG340" s="1" t="s">
        <v>1389</v>
      </c>
    </row>
    <row r="341" spans="1:33" ht="13">
      <c r="A341" s="1" t="s">
        <v>1490</v>
      </c>
      <c r="B341" s="1" t="s">
        <v>394</v>
      </c>
      <c r="C341" s="1" t="s">
        <v>35</v>
      </c>
      <c r="D341" s="1"/>
      <c r="E341" s="6">
        <v>32076</v>
      </c>
      <c r="F341" s="1" t="s">
        <v>84</v>
      </c>
      <c r="G341" s="1">
        <v>2017</v>
      </c>
      <c r="H341" s="1">
        <v>22</v>
      </c>
      <c r="I341" s="2">
        <v>42893</v>
      </c>
      <c r="J341" s="7">
        <f t="shared" ca="1" si="9"/>
        <v>44606</v>
      </c>
      <c r="K341" s="8" t="s">
        <v>1056</v>
      </c>
      <c r="L341" s="9" t="e">
        <f t="shared" ca="1" si="0"/>
        <v>#NAME?</v>
      </c>
      <c r="M341" s="9" t="e">
        <f t="shared" ca="1" si="1"/>
        <v>#NAME?</v>
      </c>
      <c r="N341" s="10" t="str">
        <f t="shared" si="2"/>
        <v>N/A</v>
      </c>
      <c r="O341" s="1" t="s">
        <v>38</v>
      </c>
      <c r="P341" s="1"/>
      <c r="Q341" s="1" t="s">
        <v>1057</v>
      </c>
      <c r="R341" s="1" t="s">
        <v>1491</v>
      </c>
      <c r="S341" s="1"/>
      <c r="T341" s="1"/>
      <c r="U341" s="1"/>
      <c r="V341" s="1"/>
      <c r="W341" s="1"/>
      <c r="X341" s="1">
        <v>0</v>
      </c>
      <c r="Y341" s="7"/>
      <c r="Z341" s="7"/>
      <c r="AA341" s="1">
        <v>0</v>
      </c>
      <c r="AB341" s="1">
        <v>0</v>
      </c>
      <c r="AC341" s="1">
        <v>0</v>
      </c>
      <c r="AD341" s="1"/>
    </row>
    <row r="342" spans="1:33" ht="13">
      <c r="A342" s="1" t="s">
        <v>1492</v>
      </c>
      <c r="B342" s="1" t="s">
        <v>34</v>
      </c>
      <c r="C342" s="1" t="s">
        <v>459</v>
      </c>
      <c r="D342" s="1" t="s">
        <v>961</v>
      </c>
      <c r="E342" s="6">
        <v>28300</v>
      </c>
      <c r="F342" s="1" t="s">
        <v>84</v>
      </c>
      <c r="G342" s="1">
        <v>2017</v>
      </c>
      <c r="H342" s="1">
        <v>22</v>
      </c>
      <c r="I342" s="2">
        <v>42893</v>
      </c>
      <c r="J342" s="7">
        <f t="shared" ca="1" si="9"/>
        <v>44606</v>
      </c>
      <c r="K342" s="8" t="s">
        <v>1056</v>
      </c>
      <c r="L342" s="9" t="e">
        <f t="shared" ca="1" si="0"/>
        <v>#NAME?</v>
      </c>
      <c r="M342" s="9" t="e">
        <f t="shared" ca="1" si="1"/>
        <v>#NAME?</v>
      </c>
      <c r="N342" s="10" t="e">
        <f t="shared" ca="1" si="2"/>
        <v>#NAME?</v>
      </c>
      <c r="O342" s="1" t="s">
        <v>38</v>
      </c>
      <c r="P342" s="1"/>
      <c r="Q342" s="1" t="s">
        <v>1057</v>
      </c>
      <c r="R342" s="1" t="s">
        <v>774</v>
      </c>
      <c r="S342" s="1"/>
      <c r="T342" s="1"/>
      <c r="U342" s="1"/>
      <c r="V342" s="1"/>
      <c r="W342" s="1"/>
      <c r="X342" s="1">
        <v>1</v>
      </c>
      <c r="Y342" s="2">
        <v>44511</v>
      </c>
      <c r="Z342" s="2">
        <v>44511</v>
      </c>
      <c r="AA342" s="1">
        <v>0</v>
      </c>
      <c r="AB342" s="1">
        <v>0</v>
      </c>
      <c r="AC342" s="1">
        <v>0</v>
      </c>
      <c r="AD342" s="1" t="s">
        <v>1489</v>
      </c>
      <c r="AG342" s="1" t="s">
        <v>1389</v>
      </c>
    </row>
    <row r="343" spans="1:33" ht="13">
      <c r="A343" s="1" t="s">
        <v>1493</v>
      </c>
      <c r="B343" s="1" t="s">
        <v>34</v>
      </c>
      <c r="C343" s="1" t="s">
        <v>35</v>
      </c>
      <c r="D343" s="1"/>
      <c r="E343" s="6">
        <v>29927</v>
      </c>
      <c r="F343" s="1" t="s">
        <v>84</v>
      </c>
      <c r="G343" s="1">
        <v>2017</v>
      </c>
      <c r="H343" s="1">
        <v>22</v>
      </c>
      <c r="I343" s="2">
        <v>42893</v>
      </c>
      <c r="J343" s="7">
        <f t="shared" ca="1" si="9"/>
        <v>44606</v>
      </c>
      <c r="K343" s="8" t="s">
        <v>1056</v>
      </c>
      <c r="L343" s="9" t="e">
        <f t="shared" ca="1" si="0"/>
        <v>#NAME?</v>
      </c>
      <c r="M343" s="9" t="e">
        <f t="shared" ca="1" si="1"/>
        <v>#NAME?</v>
      </c>
      <c r="N343" s="10" t="str">
        <f t="shared" si="2"/>
        <v>N/A</v>
      </c>
      <c r="O343" s="1" t="s">
        <v>38</v>
      </c>
      <c r="P343" s="1"/>
      <c r="Q343" s="1" t="s">
        <v>1057</v>
      </c>
      <c r="R343" s="1" t="s">
        <v>1494</v>
      </c>
      <c r="S343" s="1"/>
      <c r="T343" s="1"/>
      <c r="U343" s="1"/>
      <c r="V343" s="1"/>
      <c r="W343" s="1"/>
      <c r="X343" s="1">
        <v>0</v>
      </c>
      <c r="Y343" s="7"/>
      <c r="Z343" s="7"/>
      <c r="AA343" s="1">
        <v>0</v>
      </c>
      <c r="AB343" s="1">
        <v>0</v>
      </c>
      <c r="AC343" s="1">
        <v>0</v>
      </c>
      <c r="AD343" s="1"/>
    </row>
    <row r="344" spans="1:33" ht="13">
      <c r="A344" s="1" t="s">
        <v>1495</v>
      </c>
      <c r="B344" s="1" t="s">
        <v>34</v>
      </c>
      <c r="C344" s="1" t="s">
        <v>35</v>
      </c>
      <c r="D344" s="1"/>
      <c r="E344" s="6">
        <v>27739</v>
      </c>
      <c r="F344" s="1" t="s">
        <v>84</v>
      </c>
      <c r="G344" s="1">
        <v>2017</v>
      </c>
      <c r="H344" s="1">
        <v>22</v>
      </c>
      <c r="I344" s="2">
        <v>42893</v>
      </c>
      <c r="J344" s="7">
        <f t="shared" ca="1" si="9"/>
        <v>44606</v>
      </c>
      <c r="K344" s="8" t="s">
        <v>1056</v>
      </c>
      <c r="L344" s="9" t="e">
        <f t="shared" ca="1" si="0"/>
        <v>#NAME?</v>
      </c>
      <c r="M344" s="9" t="e">
        <f t="shared" ca="1" si="1"/>
        <v>#NAME?</v>
      </c>
      <c r="N344" s="10" t="str">
        <f t="shared" si="2"/>
        <v>N/A</v>
      </c>
      <c r="O344" s="1" t="s">
        <v>38</v>
      </c>
      <c r="P344" s="1"/>
      <c r="Q344" s="1" t="s">
        <v>1057</v>
      </c>
      <c r="R344" s="1" t="s">
        <v>1496</v>
      </c>
      <c r="S344" s="1"/>
      <c r="T344" s="1"/>
      <c r="U344" s="1"/>
      <c r="V344" s="1"/>
      <c r="W344" s="1"/>
      <c r="X344" s="1">
        <v>0</v>
      </c>
      <c r="Y344" s="7"/>
      <c r="Z344" s="7"/>
      <c r="AA344" s="1">
        <v>0</v>
      </c>
      <c r="AB344" s="1">
        <v>0</v>
      </c>
      <c r="AC344" s="1">
        <v>0</v>
      </c>
      <c r="AD344" s="1"/>
    </row>
    <row r="345" spans="1:33" ht="13">
      <c r="A345" s="1" t="s">
        <v>1497</v>
      </c>
      <c r="B345" s="1" t="s">
        <v>34</v>
      </c>
      <c r="C345" s="1" t="s">
        <v>35</v>
      </c>
      <c r="D345" s="1"/>
      <c r="E345" s="6">
        <v>31306</v>
      </c>
      <c r="F345" s="1" t="s">
        <v>124</v>
      </c>
      <c r="G345" s="1">
        <v>2017</v>
      </c>
      <c r="H345" s="1">
        <v>22</v>
      </c>
      <c r="I345" s="2">
        <v>42893</v>
      </c>
      <c r="J345" s="7">
        <f t="shared" ca="1" si="9"/>
        <v>44606</v>
      </c>
      <c r="K345" s="8" t="s">
        <v>1056</v>
      </c>
      <c r="L345" s="9" t="e">
        <f t="shared" ca="1" si="0"/>
        <v>#NAME?</v>
      </c>
      <c r="M345" s="9" t="e">
        <f t="shared" ca="1" si="1"/>
        <v>#NAME?</v>
      </c>
      <c r="N345" s="10" t="str">
        <f t="shared" si="2"/>
        <v>N/A</v>
      </c>
      <c r="O345" s="1" t="s">
        <v>38</v>
      </c>
      <c r="P345" s="1"/>
      <c r="Q345" s="1" t="s">
        <v>1057</v>
      </c>
      <c r="R345" s="1" t="s">
        <v>245</v>
      </c>
      <c r="S345" s="1"/>
      <c r="T345" s="1"/>
      <c r="U345" s="1"/>
      <c r="V345" s="1"/>
      <c r="W345" s="1"/>
      <c r="X345" s="1">
        <v>0</v>
      </c>
      <c r="Y345" s="7"/>
      <c r="Z345" s="7"/>
      <c r="AA345" s="1">
        <v>0</v>
      </c>
      <c r="AB345" s="1">
        <v>0</v>
      </c>
      <c r="AC345" s="1">
        <v>0</v>
      </c>
      <c r="AD345" s="1"/>
    </row>
    <row r="346" spans="1:33" ht="13">
      <c r="A346" s="1" t="s">
        <v>1498</v>
      </c>
      <c r="B346" s="1" t="s">
        <v>34</v>
      </c>
      <c r="C346" s="1" t="s">
        <v>459</v>
      </c>
      <c r="D346" s="1" t="s">
        <v>1499</v>
      </c>
      <c r="E346" s="6">
        <v>30717</v>
      </c>
      <c r="F346" s="1" t="s">
        <v>124</v>
      </c>
      <c r="G346" s="1">
        <v>2017</v>
      </c>
      <c r="H346" s="1">
        <v>22</v>
      </c>
      <c r="I346" s="2">
        <v>42893</v>
      </c>
      <c r="J346" s="7">
        <f t="shared" ca="1" si="9"/>
        <v>44606</v>
      </c>
      <c r="K346" s="8" t="s">
        <v>1056</v>
      </c>
      <c r="L346" s="9" t="e">
        <f t="shared" ca="1" si="0"/>
        <v>#NAME?</v>
      </c>
      <c r="M346" s="9" t="e">
        <f t="shared" ca="1" si="1"/>
        <v>#NAME?</v>
      </c>
      <c r="N346" s="10" t="str">
        <f t="shared" si="2"/>
        <v>N/A</v>
      </c>
      <c r="O346" s="1" t="s">
        <v>38</v>
      </c>
      <c r="P346" s="1"/>
      <c r="Q346" s="1" t="s">
        <v>1057</v>
      </c>
      <c r="R346" s="1" t="s">
        <v>468</v>
      </c>
      <c r="S346" s="1"/>
      <c r="T346" s="1"/>
      <c r="U346" s="1"/>
      <c r="V346" s="1"/>
      <c r="W346" s="1"/>
      <c r="X346" s="1">
        <v>0</v>
      </c>
      <c r="Y346" s="7"/>
      <c r="Z346" s="7"/>
      <c r="AA346" s="1">
        <v>0</v>
      </c>
      <c r="AB346" s="1">
        <v>0</v>
      </c>
      <c r="AC346" s="1">
        <v>0</v>
      </c>
      <c r="AD346" s="1"/>
    </row>
    <row r="347" spans="1:33" ht="13">
      <c r="A347" s="1" t="s">
        <v>1500</v>
      </c>
      <c r="B347" s="1" t="s">
        <v>34</v>
      </c>
      <c r="C347" s="1" t="s">
        <v>35</v>
      </c>
      <c r="D347" s="1"/>
      <c r="E347" s="6">
        <v>30657</v>
      </c>
      <c r="F347" s="1" t="s">
        <v>124</v>
      </c>
      <c r="G347" s="1">
        <v>2017</v>
      </c>
      <c r="H347" s="1">
        <v>22</v>
      </c>
      <c r="I347" s="2">
        <v>42893</v>
      </c>
      <c r="J347" s="2">
        <v>43343</v>
      </c>
      <c r="K347" s="3" t="s">
        <v>1501</v>
      </c>
      <c r="L347" s="9" t="e">
        <f t="shared" ca="1" si="0"/>
        <v>#NAME?</v>
      </c>
      <c r="M347" s="9" t="str">
        <f t="shared" si="1"/>
        <v>N/A</v>
      </c>
      <c r="N347" s="10" t="str">
        <f t="shared" si="2"/>
        <v>N/A</v>
      </c>
      <c r="O347" s="1" t="s">
        <v>38</v>
      </c>
      <c r="P347" s="1"/>
      <c r="Q347" s="1" t="s">
        <v>297</v>
      </c>
      <c r="R347" s="1" t="s">
        <v>1502</v>
      </c>
      <c r="S347" s="1"/>
      <c r="T347" s="1"/>
      <c r="U347" s="1"/>
      <c r="V347" s="1"/>
      <c r="W347" s="1"/>
      <c r="X347" s="1">
        <v>0</v>
      </c>
      <c r="Y347" s="7"/>
      <c r="Z347" s="7"/>
      <c r="AA347" s="1">
        <v>0</v>
      </c>
      <c r="AB347" s="1">
        <v>0</v>
      </c>
      <c r="AC347" s="1">
        <v>0</v>
      </c>
      <c r="AD347" s="1"/>
      <c r="AG347" s="1" t="s">
        <v>324</v>
      </c>
    </row>
    <row r="348" spans="1:33" ht="13">
      <c r="A348" s="1" t="s">
        <v>1503</v>
      </c>
      <c r="B348" s="1" t="s">
        <v>394</v>
      </c>
      <c r="C348" s="1" t="s">
        <v>35</v>
      </c>
      <c r="D348" s="1" t="s">
        <v>1504</v>
      </c>
      <c r="E348" s="6">
        <v>30491</v>
      </c>
      <c r="F348" s="1" t="s">
        <v>84</v>
      </c>
      <c r="G348" s="1">
        <v>2017</v>
      </c>
      <c r="H348" s="1">
        <v>22</v>
      </c>
      <c r="I348" s="2">
        <v>42893</v>
      </c>
      <c r="J348" s="7">
        <f t="shared" ref="J348:J361" ca="1" si="10">TODAY()</f>
        <v>44606</v>
      </c>
      <c r="K348" s="8" t="s">
        <v>1056</v>
      </c>
      <c r="L348" s="9" t="e">
        <f t="shared" ca="1" si="0"/>
        <v>#NAME?</v>
      </c>
      <c r="M348" s="9" t="e">
        <f t="shared" ca="1" si="1"/>
        <v>#NAME?</v>
      </c>
      <c r="N348" s="10" t="str">
        <f t="shared" si="2"/>
        <v>N/A</v>
      </c>
      <c r="O348" s="1" t="s">
        <v>38</v>
      </c>
      <c r="P348" s="1"/>
      <c r="Q348" s="1" t="s">
        <v>1057</v>
      </c>
      <c r="R348" s="1" t="s">
        <v>1505</v>
      </c>
      <c r="S348" s="1"/>
      <c r="T348" s="1"/>
      <c r="U348" s="1"/>
      <c r="V348" s="1"/>
      <c r="W348" s="1"/>
      <c r="X348" s="1">
        <v>0</v>
      </c>
      <c r="Y348" s="7"/>
      <c r="Z348" s="7"/>
      <c r="AA348" s="1">
        <v>0</v>
      </c>
      <c r="AB348" s="1">
        <v>0</v>
      </c>
      <c r="AC348" s="1">
        <v>0</v>
      </c>
      <c r="AD348" s="1"/>
    </row>
    <row r="349" spans="1:33" ht="13">
      <c r="A349" s="1" t="s">
        <v>1506</v>
      </c>
      <c r="B349" s="1" t="s">
        <v>394</v>
      </c>
      <c r="C349" s="1" t="s">
        <v>35</v>
      </c>
      <c r="D349" s="1"/>
      <c r="E349" s="6">
        <v>30439</v>
      </c>
      <c r="F349" s="1" t="s">
        <v>84</v>
      </c>
      <c r="G349" s="1">
        <v>2017</v>
      </c>
      <c r="H349" s="1">
        <v>22</v>
      </c>
      <c r="I349" s="2">
        <v>42893</v>
      </c>
      <c r="J349" s="7">
        <f t="shared" ca="1" si="10"/>
        <v>44606</v>
      </c>
      <c r="K349" s="8" t="s">
        <v>1056</v>
      </c>
      <c r="L349" s="9" t="e">
        <f t="shared" ca="1" si="0"/>
        <v>#NAME?</v>
      </c>
      <c r="M349" s="9" t="e">
        <f t="shared" ca="1" si="1"/>
        <v>#NAME?</v>
      </c>
      <c r="N349" s="10" t="str">
        <f t="shared" si="2"/>
        <v>N/A</v>
      </c>
      <c r="O349" s="1" t="s">
        <v>38</v>
      </c>
      <c r="P349" s="1"/>
      <c r="Q349" s="1" t="s">
        <v>1057</v>
      </c>
      <c r="R349" s="1" t="s">
        <v>1399</v>
      </c>
      <c r="S349" s="1"/>
      <c r="T349" s="1"/>
      <c r="U349" s="1"/>
      <c r="V349" s="1"/>
      <c r="W349" s="1"/>
      <c r="X349" s="1">
        <v>0</v>
      </c>
      <c r="Y349" s="7"/>
      <c r="Z349" s="7"/>
      <c r="AA349" s="1">
        <v>0</v>
      </c>
      <c r="AB349" s="1">
        <v>0</v>
      </c>
      <c r="AC349" s="1">
        <v>0</v>
      </c>
      <c r="AD349" s="1"/>
    </row>
    <row r="350" spans="1:33" ht="13">
      <c r="A350" s="1" t="s">
        <v>1507</v>
      </c>
      <c r="B350" s="1" t="s">
        <v>34</v>
      </c>
      <c r="C350" s="1" t="s">
        <v>530</v>
      </c>
      <c r="D350" s="1" t="s">
        <v>1508</v>
      </c>
      <c r="E350" s="6">
        <v>27739</v>
      </c>
      <c r="F350" s="1" t="s">
        <v>124</v>
      </c>
      <c r="G350" s="1">
        <v>2017</v>
      </c>
      <c r="H350" s="1">
        <v>22</v>
      </c>
      <c r="I350" s="2">
        <v>42893</v>
      </c>
      <c r="J350" s="7">
        <f t="shared" ca="1" si="10"/>
        <v>44606</v>
      </c>
      <c r="K350" s="8" t="s">
        <v>1056</v>
      </c>
      <c r="L350" s="9" t="e">
        <f t="shared" ca="1" si="0"/>
        <v>#NAME?</v>
      </c>
      <c r="M350" s="9" t="e">
        <f t="shared" ca="1" si="1"/>
        <v>#NAME?</v>
      </c>
      <c r="N350" s="10" t="str">
        <f t="shared" si="2"/>
        <v>N/A</v>
      </c>
      <c r="O350" s="1" t="s">
        <v>38</v>
      </c>
      <c r="P350" s="1"/>
      <c r="Q350" s="1" t="s">
        <v>1057</v>
      </c>
      <c r="R350" s="1" t="s">
        <v>468</v>
      </c>
      <c r="S350" s="1"/>
      <c r="T350" s="1"/>
      <c r="U350" s="1"/>
      <c r="V350" s="1"/>
      <c r="W350" s="1"/>
      <c r="X350" s="1">
        <v>0</v>
      </c>
      <c r="Y350" s="7"/>
      <c r="Z350" s="7"/>
      <c r="AA350" s="1">
        <v>0</v>
      </c>
      <c r="AB350" s="1">
        <v>0</v>
      </c>
      <c r="AC350" s="1">
        <v>0</v>
      </c>
      <c r="AD350" s="1"/>
    </row>
    <row r="351" spans="1:33" ht="13">
      <c r="A351" s="1" t="s">
        <v>1509</v>
      </c>
      <c r="B351" s="1" t="s">
        <v>394</v>
      </c>
      <c r="C351" s="1" t="s">
        <v>361</v>
      </c>
      <c r="D351" s="1"/>
      <c r="E351" s="6">
        <v>32277</v>
      </c>
      <c r="F351" s="1" t="s">
        <v>124</v>
      </c>
      <c r="G351" s="1">
        <v>2017</v>
      </c>
      <c r="H351" s="1">
        <v>22</v>
      </c>
      <c r="I351" s="2">
        <v>42893</v>
      </c>
      <c r="J351" s="7">
        <f t="shared" ca="1" si="10"/>
        <v>44606</v>
      </c>
      <c r="K351" s="8" t="s">
        <v>1056</v>
      </c>
      <c r="L351" s="9" t="e">
        <f t="shared" ca="1" si="0"/>
        <v>#NAME?</v>
      </c>
      <c r="M351" s="9" t="e">
        <f t="shared" ca="1" si="1"/>
        <v>#NAME?</v>
      </c>
      <c r="N351" s="10" t="str">
        <f t="shared" si="2"/>
        <v>N/A</v>
      </c>
      <c r="O351" s="1" t="s">
        <v>38</v>
      </c>
      <c r="P351" s="1"/>
      <c r="Q351" s="1" t="s">
        <v>1057</v>
      </c>
      <c r="R351" s="1" t="s">
        <v>1510</v>
      </c>
      <c r="S351" s="1"/>
      <c r="T351" s="1"/>
      <c r="U351" s="1"/>
      <c r="V351" s="1"/>
      <c r="W351" s="1"/>
      <c r="X351" s="1">
        <v>0</v>
      </c>
      <c r="Y351" s="7"/>
      <c r="Z351" s="7"/>
      <c r="AA351" s="1">
        <v>0</v>
      </c>
      <c r="AB351" s="1">
        <v>0</v>
      </c>
      <c r="AC351" s="1">
        <v>0</v>
      </c>
      <c r="AD351" s="1"/>
    </row>
    <row r="352" spans="1:33" ht="13">
      <c r="A352" s="1" t="s">
        <v>1511</v>
      </c>
      <c r="B352" s="1" t="s">
        <v>394</v>
      </c>
      <c r="C352" s="1" t="s">
        <v>35</v>
      </c>
      <c r="D352" s="1"/>
      <c r="E352" s="1">
        <v>1988</v>
      </c>
      <c r="F352" s="1" t="s">
        <v>84</v>
      </c>
      <c r="G352" s="1">
        <v>2021</v>
      </c>
      <c r="H352" s="1">
        <v>23</v>
      </c>
      <c r="I352" s="2">
        <v>44536</v>
      </c>
      <c r="J352" s="7">
        <f t="shared" ca="1" si="10"/>
        <v>44606</v>
      </c>
      <c r="K352" s="3" t="s">
        <v>1512</v>
      </c>
      <c r="L352" s="9" t="e">
        <f t="shared" ca="1" si="0"/>
        <v>#NAME?</v>
      </c>
      <c r="M352" s="9" t="str">
        <f t="shared" si="1"/>
        <v>N/A</v>
      </c>
      <c r="N352" s="10" t="str">
        <f t="shared" si="2"/>
        <v>N/A</v>
      </c>
      <c r="O352" s="1" t="s">
        <v>38</v>
      </c>
      <c r="P352" s="1"/>
      <c r="Q352" s="3" t="s">
        <v>1513</v>
      </c>
      <c r="R352" s="1" t="s">
        <v>643</v>
      </c>
      <c r="S352" s="1" t="s">
        <v>1514</v>
      </c>
      <c r="T352" s="1" t="s">
        <v>272</v>
      </c>
      <c r="U352" s="1" t="s">
        <v>1515</v>
      </c>
      <c r="V352" s="1" t="s">
        <v>80</v>
      </c>
      <c r="W352" s="1" t="s">
        <v>64</v>
      </c>
      <c r="X352" s="1">
        <v>0</v>
      </c>
      <c r="Y352" s="2"/>
      <c r="Z352" s="2"/>
      <c r="AA352" s="1">
        <v>0</v>
      </c>
      <c r="AB352" s="1">
        <v>0</v>
      </c>
      <c r="AC352" s="1">
        <v>0</v>
      </c>
      <c r="AD352" s="1"/>
    </row>
    <row r="353" spans="1:30" ht="13">
      <c r="A353" s="1" t="s">
        <v>1516</v>
      </c>
      <c r="B353" s="1" t="s">
        <v>34</v>
      </c>
      <c r="C353" s="1" t="s">
        <v>530</v>
      </c>
      <c r="D353" s="1" t="s">
        <v>1344</v>
      </c>
      <c r="E353" s="1">
        <v>1984</v>
      </c>
      <c r="F353" s="1" t="s">
        <v>124</v>
      </c>
      <c r="G353" s="1">
        <v>2021</v>
      </c>
      <c r="H353" s="1">
        <v>23</v>
      </c>
      <c r="I353" s="2">
        <v>44536</v>
      </c>
      <c r="J353" s="7">
        <f t="shared" ca="1" si="10"/>
        <v>44606</v>
      </c>
      <c r="K353" s="3" t="s">
        <v>1512</v>
      </c>
      <c r="L353" s="9" t="e">
        <f t="shared" ca="1" si="0"/>
        <v>#NAME?</v>
      </c>
      <c r="M353" s="9" t="str">
        <f t="shared" si="1"/>
        <v>N/A</v>
      </c>
      <c r="N353" s="10" t="str">
        <f t="shared" si="2"/>
        <v>N/A</v>
      </c>
      <c r="O353" s="1" t="s">
        <v>38</v>
      </c>
      <c r="P353" s="1"/>
      <c r="Q353" s="3" t="s">
        <v>1513</v>
      </c>
      <c r="R353" s="1" t="s">
        <v>1517</v>
      </c>
      <c r="S353" s="1" t="s">
        <v>1518</v>
      </c>
      <c r="T353" s="1" t="s">
        <v>62</v>
      </c>
      <c r="U353" s="1" t="s">
        <v>1519</v>
      </c>
      <c r="V353" s="1" t="s">
        <v>80</v>
      </c>
      <c r="W353" s="1" t="s">
        <v>64</v>
      </c>
      <c r="X353" s="1">
        <v>0</v>
      </c>
      <c r="Y353" s="2"/>
      <c r="Z353" s="2"/>
      <c r="AA353" s="1">
        <v>0</v>
      </c>
      <c r="AB353" s="1">
        <v>0</v>
      </c>
      <c r="AC353" s="1">
        <v>0</v>
      </c>
      <c r="AD353" s="1"/>
    </row>
    <row r="354" spans="1:30" ht="13">
      <c r="A354" s="1" t="s">
        <v>1520</v>
      </c>
      <c r="B354" s="1" t="s">
        <v>394</v>
      </c>
      <c r="C354" s="1" t="s">
        <v>35</v>
      </c>
      <c r="D354" s="1"/>
      <c r="E354" s="6">
        <v>31733</v>
      </c>
      <c r="F354" s="1" t="s">
        <v>124</v>
      </c>
      <c r="G354" s="1">
        <v>2021</v>
      </c>
      <c r="H354" s="1">
        <v>23</v>
      </c>
      <c r="I354" s="2">
        <v>44536</v>
      </c>
      <c r="J354" s="7">
        <f t="shared" ca="1" si="10"/>
        <v>44606</v>
      </c>
      <c r="K354" s="3" t="s">
        <v>1512</v>
      </c>
      <c r="L354" s="9" t="e">
        <f t="shared" ca="1" si="0"/>
        <v>#NAME?</v>
      </c>
      <c r="M354" s="9" t="str">
        <f t="shared" si="1"/>
        <v>N/A</v>
      </c>
      <c r="N354" s="10" t="str">
        <f t="shared" si="2"/>
        <v>N/A</v>
      </c>
      <c r="O354" s="1" t="s">
        <v>38</v>
      </c>
      <c r="P354" s="1"/>
      <c r="Q354" s="3" t="s">
        <v>1513</v>
      </c>
      <c r="R354" s="1" t="s">
        <v>1521</v>
      </c>
      <c r="S354" s="1" t="s">
        <v>1522</v>
      </c>
      <c r="T354" s="1" t="s">
        <v>1523</v>
      </c>
      <c r="U354" s="1" t="s">
        <v>1524</v>
      </c>
      <c r="V354" s="1"/>
      <c r="W354" s="1"/>
      <c r="X354" s="1">
        <v>0</v>
      </c>
      <c r="Y354" s="2"/>
      <c r="Z354" s="2"/>
      <c r="AA354" s="1">
        <v>0</v>
      </c>
      <c r="AB354" s="1">
        <v>0</v>
      </c>
      <c r="AC354" s="1">
        <v>0</v>
      </c>
      <c r="AD354" s="1"/>
    </row>
    <row r="355" spans="1:30" ht="13">
      <c r="A355" s="1" t="s">
        <v>1525</v>
      </c>
      <c r="B355" s="1" t="s">
        <v>394</v>
      </c>
      <c r="C355" s="1" t="s">
        <v>35</v>
      </c>
      <c r="D355" s="1"/>
      <c r="E355" s="6">
        <v>31321</v>
      </c>
      <c r="F355" s="1" t="s">
        <v>84</v>
      </c>
      <c r="G355" s="1">
        <v>2021</v>
      </c>
      <c r="H355" s="1">
        <v>23</v>
      </c>
      <c r="I355" s="2">
        <v>44536</v>
      </c>
      <c r="J355" s="7">
        <f t="shared" ca="1" si="10"/>
        <v>44606</v>
      </c>
      <c r="K355" s="3" t="s">
        <v>1512</v>
      </c>
      <c r="L355" s="9" t="e">
        <f t="shared" ca="1" si="0"/>
        <v>#NAME?</v>
      </c>
      <c r="M355" s="9" t="str">
        <f t="shared" si="1"/>
        <v>N/A</v>
      </c>
      <c r="N355" s="10" t="str">
        <f t="shared" si="2"/>
        <v>N/A</v>
      </c>
      <c r="O355" s="1" t="s">
        <v>38</v>
      </c>
      <c r="P355" s="1"/>
      <c r="Q355" s="3" t="s">
        <v>1513</v>
      </c>
      <c r="R355" s="1" t="s">
        <v>1526</v>
      </c>
      <c r="S355" s="1" t="s">
        <v>1527</v>
      </c>
      <c r="T355" s="1" t="s">
        <v>579</v>
      </c>
      <c r="U355" s="1" t="s">
        <v>62</v>
      </c>
      <c r="V355" s="1" t="s">
        <v>1528</v>
      </c>
      <c r="W355" s="1" t="s">
        <v>150</v>
      </c>
      <c r="X355" s="1">
        <v>0</v>
      </c>
      <c r="Y355" s="2"/>
      <c r="Z355" s="2"/>
      <c r="AA355" s="1">
        <v>0</v>
      </c>
      <c r="AB355" s="1">
        <v>0</v>
      </c>
      <c r="AC355" s="1">
        <v>0</v>
      </c>
      <c r="AD355" s="1"/>
    </row>
    <row r="356" spans="1:30" ht="13">
      <c r="A356" s="1" t="s">
        <v>1529</v>
      </c>
      <c r="B356" s="1" t="s">
        <v>34</v>
      </c>
      <c r="C356" s="1" t="s">
        <v>35</v>
      </c>
      <c r="D356" s="1"/>
      <c r="E356" s="1">
        <v>1979</v>
      </c>
      <c r="F356" s="1" t="s">
        <v>84</v>
      </c>
      <c r="G356" s="1">
        <v>2021</v>
      </c>
      <c r="H356" s="1">
        <v>23</v>
      </c>
      <c r="I356" s="2">
        <v>44536</v>
      </c>
      <c r="J356" s="7">
        <f t="shared" ca="1" si="10"/>
        <v>44606</v>
      </c>
      <c r="K356" s="3" t="s">
        <v>1512</v>
      </c>
      <c r="L356" s="9" t="e">
        <f t="shared" ca="1" si="0"/>
        <v>#NAME?</v>
      </c>
      <c r="M356" s="9" t="str">
        <f t="shared" si="1"/>
        <v>N/A</v>
      </c>
      <c r="N356" s="10" t="str">
        <f t="shared" si="2"/>
        <v>N/A</v>
      </c>
      <c r="O356" s="1" t="s">
        <v>38</v>
      </c>
      <c r="P356" s="1"/>
      <c r="Q356" s="3" t="s">
        <v>1513</v>
      </c>
      <c r="R356" s="1" t="s">
        <v>311</v>
      </c>
      <c r="S356" s="1" t="s">
        <v>1530</v>
      </c>
      <c r="T356" s="1" t="s">
        <v>62</v>
      </c>
      <c r="U356" s="1" t="s">
        <v>87</v>
      </c>
      <c r="V356" s="1" t="s">
        <v>80</v>
      </c>
      <c r="W356" s="1" t="s">
        <v>182</v>
      </c>
      <c r="X356" s="1">
        <v>0</v>
      </c>
      <c r="Y356" s="2"/>
      <c r="Z356" s="2"/>
      <c r="AA356" s="1">
        <v>0</v>
      </c>
      <c r="AB356" s="1">
        <v>0</v>
      </c>
      <c r="AC356" s="1">
        <v>0</v>
      </c>
      <c r="AD356" s="1"/>
    </row>
    <row r="357" spans="1:30" ht="13">
      <c r="A357" s="1" t="s">
        <v>1531</v>
      </c>
      <c r="B357" s="1" t="s">
        <v>34</v>
      </c>
      <c r="C357" s="1" t="s">
        <v>361</v>
      </c>
      <c r="D357" s="1"/>
      <c r="E357" s="1">
        <v>1986</v>
      </c>
      <c r="F357" s="1" t="s">
        <v>124</v>
      </c>
      <c r="G357" s="1">
        <v>2021</v>
      </c>
      <c r="H357" s="1">
        <v>23</v>
      </c>
      <c r="I357" s="2">
        <v>44536</v>
      </c>
      <c r="J357" s="7">
        <f t="shared" ca="1" si="10"/>
        <v>44606</v>
      </c>
      <c r="K357" s="3" t="s">
        <v>1512</v>
      </c>
      <c r="L357" s="9" t="e">
        <f t="shared" ca="1" si="0"/>
        <v>#NAME?</v>
      </c>
      <c r="M357" s="9" t="str">
        <f t="shared" si="1"/>
        <v>N/A</v>
      </c>
      <c r="N357" s="10" t="str">
        <f t="shared" si="2"/>
        <v>N/A</v>
      </c>
      <c r="O357" s="1" t="s">
        <v>38</v>
      </c>
      <c r="P357" s="1"/>
      <c r="Q357" s="3" t="s">
        <v>1513</v>
      </c>
      <c r="R357" s="1" t="s">
        <v>311</v>
      </c>
      <c r="S357" s="1" t="s">
        <v>1532</v>
      </c>
      <c r="T357" s="1" t="s">
        <v>62</v>
      </c>
      <c r="U357" s="1" t="s">
        <v>1533</v>
      </c>
      <c r="V357" s="1"/>
      <c r="W357" s="1"/>
      <c r="X357" s="1">
        <v>0</v>
      </c>
      <c r="Y357" s="2"/>
      <c r="Z357" s="2"/>
      <c r="AA357" s="1">
        <v>0</v>
      </c>
      <c r="AB357" s="1">
        <v>0</v>
      </c>
      <c r="AC357" s="1">
        <v>0</v>
      </c>
      <c r="AD357" s="1"/>
    </row>
    <row r="358" spans="1:30" ht="13">
      <c r="A358" s="1" t="s">
        <v>1534</v>
      </c>
      <c r="B358" s="1" t="s">
        <v>34</v>
      </c>
      <c r="C358" s="1" t="s">
        <v>35</v>
      </c>
      <c r="D358" s="1"/>
      <c r="E358" s="1">
        <v>1982</v>
      </c>
      <c r="F358" s="1" t="s">
        <v>84</v>
      </c>
      <c r="G358" s="1">
        <v>2021</v>
      </c>
      <c r="H358" s="1">
        <v>23</v>
      </c>
      <c r="I358" s="2">
        <v>44536</v>
      </c>
      <c r="J358" s="7">
        <f t="shared" ca="1" si="10"/>
        <v>44606</v>
      </c>
      <c r="K358" s="3" t="s">
        <v>1512</v>
      </c>
      <c r="L358" s="9" t="e">
        <f t="shared" ca="1" si="0"/>
        <v>#NAME?</v>
      </c>
      <c r="M358" s="9" t="str">
        <f t="shared" si="1"/>
        <v>N/A</v>
      </c>
      <c r="N358" s="10" t="str">
        <f t="shared" si="2"/>
        <v>N/A</v>
      </c>
      <c r="O358" s="1" t="s">
        <v>38</v>
      </c>
      <c r="P358" s="1"/>
      <c r="Q358" s="3" t="s">
        <v>1513</v>
      </c>
      <c r="R358" s="1" t="s">
        <v>1535</v>
      </c>
      <c r="S358" s="1" t="s">
        <v>1536</v>
      </c>
      <c r="T358" s="1" t="s">
        <v>158</v>
      </c>
      <c r="U358" s="1" t="s">
        <v>1537</v>
      </c>
      <c r="V358" s="1" t="s">
        <v>43</v>
      </c>
      <c r="W358" s="1" t="s">
        <v>150</v>
      </c>
      <c r="X358" s="1">
        <v>0</v>
      </c>
      <c r="Y358" s="2"/>
      <c r="Z358" s="2"/>
      <c r="AA358" s="1">
        <v>0</v>
      </c>
      <c r="AB358" s="1">
        <v>0</v>
      </c>
      <c r="AC358" s="1">
        <v>0</v>
      </c>
      <c r="AD358" s="1"/>
    </row>
    <row r="359" spans="1:30" ht="13">
      <c r="A359" s="1" t="s">
        <v>1538</v>
      </c>
      <c r="B359" s="1" t="s">
        <v>34</v>
      </c>
      <c r="C359" s="1" t="s">
        <v>459</v>
      </c>
      <c r="D359" s="1" t="s">
        <v>961</v>
      </c>
      <c r="E359" s="1">
        <v>1976</v>
      </c>
      <c r="F359" s="1" t="s">
        <v>124</v>
      </c>
      <c r="G359" s="1">
        <v>2021</v>
      </c>
      <c r="H359" s="1">
        <v>23</v>
      </c>
      <c r="I359" s="2">
        <v>44536</v>
      </c>
      <c r="J359" s="7">
        <f t="shared" ca="1" si="10"/>
        <v>44606</v>
      </c>
      <c r="K359" s="3" t="s">
        <v>1512</v>
      </c>
      <c r="L359" s="9" t="e">
        <f t="shared" ca="1" si="0"/>
        <v>#NAME?</v>
      </c>
      <c r="M359" s="9" t="str">
        <f t="shared" si="1"/>
        <v>N/A</v>
      </c>
      <c r="N359" s="10" t="str">
        <f t="shared" si="2"/>
        <v>N/A</v>
      </c>
      <c r="O359" s="1" t="s">
        <v>38</v>
      </c>
      <c r="P359" s="1"/>
      <c r="Q359" s="3" t="s">
        <v>1513</v>
      </c>
      <c r="R359" s="1" t="s">
        <v>668</v>
      </c>
      <c r="S359" s="1" t="s">
        <v>1539</v>
      </c>
      <c r="T359" s="1" t="s">
        <v>1540</v>
      </c>
      <c r="U359" s="1" t="s">
        <v>201</v>
      </c>
      <c r="V359" s="1"/>
      <c r="W359" s="1"/>
      <c r="X359" s="1">
        <v>0</v>
      </c>
      <c r="Y359" s="2"/>
      <c r="Z359" s="2"/>
      <c r="AA359" s="1">
        <v>0</v>
      </c>
      <c r="AB359" s="1">
        <v>0</v>
      </c>
      <c r="AC359" s="1">
        <v>0</v>
      </c>
      <c r="AD359" s="1"/>
    </row>
    <row r="360" spans="1:30" ht="13">
      <c r="A360" s="1" t="s">
        <v>1541</v>
      </c>
      <c r="B360" s="1" t="s">
        <v>34</v>
      </c>
      <c r="C360" s="1" t="s">
        <v>361</v>
      </c>
      <c r="D360" s="1"/>
      <c r="E360" s="1">
        <v>1983</v>
      </c>
      <c r="F360" s="1" t="s">
        <v>124</v>
      </c>
      <c r="G360" s="1">
        <v>2021</v>
      </c>
      <c r="H360" s="1">
        <v>23</v>
      </c>
      <c r="I360" s="2">
        <v>44536</v>
      </c>
      <c r="J360" s="7">
        <f t="shared" ca="1" si="10"/>
        <v>44606</v>
      </c>
      <c r="K360" s="3" t="s">
        <v>1512</v>
      </c>
      <c r="L360" s="9" t="e">
        <f t="shared" ca="1" si="0"/>
        <v>#NAME?</v>
      </c>
      <c r="M360" s="9" t="str">
        <f t="shared" si="1"/>
        <v>N/A</v>
      </c>
      <c r="N360" s="10" t="str">
        <f t="shared" si="2"/>
        <v>N/A</v>
      </c>
      <c r="O360" s="1" t="s">
        <v>38</v>
      </c>
      <c r="P360" s="1"/>
      <c r="Q360" s="3" t="s">
        <v>1513</v>
      </c>
      <c r="R360" s="1" t="s">
        <v>1542</v>
      </c>
      <c r="S360" s="1" t="s">
        <v>1543</v>
      </c>
      <c r="T360" s="1" t="s">
        <v>158</v>
      </c>
      <c r="U360" s="1" t="s">
        <v>158</v>
      </c>
      <c r="V360" s="1"/>
      <c r="W360" s="1"/>
      <c r="X360" s="1">
        <v>0</v>
      </c>
      <c r="Y360" s="2"/>
      <c r="Z360" s="2"/>
      <c r="AA360" s="1">
        <v>0</v>
      </c>
      <c r="AB360" s="1">
        <v>0</v>
      </c>
      <c r="AC360" s="1">
        <v>0</v>
      </c>
      <c r="AD360" s="1"/>
    </row>
    <row r="361" spans="1:30" ht="13">
      <c r="A361" s="1" t="s">
        <v>1544</v>
      </c>
      <c r="B361" s="1" t="s">
        <v>394</v>
      </c>
      <c r="C361" s="1" t="s">
        <v>35</v>
      </c>
      <c r="D361" s="1"/>
      <c r="E361" s="1">
        <v>1983</v>
      </c>
      <c r="F361" s="1" t="s">
        <v>84</v>
      </c>
      <c r="G361" s="1">
        <v>2021</v>
      </c>
      <c r="H361" s="1">
        <v>23</v>
      </c>
      <c r="I361" s="2">
        <v>44536</v>
      </c>
      <c r="J361" s="7">
        <f t="shared" ca="1" si="10"/>
        <v>44606</v>
      </c>
      <c r="K361" s="3" t="s">
        <v>1512</v>
      </c>
      <c r="L361" s="9" t="e">
        <f t="shared" ca="1" si="0"/>
        <v>#NAME?</v>
      </c>
      <c r="M361" s="9" t="str">
        <f t="shared" si="1"/>
        <v>N/A</v>
      </c>
      <c r="N361" s="10" t="str">
        <f t="shared" si="2"/>
        <v>N/A</v>
      </c>
      <c r="O361" s="1" t="s">
        <v>38</v>
      </c>
      <c r="P361" s="1"/>
      <c r="Q361" s="3" t="s">
        <v>1513</v>
      </c>
      <c r="R361" s="1" t="s">
        <v>504</v>
      </c>
      <c r="S361" s="1" t="s">
        <v>474</v>
      </c>
      <c r="T361" s="1" t="s">
        <v>87</v>
      </c>
      <c r="U361" s="1" t="s">
        <v>87</v>
      </c>
      <c r="V361" s="1" t="s">
        <v>1545</v>
      </c>
      <c r="W361" s="1" t="s">
        <v>150</v>
      </c>
      <c r="X361" s="1">
        <v>0</v>
      </c>
      <c r="Y361" s="2"/>
      <c r="Z361" s="2"/>
      <c r="AA361" s="1">
        <v>0</v>
      </c>
      <c r="AB361" s="1">
        <v>0</v>
      </c>
      <c r="AC361" s="1">
        <v>0</v>
      </c>
      <c r="AD361" s="1"/>
    </row>
    <row r="362" spans="1:30" ht="13">
      <c r="C362" s="6"/>
      <c r="D362" s="6"/>
      <c r="E362" s="6"/>
      <c r="I362" s="12"/>
      <c r="J362" s="12"/>
      <c r="K362" s="28"/>
      <c r="L362" s="29"/>
      <c r="M362" s="29"/>
      <c r="N362" s="30"/>
      <c r="Y362" s="12"/>
      <c r="Z362" s="12"/>
    </row>
    <row r="363" spans="1:30" ht="13">
      <c r="I363" s="12"/>
      <c r="J363" s="12"/>
      <c r="K363" s="28"/>
      <c r="L363" s="29"/>
      <c r="M363" s="29"/>
      <c r="N363" s="30"/>
      <c r="Y363" s="12"/>
      <c r="Z363" s="12"/>
    </row>
    <row r="364" spans="1:30" ht="13">
      <c r="I364" s="12"/>
      <c r="J364" s="12"/>
      <c r="K364" s="28"/>
      <c r="L364" s="29"/>
      <c r="M364" s="29"/>
      <c r="N364" s="30"/>
      <c r="Y364" s="12"/>
      <c r="Z364" s="12"/>
    </row>
    <row r="365" spans="1:30" ht="13">
      <c r="I365" s="12"/>
      <c r="J365" s="12"/>
      <c r="K365" s="28"/>
      <c r="L365" s="29"/>
      <c r="M365" s="29"/>
      <c r="N365" s="30"/>
      <c r="Y365" s="12"/>
      <c r="Z365" s="12"/>
    </row>
    <row r="366" spans="1:30" ht="13">
      <c r="B366" s="52"/>
      <c r="C366" s="53"/>
      <c r="I366" s="12"/>
      <c r="J366" s="12"/>
      <c r="K366" s="28"/>
      <c r="L366" s="29"/>
      <c r="M366" s="29"/>
      <c r="N366" s="30"/>
      <c r="Y366" s="12"/>
      <c r="Z366" s="12"/>
    </row>
    <row r="367" spans="1:30" ht="13">
      <c r="B367" s="52"/>
      <c r="C367" s="53"/>
      <c r="I367" s="12"/>
      <c r="J367" s="12"/>
      <c r="K367" s="28"/>
      <c r="L367" s="29"/>
      <c r="M367" s="29"/>
      <c r="N367" s="30"/>
      <c r="Y367" s="12"/>
      <c r="Z367" s="12"/>
    </row>
    <row r="368" spans="1:30" ht="13">
      <c r="B368" s="52"/>
      <c r="C368" s="53"/>
      <c r="I368" s="12"/>
      <c r="J368" s="12"/>
      <c r="K368" s="28"/>
      <c r="L368" s="29"/>
      <c r="M368" s="29"/>
      <c r="N368" s="30"/>
      <c r="Y368" s="12"/>
      <c r="Z368" s="12"/>
    </row>
    <row r="369" spans="9:26" ht="13">
      <c r="I369" s="12"/>
      <c r="J369" s="12"/>
      <c r="K369" s="28"/>
      <c r="L369" s="29"/>
      <c r="M369" s="29"/>
      <c r="N369" s="30"/>
      <c r="Y369" s="12"/>
      <c r="Z369" s="12"/>
    </row>
    <row r="370" spans="9:26" ht="13">
      <c r="I370" s="12"/>
      <c r="J370" s="12"/>
      <c r="K370" s="28"/>
      <c r="L370" s="29"/>
      <c r="M370" s="29"/>
      <c r="N370" s="30"/>
      <c r="Y370" s="12"/>
      <c r="Z370" s="12"/>
    </row>
    <row r="371" spans="9:26" ht="13">
      <c r="I371" s="12"/>
      <c r="J371" s="12"/>
      <c r="K371" s="28"/>
      <c r="L371" s="29"/>
      <c r="M371" s="29"/>
      <c r="N371" s="30"/>
      <c r="Y371" s="12"/>
      <c r="Z371" s="12"/>
    </row>
    <row r="372" spans="9:26" ht="13">
      <c r="I372" s="12"/>
      <c r="J372" s="12"/>
      <c r="K372" s="28"/>
      <c r="L372" s="29"/>
      <c r="M372" s="29"/>
      <c r="N372" s="30"/>
      <c r="Y372" s="12"/>
      <c r="Z372" s="12"/>
    </row>
    <row r="373" spans="9:26" ht="13">
      <c r="I373" s="12"/>
      <c r="J373" s="12"/>
      <c r="K373" s="28"/>
      <c r="L373" s="29"/>
      <c r="M373" s="29"/>
      <c r="N373" s="30"/>
      <c r="Y373" s="12"/>
      <c r="Z373" s="12"/>
    </row>
    <row r="374" spans="9:26" ht="13">
      <c r="I374" s="12"/>
      <c r="J374" s="12"/>
      <c r="K374" s="28"/>
      <c r="L374" s="29"/>
      <c r="M374" s="29"/>
      <c r="N374" s="30"/>
      <c r="Y374" s="12"/>
      <c r="Z374" s="12"/>
    </row>
    <row r="375" spans="9:26" ht="13">
      <c r="I375" s="12"/>
      <c r="J375" s="12"/>
      <c r="K375" s="28"/>
      <c r="L375" s="29"/>
      <c r="M375" s="29"/>
      <c r="N375" s="30"/>
      <c r="Y375" s="12"/>
      <c r="Z375" s="12"/>
    </row>
    <row r="376" spans="9:26" ht="13">
      <c r="I376" s="12"/>
      <c r="J376" s="12"/>
      <c r="K376" s="28"/>
      <c r="L376" s="29"/>
      <c r="M376" s="29"/>
      <c r="N376" s="30"/>
      <c r="Y376" s="12"/>
      <c r="Z376" s="12"/>
    </row>
    <row r="377" spans="9:26" ht="13">
      <c r="I377" s="12"/>
      <c r="J377" s="12"/>
      <c r="K377" s="28"/>
      <c r="L377" s="29"/>
      <c r="M377" s="29"/>
      <c r="N377" s="30"/>
      <c r="Y377" s="12"/>
      <c r="Z377" s="12"/>
    </row>
    <row r="378" spans="9:26" ht="13">
      <c r="I378" s="12"/>
      <c r="J378" s="12"/>
      <c r="K378" s="28"/>
      <c r="L378" s="29"/>
      <c r="M378" s="29"/>
      <c r="N378" s="30"/>
      <c r="Y378" s="12"/>
      <c r="Z378" s="12"/>
    </row>
    <row r="379" spans="9:26" ht="13">
      <c r="I379" s="12"/>
      <c r="J379" s="12"/>
      <c r="K379" s="28"/>
      <c r="L379" s="29"/>
      <c r="M379" s="29"/>
      <c r="N379" s="30"/>
      <c r="Y379" s="12"/>
      <c r="Z379" s="12"/>
    </row>
    <row r="380" spans="9:26" ht="13">
      <c r="I380" s="12"/>
      <c r="J380" s="12"/>
      <c r="K380" s="28"/>
      <c r="L380" s="29"/>
      <c r="M380" s="29"/>
      <c r="N380" s="30"/>
      <c r="Y380" s="12"/>
      <c r="Z380" s="12"/>
    </row>
    <row r="381" spans="9:26" ht="13">
      <c r="I381" s="12"/>
      <c r="J381" s="12"/>
      <c r="K381" s="28"/>
      <c r="L381" s="29"/>
      <c r="M381" s="29"/>
      <c r="N381" s="30"/>
      <c r="Y381" s="12"/>
      <c r="Z381" s="12"/>
    </row>
    <row r="382" spans="9:26" ht="13">
      <c r="I382" s="12"/>
      <c r="J382" s="12"/>
      <c r="K382" s="28"/>
      <c r="L382" s="29"/>
      <c r="M382" s="29"/>
      <c r="N382" s="30"/>
      <c r="Y382" s="12"/>
      <c r="Z382" s="12"/>
    </row>
    <row r="383" spans="9:26" ht="13">
      <c r="I383" s="12"/>
      <c r="J383" s="12"/>
      <c r="K383" s="28"/>
      <c r="L383" s="29"/>
      <c r="M383" s="29"/>
      <c r="N383" s="30"/>
      <c r="Y383" s="12"/>
      <c r="Z383" s="12"/>
    </row>
    <row r="384" spans="9:26" ht="13">
      <c r="I384" s="12"/>
      <c r="J384" s="12"/>
      <c r="K384" s="28"/>
      <c r="L384" s="29"/>
      <c r="M384" s="29"/>
      <c r="N384" s="30"/>
      <c r="Y384" s="12"/>
      <c r="Z384" s="12"/>
    </row>
    <row r="385" spans="9:26" ht="13">
      <c r="I385" s="12"/>
      <c r="J385" s="12"/>
      <c r="K385" s="28"/>
      <c r="L385" s="29"/>
      <c r="M385" s="29"/>
      <c r="N385" s="30"/>
      <c r="Y385" s="12"/>
      <c r="Z385" s="12"/>
    </row>
    <row r="386" spans="9:26" ht="13">
      <c r="I386" s="12"/>
      <c r="J386" s="12"/>
      <c r="K386" s="28"/>
      <c r="L386" s="29"/>
      <c r="M386" s="29"/>
      <c r="N386" s="30"/>
      <c r="Y386" s="12"/>
      <c r="Z386" s="12"/>
    </row>
    <row r="387" spans="9:26" ht="13">
      <c r="I387" s="12"/>
      <c r="J387" s="12"/>
      <c r="K387" s="28"/>
      <c r="L387" s="29"/>
      <c r="M387" s="29"/>
      <c r="N387" s="30"/>
      <c r="Y387" s="12"/>
      <c r="Z387" s="12"/>
    </row>
    <row r="388" spans="9:26" ht="13">
      <c r="I388" s="12"/>
      <c r="J388" s="12"/>
      <c r="K388" s="28"/>
      <c r="L388" s="29"/>
      <c r="M388" s="29"/>
      <c r="N388" s="30"/>
      <c r="Y388" s="12"/>
      <c r="Z388" s="12"/>
    </row>
    <row r="389" spans="9:26" ht="13">
      <c r="I389" s="12"/>
      <c r="J389" s="12"/>
      <c r="K389" s="28"/>
      <c r="L389" s="29"/>
      <c r="M389" s="29"/>
      <c r="N389" s="30"/>
      <c r="Y389" s="12"/>
      <c r="Z389" s="12"/>
    </row>
    <row r="390" spans="9:26" ht="13">
      <c r="I390" s="12"/>
      <c r="J390" s="12"/>
      <c r="K390" s="28"/>
      <c r="L390" s="29"/>
      <c r="M390" s="29"/>
      <c r="N390" s="30"/>
      <c r="Y390" s="12"/>
      <c r="Z390" s="12"/>
    </row>
    <row r="391" spans="9:26" ht="13">
      <c r="I391" s="12"/>
      <c r="J391" s="12"/>
      <c r="K391" s="28"/>
      <c r="L391" s="29"/>
      <c r="M391" s="29"/>
      <c r="N391" s="30"/>
      <c r="Y391" s="12"/>
      <c r="Z391" s="12"/>
    </row>
    <row r="392" spans="9:26" ht="13">
      <c r="I392" s="12"/>
      <c r="J392" s="12"/>
      <c r="K392" s="28"/>
      <c r="L392" s="29"/>
      <c r="M392" s="29"/>
      <c r="N392" s="30"/>
      <c r="Y392" s="12"/>
      <c r="Z392" s="12"/>
    </row>
    <row r="393" spans="9:26" ht="13">
      <c r="I393" s="12"/>
      <c r="J393" s="12"/>
      <c r="K393" s="28"/>
      <c r="L393" s="29"/>
      <c r="M393" s="29"/>
      <c r="N393" s="30"/>
      <c r="Y393" s="12"/>
      <c r="Z393" s="12"/>
    </row>
    <row r="394" spans="9:26" ht="13">
      <c r="I394" s="12"/>
      <c r="J394" s="12"/>
      <c r="K394" s="28"/>
      <c r="L394" s="29"/>
      <c r="M394" s="29"/>
      <c r="N394" s="30"/>
      <c r="Y394" s="12"/>
      <c r="Z394" s="12"/>
    </row>
    <row r="395" spans="9:26" ht="13">
      <c r="I395" s="12"/>
      <c r="J395" s="12"/>
      <c r="K395" s="28"/>
      <c r="L395" s="29"/>
      <c r="M395" s="29"/>
      <c r="N395" s="30"/>
      <c r="Y395" s="12"/>
      <c r="Z395" s="12"/>
    </row>
    <row r="396" spans="9:26" ht="13">
      <c r="I396" s="12"/>
      <c r="J396" s="12"/>
      <c r="K396" s="28"/>
      <c r="L396" s="29"/>
      <c r="M396" s="29"/>
      <c r="N396" s="30"/>
      <c r="Y396" s="12"/>
      <c r="Z396" s="12"/>
    </row>
    <row r="397" spans="9:26" ht="13">
      <c r="I397" s="12"/>
      <c r="J397" s="12"/>
      <c r="K397" s="28"/>
      <c r="L397" s="29"/>
      <c r="M397" s="29"/>
      <c r="N397" s="30"/>
      <c r="Y397" s="12"/>
      <c r="Z397" s="12"/>
    </row>
    <row r="398" spans="9:26" ht="13">
      <c r="I398" s="12"/>
      <c r="J398" s="12"/>
      <c r="K398" s="28"/>
      <c r="L398" s="29"/>
      <c r="M398" s="29"/>
      <c r="N398" s="30"/>
      <c r="Y398" s="12"/>
      <c r="Z398" s="12"/>
    </row>
    <row r="399" spans="9:26" ht="13">
      <c r="I399" s="12"/>
      <c r="J399" s="12"/>
      <c r="K399" s="28"/>
      <c r="L399" s="29"/>
      <c r="M399" s="29"/>
      <c r="N399" s="30"/>
      <c r="Y399" s="12"/>
      <c r="Z399" s="12"/>
    </row>
    <row r="400" spans="9:26" ht="13">
      <c r="I400" s="12"/>
      <c r="J400" s="12"/>
      <c r="K400" s="28"/>
      <c r="L400" s="29"/>
      <c r="M400" s="29"/>
      <c r="N400" s="30"/>
      <c r="Y400" s="12"/>
      <c r="Z400" s="12"/>
    </row>
    <row r="401" spans="9:26" ht="13">
      <c r="I401" s="12"/>
      <c r="J401" s="12"/>
      <c r="K401" s="28"/>
      <c r="L401" s="29"/>
      <c r="M401" s="29"/>
      <c r="N401" s="30"/>
      <c r="Y401" s="12"/>
      <c r="Z401" s="12"/>
    </row>
    <row r="402" spans="9:26" ht="13">
      <c r="I402" s="12"/>
      <c r="J402" s="12"/>
      <c r="K402" s="28"/>
      <c r="L402" s="29"/>
      <c r="M402" s="29"/>
      <c r="N402" s="30"/>
      <c r="Y402" s="12"/>
      <c r="Z402" s="12"/>
    </row>
    <row r="403" spans="9:26" ht="13">
      <c r="I403" s="12"/>
      <c r="J403" s="12"/>
      <c r="K403" s="28"/>
      <c r="L403" s="29"/>
      <c r="M403" s="29"/>
      <c r="N403" s="30"/>
      <c r="Y403" s="12"/>
      <c r="Z403" s="12"/>
    </row>
    <row r="404" spans="9:26" ht="13">
      <c r="I404" s="12"/>
      <c r="J404" s="12"/>
      <c r="K404" s="28"/>
      <c r="L404" s="29"/>
      <c r="M404" s="29"/>
      <c r="N404" s="30"/>
      <c r="Y404" s="12"/>
      <c r="Z404" s="12"/>
    </row>
    <row r="405" spans="9:26" ht="13">
      <c r="I405" s="12"/>
      <c r="J405" s="12"/>
      <c r="K405" s="28"/>
      <c r="L405" s="29"/>
      <c r="M405" s="29"/>
      <c r="N405" s="30"/>
      <c r="Y405" s="12"/>
      <c r="Z405" s="12"/>
    </row>
    <row r="406" spans="9:26" ht="13">
      <c r="I406" s="12"/>
      <c r="J406" s="12"/>
      <c r="K406" s="28"/>
      <c r="L406" s="29"/>
      <c r="M406" s="29"/>
      <c r="N406" s="30"/>
      <c r="Y406" s="12"/>
      <c r="Z406" s="12"/>
    </row>
    <row r="407" spans="9:26" ht="13">
      <c r="I407" s="12"/>
      <c r="J407" s="12"/>
      <c r="K407" s="28"/>
      <c r="L407" s="29"/>
      <c r="M407" s="29"/>
      <c r="N407" s="30"/>
      <c r="Y407" s="12"/>
      <c r="Z407" s="12"/>
    </row>
    <row r="408" spans="9:26" ht="13">
      <c r="I408" s="12"/>
      <c r="J408" s="12"/>
      <c r="K408" s="28"/>
      <c r="L408" s="29"/>
      <c r="M408" s="29"/>
      <c r="N408" s="30"/>
      <c r="Y408" s="12"/>
      <c r="Z408" s="12"/>
    </row>
    <row r="409" spans="9:26" ht="13">
      <c r="I409" s="12"/>
      <c r="J409" s="12"/>
      <c r="K409" s="28"/>
      <c r="L409" s="29"/>
      <c r="M409" s="29"/>
      <c r="N409" s="30"/>
      <c r="Y409" s="12"/>
      <c r="Z409" s="12"/>
    </row>
    <row r="410" spans="9:26" ht="13">
      <c r="I410" s="12"/>
      <c r="J410" s="12"/>
      <c r="K410" s="28"/>
      <c r="L410" s="29"/>
      <c r="M410" s="29"/>
      <c r="N410" s="30"/>
      <c r="Y410" s="12"/>
      <c r="Z410" s="12"/>
    </row>
    <row r="411" spans="9:26" ht="13">
      <c r="I411" s="12"/>
      <c r="J411" s="12"/>
      <c r="K411" s="28"/>
      <c r="L411" s="29"/>
      <c r="M411" s="29"/>
      <c r="N411" s="30"/>
      <c r="Y411" s="12"/>
      <c r="Z411" s="12"/>
    </row>
    <row r="412" spans="9:26" ht="13">
      <c r="I412" s="12"/>
      <c r="J412" s="12"/>
      <c r="K412" s="28"/>
      <c r="L412" s="29"/>
      <c r="M412" s="29"/>
      <c r="N412" s="30"/>
      <c r="Y412" s="12"/>
      <c r="Z412" s="12"/>
    </row>
    <row r="413" spans="9:26" ht="13">
      <c r="I413" s="12"/>
      <c r="J413" s="12"/>
      <c r="K413" s="28"/>
      <c r="L413" s="29"/>
      <c r="M413" s="29"/>
      <c r="N413" s="30"/>
      <c r="Y413" s="12"/>
      <c r="Z413" s="12"/>
    </row>
    <row r="414" spans="9:26" ht="13">
      <c r="I414" s="12"/>
      <c r="J414" s="12"/>
      <c r="K414" s="28"/>
      <c r="L414" s="29"/>
      <c r="M414" s="29"/>
      <c r="N414" s="30"/>
      <c r="Y414" s="12"/>
      <c r="Z414" s="12"/>
    </row>
    <row r="415" spans="9:26" ht="13">
      <c r="I415" s="12"/>
      <c r="J415" s="12"/>
      <c r="K415" s="28"/>
      <c r="L415" s="29"/>
      <c r="M415" s="29"/>
      <c r="N415" s="30"/>
      <c r="Y415" s="12"/>
      <c r="Z415" s="12"/>
    </row>
    <row r="416" spans="9:26" ht="13">
      <c r="I416" s="12"/>
      <c r="J416" s="12"/>
      <c r="K416" s="28"/>
      <c r="L416" s="29"/>
      <c r="M416" s="29"/>
      <c r="N416" s="30"/>
      <c r="Y416" s="12"/>
      <c r="Z416" s="12"/>
    </row>
    <row r="417" spans="9:26" ht="13">
      <c r="I417" s="12"/>
      <c r="J417" s="12"/>
      <c r="K417" s="28"/>
      <c r="L417" s="29"/>
      <c r="M417" s="29"/>
      <c r="N417" s="30"/>
      <c r="Y417" s="12"/>
      <c r="Z417" s="12"/>
    </row>
    <row r="418" spans="9:26" ht="13">
      <c r="I418" s="12"/>
      <c r="J418" s="12"/>
      <c r="K418" s="28"/>
      <c r="L418" s="29"/>
      <c r="M418" s="29"/>
      <c r="N418" s="30"/>
      <c r="Y418" s="12"/>
      <c r="Z418" s="12"/>
    </row>
    <row r="419" spans="9:26" ht="13">
      <c r="I419" s="12"/>
      <c r="J419" s="12"/>
      <c r="K419" s="28"/>
      <c r="L419" s="29"/>
      <c r="M419" s="29"/>
      <c r="N419" s="30"/>
      <c r="Y419" s="12"/>
      <c r="Z419" s="12"/>
    </row>
    <row r="420" spans="9:26" ht="13">
      <c r="I420" s="12"/>
      <c r="J420" s="12"/>
      <c r="K420" s="28"/>
      <c r="L420" s="29"/>
      <c r="M420" s="29"/>
      <c r="N420" s="30"/>
      <c r="Y420" s="12"/>
      <c r="Z420" s="12"/>
    </row>
    <row r="421" spans="9:26" ht="13">
      <c r="I421" s="12"/>
      <c r="J421" s="12"/>
      <c r="K421" s="28"/>
      <c r="L421" s="29"/>
      <c r="M421" s="29"/>
      <c r="N421" s="30"/>
      <c r="Y421" s="12"/>
      <c r="Z421" s="12"/>
    </row>
    <row r="422" spans="9:26" ht="13">
      <c r="I422" s="12"/>
      <c r="J422" s="12"/>
      <c r="K422" s="28"/>
      <c r="L422" s="29"/>
      <c r="M422" s="29"/>
      <c r="N422" s="30"/>
      <c r="Y422" s="12"/>
      <c r="Z422" s="12"/>
    </row>
    <row r="423" spans="9:26" ht="13">
      <c r="I423" s="12"/>
      <c r="J423" s="12"/>
      <c r="K423" s="28"/>
      <c r="L423" s="29"/>
      <c r="M423" s="29"/>
      <c r="N423" s="30"/>
      <c r="Y423" s="12"/>
      <c r="Z423" s="12"/>
    </row>
    <row r="424" spans="9:26" ht="13">
      <c r="I424" s="12"/>
      <c r="J424" s="12"/>
      <c r="K424" s="28"/>
      <c r="L424" s="29"/>
      <c r="M424" s="29"/>
      <c r="N424" s="30"/>
      <c r="Y424" s="12"/>
      <c r="Z424" s="12"/>
    </row>
    <row r="425" spans="9:26" ht="13">
      <c r="I425" s="12"/>
      <c r="J425" s="12"/>
      <c r="K425" s="28"/>
      <c r="L425" s="29"/>
      <c r="M425" s="29"/>
      <c r="N425" s="30"/>
      <c r="Y425" s="12"/>
      <c r="Z425" s="12"/>
    </row>
    <row r="426" spans="9:26" ht="13">
      <c r="I426" s="12"/>
      <c r="J426" s="12"/>
      <c r="K426" s="28"/>
      <c r="L426" s="29"/>
      <c r="M426" s="29"/>
      <c r="N426" s="30"/>
      <c r="Y426" s="12"/>
      <c r="Z426" s="12"/>
    </row>
    <row r="427" spans="9:26" ht="13">
      <c r="I427" s="12"/>
      <c r="J427" s="12"/>
      <c r="K427" s="28"/>
      <c r="L427" s="29"/>
      <c r="M427" s="29"/>
      <c r="N427" s="30"/>
      <c r="Y427" s="12"/>
      <c r="Z427" s="12"/>
    </row>
    <row r="428" spans="9:26" ht="13">
      <c r="I428" s="12"/>
      <c r="J428" s="12"/>
      <c r="K428" s="28"/>
      <c r="L428" s="29"/>
      <c r="M428" s="29"/>
      <c r="N428" s="30"/>
      <c r="Y428" s="12"/>
      <c r="Z428" s="12"/>
    </row>
    <row r="429" spans="9:26" ht="13">
      <c r="I429" s="12"/>
      <c r="J429" s="12"/>
      <c r="K429" s="28"/>
      <c r="L429" s="29"/>
      <c r="M429" s="29"/>
      <c r="N429" s="30"/>
      <c r="Y429" s="12"/>
      <c r="Z429" s="12"/>
    </row>
    <row r="430" spans="9:26" ht="13">
      <c r="I430" s="12"/>
      <c r="J430" s="12"/>
      <c r="K430" s="28"/>
      <c r="L430" s="29"/>
      <c r="M430" s="29"/>
      <c r="N430" s="30"/>
      <c r="Y430" s="12"/>
      <c r="Z430" s="12"/>
    </row>
    <row r="431" spans="9:26" ht="13">
      <c r="I431" s="12"/>
      <c r="J431" s="12"/>
      <c r="K431" s="28"/>
      <c r="L431" s="29"/>
      <c r="M431" s="29"/>
      <c r="N431" s="30"/>
      <c r="Y431" s="12"/>
      <c r="Z431" s="12"/>
    </row>
    <row r="432" spans="9:26" ht="13">
      <c r="I432" s="12"/>
      <c r="J432" s="12"/>
      <c r="K432" s="28"/>
      <c r="L432" s="29"/>
      <c r="M432" s="29"/>
      <c r="N432" s="30"/>
      <c r="Y432" s="12"/>
      <c r="Z432" s="12"/>
    </row>
    <row r="433" spans="9:26" ht="13">
      <c r="I433" s="12"/>
      <c r="J433" s="12"/>
      <c r="K433" s="28"/>
      <c r="L433" s="29"/>
      <c r="M433" s="29"/>
      <c r="N433" s="30"/>
      <c r="Y433" s="12"/>
      <c r="Z433" s="12"/>
    </row>
    <row r="434" spans="9:26" ht="13">
      <c r="I434" s="12"/>
      <c r="J434" s="12"/>
      <c r="K434" s="28"/>
      <c r="L434" s="29"/>
      <c r="M434" s="29"/>
      <c r="N434" s="30"/>
      <c r="Y434" s="12"/>
      <c r="Z434" s="12"/>
    </row>
    <row r="435" spans="9:26" ht="13">
      <c r="I435" s="12"/>
      <c r="J435" s="12"/>
      <c r="K435" s="28"/>
      <c r="L435" s="29"/>
      <c r="M435" s="29"/>
      <c r="N435" s="30"/>
      <c r="Y435" s="12"/>
      <c r="Z435" s="12"/>
    </row>
    <row r="436" spans="9:26" ht="13">
      <c r="I436" s="12"/>
      <c r="J436" s="12"/>
      <c r="K436" s="28"/>
      <c r="L436" s="29"/>
      <c r="M436" s="29"/>
      <c r="N436" s="30"/>
      <c r="Y436" s="12"/>
      <c r="Z436" s="12"/>
    </row>
    <row r="437" spans="9:26" ht="13">
      <c r="I437" s="12"/>
      <c r="J437" s="12"/>
      <c r="K437" s="28"/>
      <c r="L437" s="29"/>
      <c r="M437" s="29"/>
      <c r="N437" s="30"/>
      <c r="Y437" s="12"/>
      <c r="Z437" s="12"/>
    </row>
    <row r="438" spans="9:26" ht="13">
      <c r="I438" s="12"/>
      <c r="J438" s="12"/>
      <c r="K438" s="28"/>
      <c r="L438" s="29"/>
      <c r="M438" s="29"/>
      <c r="N438" s="30"/>
      <c r="Y438" s="12"/>
      <c r="Z438" s="12"/>
    </row>
    <row r="439" spans="9:26" ht="13">
      <c r="I439" s="12"/>
      <c r="J439" s="12"/>
      <c r="K439" s="28"/>
      <c r="L439" s="29"/>
      <c r="M439" s="29"/>
      <c r="N439" s="30"/>
      <c r="Y439" s="12"/>
      <c r="Z439" s="12"/>
    </row>
    <row r="440" spans="9:26" ht="13">
      <c r="I440" s="12"/>
      <c r="J440" s="12"/>
      <c r="K440" s="28"/>
      <c r="L440" s="29"/>
      <c r="M440" s="29"/>
      <c r="N440" s="30"/>
      <c r="Y440" s="12"/>
      <c r="Z440" s="12"/>
    </row>
    <row r="441" spans="9:26" ht="13">
      <c r="I441" s="12"/>
      <c r="J441" s="12"/>
      <c r="K441" s="28"/>
      <c r="L441" s="29"/>
      <c r="M441" s="29"/>
      <c r="N441" s="30"/>
      <c r="Y441" s="12"/>
      <c r="Z441" s="12"/>
    </row>
    <row r="442" spans="9:26" ht="13">
      <c r="I442" s="12"/>
      <c r="J442" s="12"/>
      <c r="K442" s="28"/>
      <c r="L442" s="29"/>
      <c r="M442" s="29"/>
      <c r="N442" s="30"/>
      <c r="Y442" s="12"/>
      <c r="Z442" s="12"/>
    </row>
    <row r="443" spans="9:26" ht="13">
      <c r="I443" s="12"/>
      <c r="J443" s="12"/>
      <c r="K443" s="28"/>
      <c r="L443" s="29"/>
      <c r="M443" s="29"/>
      <c r="N443" s="30"/>
      <c r="Y443" s="12"/>
      <c r="Z443" s="12"/>
    </row>
    <row r="444" spans="9:26" ht="13">
      <c r="I444" s="12"/>
      <c r="J444" s="12"/>
      <c r="K444" s="28"/>
      <c r="L444" s="29"/>
      <c r="M444" s="29"/>
      <c r="N444" s="30"/>
      <c r="Y444" s="12"/>
      <c r="Z444" s="12"/>
    </row>
    <row r="445" spans="9:26" ht="13">
      <c r="I445" s="12"/>
      <c r="J445" s="12"/>
      <c r="K445" s="28"/>
      <c r="L445" s="29"/>
      <c r="M445" s="29"/>
      <c r="N445" s="30"/>
      <c r="Y445" s="12"/>
      <c r="Z445" s="12"/>
    </row>
    <row r="446" spans="9:26" ht="13">
      <c r="I446" s="12"/>
      <c r="J446" s="12"/>
      <c r="K446" s="28"/>
      <c r="L446" s="29"/>
      <c r="M446" s="29"/>
      <c r="N446" s="30"/>
      <c r="Y446" s="12"/>
      <c r="Z446" s="12"/>
    </row>
    <row r="447" spans="9:26" ht="13">
      <c r="I447" s="12"/>
      <c r="J447" s="12"/>
      <c r="K447" s="28"/>
      <c r="L447" s="29"/>
      <c r="M447" s="29"/>
      <c r="N447" s="30"/>
      <c r="Y447" s="12"/>
      <c r="Z447" s="12"/>
    </row>
    <row r="448" spans="9:26" ht="13">
      <c r="I448" s="12"/>
      <c r="J448" s="12"/>
      <c r="K448" s="28"/>
      <c r="L448" s="29"/>
      <c r="M448" s="29"/>
      <c r="N448" s="30"/>
      <c r="Y448" s="12"/>
      <c r="Z448" s="12"/>
    </row>
    <row r="449" spans="9:26" ht="13">
      <c r="I449" s="12"/>
      <c r="J449" s="12"/>
      <c r="K449" s="28"/>
      <c r="L449" s="29"/>
      <c r="M449" s="29"/>
      <c r="N449" s="30"/>
      <c r="Y449" s="12"/>
      <c r="Z449" s="12"/>
    </row>
    <row r="450" spans="9:26" ht="13">
      <c r="I450" s="12"/>
      <c r="J450" s="12"/>
      <c r="K450" s="28"/>
      <c r="L450" s="29"/>
      <c r="M450" s="29"/>
      <c r="N450" s="30"/>
      <c r="Y450" s="12"/>
      <c r="Z450" s="12"/>
    </row>
    <row r="451" spans="9:26" ht="13">
      <c r="I451" s="12"/>
      <c r="J451" s="12"/>
      <c r="K451" s="28"/>
      <c r="L451" s="29"/>
      <c r="M451" s="29"/>
      <c r="N451" s="30"/>
      <c r="Y451" s="12"/>
      <c r="Z451" s="12"/>
    </row>
    <row r="452" spans="9:26" ht="13">
      <c r="I452" s="12"/>
      <c r="J452" s="12"/>
      <c r="K452" s="28"/>
      <c r="L452" s="29"/>
      <c r="M452" s="29"/>
      <c r="N452" s="30"/>
      <c r="Y452" s="12"/>
      <c r="Z452" s="12"/>
    </row>
    <row r="453" spans="9:26" ht="13">
      <c r="I453" s="12"/>
      <c r="J453" s="12"/>
      <c r="K453" s="28"/>
      <c r="L453" s="29"/>
      <c r="M453" s="29"/>
      <c r="N453" s="30"/>
      <c r="Y453" s="12"/>
      <c r="Z453" s="12"/>
    </row>
    <row r="454" spans="9:26" ht="13">
      <c r="I454" s="12"/>
      <c r="J454" s="12"/>
      <c r="K454" s="28"/>
      <c r="L454" s="29"/>
      <c r="M454" s="29"/>
      <c r="N454" s="30"/>
      <c r="Y454" s="12"/>
      <c r="Z454" s="12"/>
    </row>
    <row r="455" spans="9:26" ht="13">
      <c r="I455" s="12"/>
      <c r="J455" s="12"/>
      <c r="K455" s="28"/>
      <c r="L455" s="29"/>
      <c r="M455" s="29"/>
      <c r="N455" s="30"/>
      <c r="Y455" s="12"/>
      <c r="Z455" s="12"/>
    </row>
    <row r="456" spans="9:26" ht="13">
      <c r="I456" s="12"/>
      <c r="J456" s="12"/>
      <c r="K456" s="28"/>
      <c r="L456" s="29"/>
      <c r="M456" s="29"/>
      <c r="N456" s="30"/>
      <c r="Y456" s="12"/>
      <c r="Z456" s="12"/>
    </row>
    <row r="457" spans="9:26" ht="13">
      <c r="I457" s="12"/>
      <c r="J457" s="12"/>
      <c r="K457" s="28"/>
      <c r="L457" s="29"/>
      <c r="M457" s="29"/>
      <c r="N457" s="30"/>
      <c r="Y457" s="12"/>
      <c r="Z457" s="12"/>
    </row>
    <row r="458" spans="9:26" ht="13">
      <c r="I458" s="12"/>
      <c r="J458" s="12"/>
      <c r="K458" s="28"/>
      <c r="L458" s="29"/>
      <c r="M458" s="29"/>
      <c r="N458" s="30"/>
      <c r="Y458" s="12"/>
      <c r="Z458" s="12"/>
    </row>
    <row r="459" spans="9:26" ht="13">
      <c r="I459" s="12"/>
      <c r="J459" s="12"/>
      <c r="K459" s="28"/>
      <c r="L459" s="29"/>
      <c r="M459" s="29"/>
      <c r="N459" s="30"/>
      <c r="Y459" s="12"/>
      <c r="Z459" s="12"/>
    </row>
    <row r="460" spans="9:26" ht="13">
      <c r="I460" s="12"/>
      <c r="J460" s="12"/>
      <c r="K460" s="28"/>
      <c r="L460" s="29"/>
      <c r="M460" s="29"/>
      <c r="N460" s="30"/>
      <c r="Y460" s="12"/>
      <c r="Z460" s="12"/>
    </row>
    <row r="461" spans="9:26" ht="13">
      <c r="I461" s="12"/>
      <c r="J461" s="12"/>
      <c r="K461" s="28"/>
      <c r="L461" s="29"/>
      <c r="M461" s="29"/>
      <c r="N461" s="30"/>
      <c r="Y461" s="12"/>
      <c r="Z461" s="12"/>
    </row>
    <row r="462" spans="9:26" ht="13">
      <c r="I462" s="12"/>
      <c r="J462" s="12"/>
      <c r="K462" s="28"/>
      <c r="L462" s="29"/>
      <c r="M462" s="29"/>
      <c r="N462" s="30"/>
      <c r="Y462" s="12"/>
      <c r="Z462" s="12"/>
    </row>
    <row r="463" spans="9:26" ht="13">
      <c r="I463" s="12"/>
      <c r="J463" s="12"/>
      <c r="K463" s="28"/>
      <c r="L463" s="29"/>
      <c r="M463" s="29"/>
      <c r="N463" s="30"/>
      <c r="Y463" s="12"/>
      <c r="Z463" s="12"/>
    </row>
    <row r="464" spans="9:26" ht="13">
      <c r="I464" s="12"/>
      <c r="J464" s="12"/>
      <c r="K464" s="28"/>
      <c r="L464" s="29"/>
      <c r="M464" s="29"/>
      <c r="N464" s="30"/>
      <c r="Y464" s="12"/>
      <c r="Z464" s="12"/>
    </row>
    <row r="465" spans="9:26" ht="13">
      <c r="I465" s="12"/>
      <c r="J465" s="12"/>
      <c r="K465" s="28"/>
      <c r="L465" s="29"/>
      <c r="M465" s="29"/>
      <c r="N465" s="30"/>
      <c r="Y465" s="12"/>
      <c r="Z465" s="12"/>
    </row>
    <row r="466" spans="9:26" ht="13">
      <c r="I466" s="12"/>
      <c r="J466" s="12"/>
      <c r="K466" s="28"/>
      <c r="L466" s="29"/>
      <c r="M466" s="29"/>
      <c r="N466" s="30"/>
      <c r="Y466" s="12"/>
      <c r="Z466" s="12"/>
    </row>
    <row r="467" spans="9:26" ht="13">
      <c r="I467" s="12"/>
      <c r="J467" s="12"/>
      <c r="K467" s="28"/>
      <c r="L467" s="29"/>
      <c r="M467" s="29"/>
      <c r="N467" s="30"/>
      <c r="Y467" s="12"/>
      <c r="Z467" s="12"/>
    </row>
    <row r="468" spans="9:26" ht="13">
      <c r="I468" s="12"/>
      <c r="J468" s="12"/>
      <c r="K468" s="28"/>
      <c r="L468" s="29"/>
      <c r="M468" s="29"/>
      <c r="N468" s="30"/>
      <c r="Y468" s="12"/>
      <c r="Z468" s="12"/>
    </row>
    <row r="469" spans="9:26" ht="13">
      <c r="I469" s="12"/>
      <c r="J469" s="12"/>
      <c r="K469" s="28"/>
      <c r="L469" s="29"/>
      <c r="M469" s="29"/>
      <c r="N469" s="30"/>
      <c r="Y469" s="12"/>
      <c r="Z469" s="12"/>
    </row>
    <row r="470" spans="9:26" ht="13">
      <c r="I470" s="12"/>
      <c r="J470" s="12"/>
      <c r="K470" s="28"/>
      <c r="L470" s="29"/>
      <c r="M470" s="29"/>
      <c r="N470" s="30"/>
      <c r="Y470" s="12"/>
      <c r="Z470" s="12"/>
    </row>
    <row r="471" spans="9:26" ht="13">
      <c r="I471" s="12"/>
      <c r="J471" s="12"/>
      <c r="K471" s="28"/>
      <c r="L471" s="29"/>
      <c r="M471" s="29"/>
      <c r="N471" s="30"/>
      <c r="Y471" s="12"/>
      <c r="Z471" s="12"/>
    </row>
    <row r="472" spans="9:26" ht="13">
      <c r="I472" s="12"/>
      <c r="J472" s="12"/>
      <c r="K472" s="28"/>
      <c r="L472" s="29"/>
      <c r="M472" s="29"/>
      <c r="N472" s="30"/>
      <c r="Y472" s="12"/>
      <c r="Z472" s="12"/>
    </row>
    <row r="473" spans="9:26" ht="13">
      <c r="I473" s="12"/>
      <c r="J473" s="12"/>
      <c r="K473" s="28"/>
      <c r="L473" s="29"/>
      <c r="M473" s="29"/>
      <c r="N473" s="30"/>
      <c r="Y473" s="12"/>
      <c r="Z473" s="12"/>
    </row>
    <row r="474" spans="9:26" ht="13">
      <c r="I474" s="12"/>
      <c r="J474" s="12"/>
      <c r="K474" s="28"/>
      <c r="L474" s="29"/>
      <c r="M474" s="29"/>
      <c r="N474" s="30"/>
      <c r="Y474" s="12"/>
      <c r="Z474" s="12"/>
    </row>
    <row r="475" spans="9:26" ht="13">
      <c r="I475" s="12"/>
      <c r="J475" s="12"/>
      <c r="K475" s="28"/>
      <c r="L475" s="29"/>
      <c r="M475" s="29"/>
      <c r="N475" s="30"/>
      <c r="Y475" s="12"/>
      <c r="Z475" s="12"/>
    </row>
    <row r="476" spans="9:26" ht="13">
      <c r="I476" s="12"/>
      <c r="J476" s="12"/>
      <c r="K476" s="28"/>
      <c r="L476" s="29"/>
      <c r="M476" s="29"/>
      <c r="N476" s="30"/>
      <c r="Y476" s="12"/>
      <c r="Z476" s="12"/>
    </row>
    <row r="477" spans="9:26" ht="13">
      <c r="I477" s="12"/>
      <c r="J477" s="12"/>
      <c r="K477" s="28"/>
      <c r="L477" s="29"/>
      <c r="M477" s="29"/>
      <c r="N477" s="30"/>
      <c r="Y477" s="12"/>
      <c r="Z477" s="12"/>
    </row>
    <row r="478" spans="9:26" ht="13">
      <c r="I478" s="12"/>
      <c r="J478" s="12"/>
      <c r="K478" s="28"/>
      <c r="L478" s="29"/>
      <c r="M478" s="29"/>
      <c r="N478" s="30"/>
      <c r="Y478" s="12"/>
      <c r="Z478" s="12"/>
    </row>
    <row r="479" spans="9:26" ht="13">
      <c r="I479" s="12"/>
      <c r="J479" s="12"/>
      <c r="K479" s="28"/>
      <c r="L479" s="29"/>
      <c r="M479" s="29"/>
      <c r="N479" s="30"/>
      <c r="Y479" s="12"/>
      <c r="Z479" s="12"/>
    </row>
    <row r="480" spans="9:26" ht="13">
      <c r="I480" s="12"/>
      <c r="J480" s="12"/>
      <c r="K480" s="28"/>
      <c r="L480" s="29"/>
      <c r="M480" s="29"/>
      <c r="N480" s="30"/>
      <c r="Y480" s="12"/>
      <c r="Z480" s="12"/>
    </row>
    <row r="481" spans="9:26" ht="13">
      <c r="I481" s="12"/>
      <c r="J481" s="12"/>
      <c r="K481" s="28"/>
      <c r="L481" s="29"/>
      <c r="M481" s="29"/>
      <c r="N481" s="30"/>
      <c r="Y481" s="12"/>
      <c r="Z481" s="12"/>
    </row>
    <row r="482" spans="9:26" ht="13">
      <c r="I482" s="12"/>
      <c r="J482" s="12"/>
      <c r="K482" s="28"/>
      <c r="L482" s="29"/>
      <c r="M482" s="29"/>
      <c r="N482" s="30"/>
      <c r="Y482" s="12"/>
      <c r="Z482" s="12"/>
    </row>
    <row r="483" spans="9:26" ht="13">
      <c r="I483" s="12"/>
      <c r="J483" s="12"/>
      <c r="K483" s="28"/>
      <c r="L483" s="29"/>
      <c r="M483" s="29"/>
      <c r="N483" s="30"/>
      <c r="Y483" s="12"/>
      <c r="Z483" s="12"/>
    </row>
    <row r="484" spans="9:26" ht="13">
      <c r="I484" s="12"/>
      <c r="J484" s="12"/>
      <c r="K484" s="28"/>
      <c r="L484" s="29"/>
      <c r="M484" s="29"/>
      <c r="N484" s="30"/>
      <c r="Y484" s="12"/>
      <c r="Z484" s="12"/>
    </row>
    <row r="485" spans="9:26" ht="13">
      <c r="I485" s="12"/>
      <c r="J485" s="12"/>
      <c r="K485" s="28"/>
      <c r="L485" s="29"/>
      <c r="M485" s="29"/>
      <c r="N485" s="30"/>
      <c r="Y485" s="12"/>
      <c r="Z485" s="12"/>
    </row>
    <row r="486" spans="9:26" ht="13">
      <c r="I486" s="12"/>
      <c r="J486" s="12"/>
      <c r="K486" s="28"/>
      <c r="L486" s="29"/>
      <c r="M486" s="29"/>
      <c r="N486" s="30"/>
      <c r="Y486" s="12"/>
      <c r="Z486" s="12"/>
    </row>
    <row r="487" spans="9:26" ht="13">
      <c r="I487" s="12"/>
      <c r="J487" s="12"/>
      <c r="K487" s="28"/>
      <c r="L487" s="29"/>
      <c r="M487" s="29"/>
      <c r="N487" s="30"/>
      <c r="Y487" s="12"/>
      <c r="Z487" s="12"/>
    </row>
    <row r="488" spans="9:26" ht="13">
      <c r="I488" s="12"/>
      <c r="J488" s="12"/>
      <c r="K488" s="28"/>
      <c r="L488" s="29"/>
      <c r="M488" s="29"/>
      <c r="N488" s="30"/>
      <c r="Y488" s="12"/>
      <c r="Z488" s="12"/>
    </row>
    <row r="489" spans="9:26" ht="13">
      <c r="I489" s="12"/>
      <c r="J489" s="12"/>
      <c r="K489" s="28"/>
      <c r="L489" s="29"/>
      <c r="M489" s="29"/>
      <c r="N489" s="30"/>
      <c r="Y489" s="12"/>
      <c r="Z489" s="12"/>
    </row>
    <row r="490" spans="9:26" ht="13">
      <c r="I490" s="12"/>
      <c r="J490" s="12"/>
      <c r="K490" s="28"/>
      <c r="L490" s="29"/>
      <c r="M490" s="29"/>
      <c r="N490" s="30"/>
      <c r="Y490" s="12"/>
      <c r="Z490" s="12"/>
    </row>
    <row r="491" spans="9:26" ht="13">
      <c r="I491" s="12"/>
      <c r="J491" s="12"/>
      <c r="K491" s="28"/>
      <c r="L491" s="29"/>
      <c r="M491" s="29"/>
      <c r="N491" s="30"/>
      <c r="Y491" s="12"/>
      <c r="Z491" s="12"/>
    </row>
    <row r="492" spans="9:26" ht="13">
      <c r="I492" s="12"/>
      <c r="J492" s="12"/>
      <c r="K492" s="28"/>
      <c r="L492" s="29"/>
      <c r="M492" s="29"/>
      <c r="N492" s="30"/>
      <c r="Y492" s="12"/>
      <c r="Z492" s="12"/>
    </row>
    <row r="493" spans="9:26" ht="13">
      <c r="I493" s="12"/>
      <c r="J493" s="12"/>
      <c r="K493" s="28"/>
      <c r="L493" s="29"/>
      <c r="M493" s="29"/>
      <c r="N493" s="30"/>
      <c r="Y493" s="12"/>
      <c r="Z493" s="12"/>
    </row>
    <row r="494" spans="9:26" ht="13">
      <c r="I494" s="12"/>
      <c r="J494" s="12"/>
      <c r="K494" s="28"/>
      <c r="L494" s="29"/>
      <c r="M494" s="29"/>
      <c r="N494" s="30"/>
      <c r="Y494" s="12"/>
      <c r="Z494" s="12"/>
    </row>
    <row r="495" spans="9:26" ht="13">
      <c r="I495" s="12"/>
      <c r="J495" s="12"/>
      <c r="K495" s="28"/>
      <c r="L495" s="29"/>
      <c r="M495" s="29"/>
      <c r="N495" s="30"/>
      <c r="Y495" s="12"/>
      <c r="Z495" s="12"/>
    </row>
    <row r="496" spans="9:26" ht="13">
      <c r="I496" s="12"/>
      <c r="J496" s="12"/>
      <c r="K496" s="28"/>
      <c r="L496" s="29"/>
      <c r="M496" s="29"/>
      <c r="N496" s="30"/>
      <c r="Y496" s="12"/>
      <c r="Z496" s="12"/>
    </row>
    <row r="497" spans="9:26" ht="13">
      <c r="I497" s="12"/>
      <c r="J497" s="12"/>
      <c r="K497" s="28"/>
      <c r="L497" s="29"/>
      <c r="M497" s="29"/>
      <c r="N497" s="30"/>
      <c r="Y497" s="12"/>
      <c r="Z497" s="12"/>
    </row>
    <row r="498" spans="9:26" ht="13">
      <c r="I498" s="12"/>
      <c r="J498" s="12"/>
      <c r="K498" s="28"/>
      <c r="L498" s="29"/>
      <c r="M498" s="29"/>
      <c r="N498" s="30"/>
      <c r="Y498" s="12"/>
      <c r="Z498" s="12"/>
    </row>
    <row r="499" spans="9:26" ht="13">
      <c r="I499" s="12"/>
      <c r="J499" s="12"/>
      <c r="K499" s="28"/>
      <c r="L499" s="29"/>
      <c r="M499" s="29"/>
      <c r="N499" s="30"/>
      <c r="Y499" s="12"/>
      <c r="Z499" s="12"/>
    </row>
    <row r="500" spans="9:26" ht="13">
      <c r="I500" s="12"/>
      <c r="J500" s="12"/>
      <c r="K500" s="28"/>
      <c r="L500" s="29"/>
      <c r="M500" s="29"/>
      <c r="N500" s="30"/>
      <c r="Y500" s="12"/>
      <c r="Z500" s="12"/>
    </row>
    <row r="501" spans="9:26" ht="13">
      <c r="I501" s="12"/>
      <c r="J501" s="12"/>
      <c r="K501" s="28"/>
      <c r="L501" s="29"/>
      <c r="M501" s="29"/>
      <c r="N501" s="30"/>
      <c r="Y501" s="12"/>
      <c r="Z501" s="12"/>
    </row>
    <row r="502" spans="9:26" ht="13">
      <c r="I502" s="12"/>
      <c r="J502" s="12"/>
      <c r="K502" s="28"/>
      <c r="L502" s="29"/>
      <c r="M502" s="29"/>
      <c r="N502" s="30"/>
      <c r="Y502" s="12"/>
      <c r="Z502" s="12"/>
    </row>
    <row r="503" spans="9:26" ht="13">
      <c r="I503" s="12"/>
      <c r="J503" s="12"/>
      <c r="K503" s="28"/>
      <c r="L503" s="29"/>
      <c r="M503" s="29"/>
      <c r="N503" s="30"/>
      <c r="Y503" s="12"/>
      <c r="Z503" s="12"/>
    </row>
    <row r="504" spans="9:26" ht="13">
      <c r="I504" s="12"/>
      <c r="J504" s="12"/>
      <c r="K504" s="28"/>
      <c r="L504" s="29"/>
      <c r="M504" s="29"/>
      <c r="N504" s="30"/>
      <c r="Y504" s="12"/>
      <c r="Z504" s="12"/>
    </row>
    <row r="505" spans="9:26" ht="13">
      <c r="I505" s="12"/>
      <c r="J505" s="12"/>
      <c r="K505" s="28"/>
      <c r="L505" s="29"/>
      <c r="M505" s="29"/>
      <c r="N505" s="30"/>
      <c r="Y505" s="12"/>
      <c r="Z505" s="12"/>
    </row>
    <row r="506" spans="9:26" ht="13">
      <c r="I506" s="12"/>
      <c r="J506" s="12"/>
      <c r="K506" s="28"/>
      <c r="L506" s="29"/>
      <c r="M506" s="29"/>
      <c r="N506" s="30"/>
      <c r="Y506" s="12"/>
      <c r="Z506" s="12"/>
    </row>
    <row r="507" spans="9:26" ht="13">
      <c r="I507" s="12"/>
      <c r="J507" s="12"/>
      <c r="K507" s="28"/>
      <c r="L507" s="29"/>
      <c r="M507" s="29"/>
      <c r="N507" s="30"/>
      <c r="Y507" s="12"/>
      <c r="Z507" s="12"/>
    </row>
    <row r="508" spans="9:26" ht="13">
      <c r="I508" s="12"/>
      <c r="J508" s="12"/>
      <c r="K508" s="28"/>
      <c r="L508" s="29"/>
      <c r="M508" s="29"/>
      <c r="N508" s="30"/>
      <c r="Y508" s="12"/>
      <c r="Z508" s="12"/>
    </row>
    <row r="509" spans="9:26" ht="13">
      <c r="I509" s="12"/>
      <c r="J509" s="12"/>
      <c r="K509" s="28"/>
      <c r="L509" s="29"/>
      <c r="M509" s="29"/>
      <c r="N509" s="30"/>
      <c r="Y509" s="12"/>
      <c r="Z509" s="12"/>
    </row>
    <row r="510" spans="9:26" ht="13">
      <c r="I510" s="12"/>
      <c r="J510" s="12"/>
      <c r="K510" s="28"/>
      <c r="L510" s="29"/>
      <c r="M510" s="29"/>
      <c r="N510" s="30"/>
      <c r="Y510" s="12"/>
      <c r="Z510" s="12"/>
    </row>
    <row r="511" spans="9:26" ht="13">
      <c r="I511" s="12"/>
      <c r="J511" s="12"/>
      <c r="K511" s="28"/>
      <c r="L511" s="29"/>
      <c r="M511" s="29"/>
      <c r="N511" s="30"/>
      <c r="Y511" s="12"/>
      <c r="Z511" s="12"/>
    </row>
    <row r="512" spans="9:26" ht="13">
      <c r="I512" s="12"/>
      <c r="J512" s="12"/>
      <c r="K512" s="28"/>
      <c r="L512" s="29"/>
      <c r="M512" s="29"/>
      <c r="N512" s="30"/>
      <c r="Y512" s="12"/>
      <c r="Z512" s="12"/>
    </row>
    <row r="513" spans="9:26" ht="13">
      <c r="I513" s="12"/>
      <c r="J513" s="12"/>
      <c r="K513" s="28"/>
      <c r="L513" s="29"/>
      <c r="M513" s="29"/>
      <c r="N513" s="30"/>
      <c r="Y513" s="12"/>
      <c r="Z513" s="12"/>
    </row>
    <row r="514" spans="9:26" ht="13">
      <c r="I514" s="12"/>
      <c r="J514" s="12"/>
      <c r="K514" s="28"/>
      <c r="L514" s="29"/>
      <c r="M514" s="29"/>
      <c r="N514" s="30"/>
      <c r="Y514" s="12"/>
      <c r="Z514" s="12"/>
    </row>
    <row r="515" spans="9:26" ht="13">
      <c r="I515" s="12"/>
      <c r="J515" s="12"/>
      <c r="K515" s="28"/>
      <c r="L515" s="29"/>
      <c r="M515" s="29"/>
      <c r="N515" s="30"/>
      <c r="Y515" s="12"/>
      <c r="Z515" s="12"/>
    </row>
    <row r="516" spans="9:26" ht="13">
      <c r="I516" s="12"/>
      <c r="J516" s="12"/>
      <c r="K516" s="28"/>
      <c r="L516" s="29"/>
      <c r="M516" s="29"/>
      <c r="N516" s="30"/>
      <c r="Y516" s="12"/>
      <c r="Z516" s="12"/>
    </row>
    <row r="517" spans="9:26" ht="13">
      <c r="I517" s="12"/>
      <c r="J517" s="12"/>
      <c r="K517" s="28"/>
      <c r="L517" s="29"/>
      <c r="M517" s="29"/>
      <c r="N517" s="30"/>
      <c r="Y517" s="12"/>
      <c r="Z517" s="12"/>
    </row>
    <row r="518" spans="9:26" ht="13">
      <c r="I518" s="12"/>
      <c r="J518" s="12"/>
      <c r="K518" s="28"/>
      <c r="L518" s="29"/>
      <c r="M518" s="29"/>
      <c r="N518" s="30"/>
      <c r="Y518" s="12"/>
      <c r="Z518" s="12"/>
    </row>
    <row r="519" spans="9:26" ht="13">
      <c r="I519" s="12"/>
      <c r="J519" s="12"/>
      <c r="K519" s="28"/>
      <c r="L519" s="29"/>
      <c r="M519" s="29"/>
      <c r="N519" s="30"/>
      <c r="Y519" s="12"/>
      <c r="Z519" s="12"/>
    </row>
    <row r="520" spans="9:26" ht="13">
      <c r="I520" s="12"/>
      <c r="J520" s="12"/>
      <c r="K520" s="28"/>
      <c r="L520" s="29"/>
      <c r="M520" s="29"/>
      <c r="N520" s="30"/>
      <c r="Y520" s="12"/>
      <c r="Z520" s="12"/>
    </row>
    <row r="521" spans="9:26" ht="13">
      <c r="I521" s="12"/>
      <c r="J521" s="12"/>
      <c r="K521" s="28"/>
      <c r="L521" s="29"/>
      <c r="M521" s="29"/>
      <c r="N521" s="30"/>
      <c r="Y521" s="12"/>
      <c r="Z521" s="12"/>
    </row>
    <row r="522" spans="9:26" ht="13">
      <c r="I522" s="12"/>
      <c r="J522" s="12"/>
      <c r="K522" s="28"/>
      <c r="L522" s="29"/>
      <c r="M522" s="29"/>
      <c r="N522" s="30"/>
      <c r="Y522" s="12"/>
      <c r="Z522" s="12"/>
    </row>
    <row r="523" spans="9:26" ht="13">
      <c r="I523" s="12"/>
      <c r="J523" s="12"/>
      <c r="K523" s="28"/>
      <c r="L523" s="29"/>
      <c r="M523" s="29"/>
      <c r="N523" s="30"/>
      <c r="Y523" s="12"/>
      <c r="Z523" s="12"/>
    </row>
    <row r="524" spans="9:26" ht="13">
      <c r="I524" s="12"/>
      <c r="J524" s="12"/>
      <c r="K524" s="28"/>
      <c r="L524" s="29"/>
      <c r="M524" s="29"/>
      <c r="N524" s="30"/>
      <c r="Y524" s="12"/>
      <c r="Z524" s="12"/>
    </row>
    <row r="525" spans="9:26" ht="13">
      <c r="I525" s="12"/>
      <c r="J525" s="12"/>
      <c r="K525" s="28"/>
      <c r="L525" s="29"/>
      <c r="M525" s="29"/>
      <c r="N525" s="30"/>
      <c r="Y525" s="12"/>
      <c r="Z525" s="12"/>
    </row>
    <row r="526" spans="9:26" ht="13">
      <c r="I526" s="12"/>
      <c r="J526" s="12"/>
      <c r="K526" s="28"/>
      <c r="L526" s="29"/>
      <c r="M526" s="29"/>
      <c r="N526" s="30"/>
      <c r="Y526" s="12"/>
      <c r="Z526" s="12"/>
    </row>
    <row r="527" spans="9:26" ht="13">
      <c r="I527" s="12"/>
      <c r="J527" s="12"/>
      <c r="K527" s="28"/>
      <c r="L527" s="29"/>
      <c r="M527" s="29"/>
      <c r="N527" s="30"/>
      <c r="Y527" s="12"/>
      <c r="Z527" s="12"/>
    </row>
    <row r="528" spans="9:26" ht="13">
      <c r="I528" s="12"/>
      <c r="J528" s="12"/>
      <c r="K528" s="28"/>
      <c r="L528" s="29"/>
      <c r="M528" s="29"/>
      <c r="N528" s="30"/>
      <c r="Y528" s="12"/>
      <c r="Z528" s="12"/>
    </row>
    <row r="529" spans="9:26" ht="13">
      <c r="I529" s="12"/>
      <c r="J529" s="12"/>
      <c r="K529" s="28"/>
      <c r="L529" s="29"/>
      <c r="M529" s="29"/>
      <c r="N529" s="30"/>
      <c r="Y529" s="12"/>
      <c r="Z529" s="12"/>
    </row>
    <row r="530" spans="9:26" ht="13">
      <c r="I530" s="12"/>
      <c r="J530" s="12"/>
      <c r="K530" s="28"/>
      <c r="L530" s="29"/>
      <c r="M530" s="29"/>
      <c r="N530" s="30"/>
      <c r="Y530" s="12"/>
      <c r="Z530" s="12"/>
    </row>
    <row r="531" spans="9:26" ht="13">
      <c r="I531" s="12"/>
      <c r="J531" s="12"/>
      <c r="K531" s="28"/>
      <c r="L531" s="29"/>
      <c r="M531" s="29"/>
      <c r="N531" s="30"/>
      <c r="Y531" s="12"/>
      <c r="Z531" s="12"/>
    </row>
    <row r="532" spans="9:26" ht="13">
      <c r="I532" s="12"/>
      <c r="J532" s="12"/>
      <c r="K532" s="28"/>
      <c r="L532" s="29"/>
      <c r="M532" s="29"/>
      <c r="N532" s="30"/>
      <c r="Y532" s="12"/>
      <c r="Z532" s="12"/>
    </row>
    <row r="533" spans="9:26" ht="13">
      <c r="I533" s="12"/>
      <c r="J533" s="12"/>
      <c r="K533" s="28"/>
      <c r="L533" s="29"/>
      <c r="M533" s="29"/>
      <c r="N533" s="30"/>
      <c r="Y533" s="12"/>
      <c r="Z533" s="12"/>
    </row>
    <row r="534" spans="9:26" ht="13">
      <c r="I534" s="12"/>
      <c r="J534" s="12"/>
      <c r="K534" s="28"/>
      <c r="L534" s="29"/>
      <c r="M534" s="29"/>
      <c r="N534" s="30"/>
      <c r="Y534" s="12"/>
      <c r="Z534" s="12"/>
    </row>
    <row r="535" spans="9:26" ht="13">
      <c r="I535" s="12"/>
      <c r="J535" s="12"/>
      <c r="K535" s="28"/>
      <c r="L535" s="29"/>
      <c r="M535" s="29"/>
      <c r="N535" s="30"/>
      <c r="Y535" s="12"/>
      <c r="Z535" s="12"/>
    </row>
    <row r="536" spans="9:26" ht="13">
      <c r="I536" s="12"/>
      <c r="J536" s="12"/>
      <c r="K536" s="28"/>
      <c r="L536" s="29"/>
      <c r="M536" s="29"/>
      <c r="N536" s="30"/>
      <c r="Y536" s="12"/>
      <c r="Z536" s="12"/>
    </row>
    <row r="537" spans="9:26" ht="13">
      <c r="I537" s="12"/>
      <c r="J537" s="12"/>
      <c r="K537" s="28"/>
      <c r="L537" s="29"/>
      <c r="M537" s="29"/>
      <c r="N537" s="30"/>
      <c r="Y537" s="12"/>
      <c r="Z537" s="12"/>
    </row>
    <row r="538" spans="9:26" ht="13">
      <c r="I538" s="12"/>
      <c r="J538" s="12"/>
      <c r="K538" s="28"/>
      <c r="L538" s="29"/>
      <c r="M538" s="29"/>
      <c r="N538" s="30"/>
      <c r="Y538" s="12"/>
      <c r="Z538" s="12"/>
    </row>
    <row r="539" spans="9:26" ht="13">
      <c r="I539" s="12"/>
      <c r="J539" s="12"/>
      <c r="K539" s="28"/>
      <c r="L539" s="29"/>
      <c r="M539" s="29"/>
      <c r="N539" s="30"/>
      <c r="Y539" s="12"/>
      <c r="Z539" s="12"/>
    </row>
    <row r="540" spans="9:26" ht="13">
      <c r="I540" s="12"/>
      <c r="J540" s="12"/>
      <c r="K540" s="28"/>
      <c r="L540" s="29"/>
      <c r="M540" s="29"/>
      <c r="N540" s="30"/>
      <c r="Y540" s="12"/>
      <c r="Z540" s="12"/>
    </row>
    <row r="541" spans="9:26" ht="13">
      <c r="I541" s="12"/>
      <c r="J541" s="12"/>
      <c r="K541" s="28"/>
      <c r="L541" s="29"/>
      <c r="M541" s="29"/>
      <c r="N541" s="30"/>
      <c r="Y541" s="12"/>
      <c r="Z541" s="12"/>
    </row>
    <row r="542" spans="9:26" ht="13">
      <c r="I542" s="12"/>
      <c r="J542" s="12"/>
      <c r="K542" s="28"/>
      <c r="L542" s="29"/>
      <c r="M542" s="29"/>
      <c r="N542" s="30"/>
      <c r="Y542" s="12"/>
      <c r="Z542" s="12"/>
    </row>
    <row r="543" spans="9:26" ht="13">
      <c r="I543" s="12"/>
      <c r="J543" s="12"/>
      <c r="K543" s="28"/>
      <c r="L543" s="29"/>
      <c r="M543" s="29"/>
      <c r="N543" s="30"/>
      <c r="Y543" s="12"/>
      <c r="Z543" s="12"/>
    </row>
    <row r="544" spans="9:26" ht="13">
      <c r="I544" s="12"/>
      <c r="J544" s="12"/>
      <c r="K544" s="28"/>
      <c r="L544" s="29"/>
      <c r="M544" s="29"/>
      <c r="N544" s="30"/>
      <c r="Y544" s="12"/>
      <c r="Z544" s="12"/>
    </row>
    <row r="545" spans="9:26" ht="13">
      <c r="I545" s="12"/>
      <c r="J545" s="12"/>
      <c r="K545" s="28"/>
      <c r="L545" s="29"/>
      <c r="M545" s="29"/>
      <c r="N545" s="30"/>
      <c r="Y545" s="12"/>
      <c r="Z545" s="12"/>
    </row>
    <row r="546" spans="9:26" ht="13">
      <c r="I546" s="12"/>
      <c r="J546" s="12"/>
      <c r="K546" s="28"/>
      <c r="L546" s="29"/>
      <c r="M546" s="29"/>
      <c r="N546" s="30"/>
      <c r="Y546" s="12"/>
      <c r="Z546" s="12"/>
    </row>
    <row r="547" spans="9:26" ht="13">
      <c r="I547" s="12"/>
      <c r="J547" s="12"/>
      <c r="K547" s="28"/>
      <c r="L547" s="29"/>
      <c r="M547" s="29"/>
      <c r="N547" s="30"/>
      <c r="Y547" s="12"/>
      <c r="Z547" s="12"/>
    </row>
    <row r="548" spans="9:26" ht="13">
      <c r="I548" s="12"/>
      <c r="J548" s="12"/>
      <c r="K548" s="28"/>
      <c r="L548" s="29"/>
      <c r="M548" s="29"/>
      <c r="N548" s="30"/>
      <c r="Y548" s="12"/>
      <c r="Z548" s="12"/>
    </row>
    <row r="549" spans="9:26" ht="13">
      <c r="I549" s="12"/>
      <c r="J549" s="12"/>
      <c r="K549" s="28"/>
      <c r="L549" s="29"/>
      <c r="M549" s="29"/>
      <c r="N549" s="30"/>
      <c r="Y549" s="12"/>
      <c r="Z549" s="12"/>
    </row>
    <row r="550" spans="9:26" ht="13">
      <c r="I550" s="12"/>
      <c r="J550" s="12"/>
      <c r="K550" s="28"/>
      <c r="L550" s="29"/>
      <c r="M550" s="29"/>
      <c r="N550" s="30"/>
      <c r="Y550" s="12"/>
      <c r="Z550" s="12"/>
    </row>
    <row r="551" spans="9:26" ht="13">
      <c r="I551" s="12"/>
      <c r="J551" s="12"/>
      <c r="K551" s="28"/>
      <c r="L551" s="29"/>
      <c r="M551" s="29"/>
      <c r="N551" s="30"/>
      <c r="Y551" s="12"/>
      <c r="Z551" s="12"/>
    </row>
    <row r="552" spans="9:26" ht="13">
      <c r="I552" s="12"/>
      <c r="J552" s="12"/>
      <c r="K552" s="28"/>
      <c r="L552" s="29"/>
      <c r="M552" s="29"/>
      <c r="N552" s="30"/>
      <c r="Y552" s="12"/>
      <c r="Z552" s="12"/>
    </row>
    <row r="553" spans="9:26" ht="13">
      <c r="I553" s="12"/>
      <c r="J553" s="12"/>
      <c r="K553" s="28"/>
      <c r="L553" s="29"/>
      <c r="M553" s="29"/>
      <c r="N553" s="30"/>
      <c r="Y553" s="12"/>
      <c r="Z553" s="12"/>
    </row>
    <row r="554" spans="9:26" ht="13">
      <c r="I554" s="12"/>
      <c r="J554" s="12"/>
      <c r="K554" s="28"/>
      <c r="L554" s="29"/>
      <c r="M554" s="29"/>
      <c r="N554" s="30"/>
      <c r="Y554" s="12"/>
      <c r="Z554" s="12"/>
    </row>
    <row r="555" spans="9:26" ht="13">
      <c r="I555" s="12"/>
      <c r="J555" s="12"/>
      <c r="K555" s="28"/>
      <c r="L555" s="29"/>
      <c r="M555" s="29"/>
      <c r="N555" s="30"/>
      <c r="Y555" s="12"/>
      <c r="Z555" s="12"/>
    </row>
    <row r="556" spans="9:26" ht="13">
      <c r="I556" s="12"/>
      <c r="J556" s="12"/>
      <c r="K556" s="28"/>
      <c r="L556" s="29"/>
      <c r="M556" s="29"/>
      <c r="N556" s="30"/>
      <c r="Y556" s="12"/>
      <c r="Z556" s="12"/>
    </row>
    <row r="557" spans="9:26" ht="13">
      <c r="I557" s="12"/>
      <c r="J557" s="12"/>
      <c r="K557" s="28"/>
      <c r="L557" s="29"/>
      <c r="M557" s="29"/>
      <c r="N557" s="30"/>
      <c r="Y557" s="12"/>
      <c r="Z557" s="12"/>
    </row>
    <row r="558" spans="9:26" ht="13">
      <c r="I558" s="12"/>
      <c r="J558" s="12"/>
      <c r="K558" s="28"/>
      <c r="L558" s="29"/>
      <c r="M558" s="29"/>
      <c r="N558" s="30"/>
      <c r="Y558" s="12"/>
      <c r="Z558" s="12"/>
    </row>
    <row r="559" spans="9:26" ht="13">
      <c r="I559" s="12"/>
      <c r="J559" s="12"/>
      <c r="K559" s="28"/>
      <c r="L559" s="29"/>
      <c r="M559" s="29"/>
      <c r="N559" s="30"/>
      <c r="Y559" s="12"/>
      <c r="Z559" s="12"/>
    </row>
    <row r="560" spans="9:26" ht="13">
      <c r="I560" s="12"/>
      <c r="J560" s="12"/>
      <c r="K560" s="28"/>
      <c r="L560" s="29"/>
      <c r="M560" s="29"/>
      <c r="N560" s="30"/>
      <c r="Y560" s="12"/>
      <c r="Z560" s="12"/>
    </row>
    <row r="561" spans="9:26" ht="13">
      <c r="I561" s="12"/>
      <c r="J561" s="12"/>
      <c r="K561" s="28"/>
      <c r="L561" s="29"/>
      <c r="M561" s="29"/>
      <c r="N561" s="30"/>
      <c r="Y561" s="12"/>
      <c r="Z561" s="12"/>
    </row>
    <row r="562" spans="9:26" ht="13">
      <c r="I562" s="12"/>
      <c r="J562" s="12"/>
      <c r="K562" s="28"/>
      <c r="L562" s="29"/>
      <c r="M562" s="29"/>
      <c r="N562" s="30"/>
      <c r="Y562" s="12"/>
      <c r="Z562" s="12"/>
    </row>
    <row r="563" spans="9:26" ht="13">
      <c r="I563" s="12"/>
      <c r="J563" s="12"/>
      <c r="K563" s="28"/>
      <c r="L563" s="29"/>
      <c r="M563" s="29"/>
      <c r="N563" s="30"/>
      <c r="Y563" s="12"/>
      <c r="Z563" s="12"/>
    </row>
    <row r="564" spans="9:26" ht="13">
      <c r="I564" s="12"/>
      <c r="J564" s="12"/>
      <c r="K564" s="28"/>
      <c r="L564" s="29"/>
      <c r="M564" s="29"/>
      <c r="N564" s="30"/>
      <c r="Y564" s="12"/>
      <c r="Z564" s="12"/>
    </row>
    <row r="565" spans="9:26" ht="13">
      <c r="I565" s="12"/>
      <c r="J565" s="12"/>
      <c r="K565" s="28"/>
      <c r="L565" s="29"/>
      <c r="M565" s="29"/>
      <c r="N565" s="30"/>
      <c r="Y565" s="12"/>
      <c r="Z565" s="12"/>
    </row>
    <row r="566" spans="9:26" ht="13">
      <c r="I566" s="12"/>
      <c r="J566" s="12"/>
      <c r="K566" s="28"/>
      <c r="L566" s="29"/>
      <c r="M566" s="29"/>
      <c r="N566" s="30"/>
      <c r="Y566" s="12"/>
      <c r="Z566" s="12"/>
    </row>
    <row r="567" spans="9:26" ht="13">
      <c r="I567" s="12"/>
      <c r="J567" s="12"/>
      <c r="K567" s="28"/>
      <c r="L567" s="29"/>
      <c r="M567" s="29"/>
      <c r="N567" s="30"/>
      <c r="Y567" s="12"/>
      <c r="Z567" s="12"/>
    </row>
    <row r="568" spans="9:26" ht="13">
      <c r="I568" s="12"/>
      <c r="J568" s="12"/>
      <c r="K568" s="28"/>
      <c r="L568" s="29"/>
      <c r="M568" s="29"/>
      <c r="N568" s="30"/>
      <c r="Y568" s="12"/>
      <c r="Z568" s="12"/>
    </row>
    <row r="569" spans="9:26" ht="13">
      <c r="I569" s="12"/>
      <c r="J569" s="12"/>
      <c r="K569" s="28"/>
      <c r="L569" s="29"/>
      <c r="M569" s="29"/>
      <c r="N569" s="30"/>
      <c r="Y569" s="12"/>
      <c r="Z569" s="12"/>
    </row>
    <row r="570" spans="9:26" ht="13">
      <c r="I570" s="12"/>
      <c r="J570" s="12"/>
      <c r="K570" s="28"/>
      <c r="L570" s="29"/>
      <c r="M570" s="29"/>
      <c r="N570" s="30"/>
      <c r="Y570" s="12"/>
      <c r="Z570" s="12"/>
    </row>
    <row r="571" spans="9:26" ht="13">
      <c r="I571" s="12"/>
      <c r="J571" s="12"/>
      <c r="K571" s="28"/>
      <c r="L571" s="29"/>
      <c r="M571" s="29"/>
      <c r="N571" s="30"/>
      <c r="Y571" s="12"/>
      <c r="Z571" s="12"/>
    </row>
    <row r="572" spans="9:26" ht="13">
      <c r="I572" s="12"/>
      <c r="J572" s="12"/>
      <c r="K572" s="28"/>
      <c r="L572" s="29"/>
      <c r="M572" s="29"/>
      <c r="N572" s="30"/>
      <c r="Y572" s="12"/>
      <c r="Z572" s="12"/>
    </row>
    <row r="573" spans="9:26" ht="13">
      <c r="I573" s="12"/>
      <c r="J573" s="12"/>
      <c r="K573" s="28"/>
      <c r="L573" s="29"/>
      <c r="M573" s="29"/>
      <c r="N573" s="30"/>
      <c r="Y573" s="12"/>
      <c r="Z573" s="12"/>
    </row>
    <row r="574" spans="9:26" ht="13">
      <c r="I574" s="12"/>
      <c r="J574" s="12"/>
      <c r="K574" s="28"/>
      <c r="L574" s="29"/>
      <c r="M574" s="29"/>
      <c r="N574" s="30"/>
      <c r="Y574" s="12"/>
      <c r="Z574" s="12"/>
    </row>
    <row r="575" spans="9:26" ht="13">
      <c r="I575" s="12"/>
      <c r="J575" s="12"/>
      <c r="K575" s="28"/>
      <c r="L575" s="29"/>
      <c r="M575" s="29"/>
      <c r="N575" s="30"/>
      <c r="Y575" s="12"/>
      <c r="Z575" s="12"/>
    </row>
    <row r="576" spans="9:26" ht="13">
      <c r="I576" s="12"/>
      <c r="J576" s="12"/>
      <c r="K576" s="28"/>
      <c r="L576" s="29"/>
      <c r="M576" s="29"/>
      <c r="N576" s="30"/>
      <c r="Y576" s="12"/>
      <c r="Z576" s="12"/>
    </row>
    <row r="577" spans="9:26" ht="13">
      <c r="I577" s="12"/>
      <c r="J577" s="12"/>
      <c r="K577" s="28"/>
      <c r="L577" s="29"/>
      <c r="M577" s="29"/>
      <c r="N577" s="30"/>
      <c r="Y577" s="12"/>
      <c r="Z577" s="12"/>
    </row>
    <row r="578" spans="9:26" ht="13">
      <c r="I578" s="12"/>
      <c r="J578" s="12"/>
      <c r="K578" s="28"/>
      <c r="L578" s="29"/>
      <c r="M578" s="29"/>
      <c r="N578" s="30"/>
      <c r="Y578" s="12"/>
      <c r="Z578" s="12"/>
    </row>
    <row r="579" spans="9:26" ht="13">
      <c r="I579" s="12"/>
      <c r="J579" s="12"/>
      <c r="K579" s="28"/>
      <c r="L579" s="29"/>
      <c r="M579" s="29"/>
      <c r="N579" s="30"/>
      <c r="Y579" s="12"/>
      <c r="Z579" s="12"/>
    </row>
    <row r="580" spans="9:26" ht="13">
      <c r="I580" s="12"/>
      <c r="J580" s="12"/>
      <c r="K580" s="28"/>
      <c r="L580" s="29"/>
      <c r="M580" s="29"/>
      <c r="N580" s="30"/>
      <c r="Y580" s="12"/>
      <c r="Z580" s="12"/>
    </row>
    <row r="581" spans="9:26" ht="13">
      <c r="I581" s="12"/>
      <c r="J581" s="12"/>
      <c r="K581" s="28"/>
      <c r="L581" s="29"/>
      <c r="M581" s="29"/>
      <c r="N581" s="30"/>
      <c r="Y581" s="12"/>
      <c r="Z581" s="12"/>
    </row>
    <row r="582" spans="9:26" ht="13">
      <c r="I582" s="12"/>
      <c r="J582" s="12"/>
      <c r="K582" s="28"/>
      <c r="L582" s="29"/>
      <c r="M582" s="29"/>
      <c r="N582" s="30"/>
      <c r="Y582" s="12"/>
      <c r="Z582" s="12"/>
    </row>
    <row r="583" spans="9:26" ht="13">
      <c r="I583" s="12"/>
      <c r="J583" s="12"/>
      <c r="K583" s="28"/>
      <c r="L583" s="29"/>
      <c r="M583" s="29"/>
      <c r="N583" s="30"/>
      <c r="Y583" s="12"/>
      <c r="Z583" s="12"/>
    </row>
    <row r="584" spans="9:26" ht="13">
      <c r="I584" s="12"/>
      <c r="J584" s="12"/>
      <c r="K584" s="28"/>
      <c r="L584" s="29"/>
      <c r="M584" s="29"/>
      <c r="N584" s="30"/>
      <c r="Y584" s="12"/>
      <c r="Z584" s="12"/>
    </row>
    <row r="585" spans="9:26" ht="13">
      <c r="I585" s="12"/>
      <c r="J585" s="12"/>
      <c r="K585" s="28"/>
      <c r="L585" s="29"/>
      <c r="M585" s="29"/>
      <c r="N585" s="30"/>
      <c r="Y585" s="12"/>
      <c r="Z585" s="12"/>
    </row>
    <row r="586" spans="9:26" ht="13">
      <c r="I586" s="12"/>
      <c r="J586" s="12"/>
      <c r="K586" s="28"/>
      <c r="L586" s="29"/>
      <c r="M586" s="29"/>
      <c r="N586" s="30"/>
      <c r="Y586" s="12"/>
      <c r="Z586" s="12"/>
    </row>
    <row r="587" spans="9:26" ht="13">
      <c r="I587" s="12"/>
      <c r="J587" s="12"/>
      <c r="K587" s="28"/>
      <c r="L587" s="29"/>
      <c r="M587" s="29"/>
      <c r="N587" s="30"/>
      <c r="Y587" s="12"/>
      <c r="Z587" s="12"/>
    </row>
    <row r="588" spans="9:26" ht="13">
      <c r="I588" s="12"/>
      <c r="J588" s="12"/>
      <c r="K588" s="28"/>
      <c r="L588" s="29"/>
      <c r="M588" s="29"/>
      <c r="N588" s="30"/>
      <c r="Y588" s="12"/>
      <c r="Z588" s="12"/>
    </row>
    <row r="589" spans="9:26" ht="13">
      <c r="I589" s="12"/>
      <c r="J589" s="12"/>
      <c r="K589" s="28"/>
      <c r="L589" s="29"/>
      <c r="M589" s="29"/>
      <c r="N589" s="30"/>
      <c r="Y589" s="12"/>
      <c r="Z589" s="12"/>
    </row>
    <row r="590" spans="9:26" ht="13">
      <c r="I590" s="12"/>
      <c r="J590" s="12"/>
      <c r="K590" s="28"/>
      <c r="L590" s="29"/>
      <c r="M590" s="29"/>
      <c r="N590" s="30"/>
      <c r="Y590" s="12"/>
      <c r="Z590" s="12"/>
    </row>
    <row r="591" spans="9:26" ht="13">
      <c r="I591" s="12"/>
      <c r="J591" s="12"/>
      <c r="K591" s="28"/>
      <c r="L591" s="29"/>
      <c r="M591" s="29"/>
      <c r="N591" s="30"/>
      <c r="Y591" s="12"/>
      <c r="Z591" s="12"/>
    </row>
    <row r="592" spans="9:26" ht="13">
      <c r="I592" s="12"/>
      <c r="J592" s="12"/>
      <c r="K592" s="28"/>
      <c r="L592" s="29"/>
      <c r="M592" s="29"/>
      <c r="N592" s="30"/>
      <c r="Y592" s="12"/>
      <c r="Z592" s="12"/>
    </row>
    <row r="593" spans="9:26" ht="13">
      <c r="I593" s="12"/>
      <c r="J593" s="12"/>
      <c r="K593" s="28"/>
      <c r="L593" s="29"/>
      <c r="M593" s="29"/>
      <c r="N593" s="30"/>
      <c r="Y593" s="12"/>
      <c r="Z593" s="12"/>
    </row>
    <row r="594" spans="9:26" ht="13">
      <c r="I594" s="12"/>
      <c r="J594" s="12"/>
      <c r="K594" s="28"/>
      <c r="L594" s="29"/>
      <c r="M594" s="29"/>
      <c r="N594" s="30"/>
      <c r="Y594" s="12"/>
      <c r="Z594" s="12"/>
    </row>
    <row r="595" spans="9:26" ht="13">
      <c r="I595" s="12"/>
      <c r="J595" s="12"/>
      <c r="K595" s="28"/>
      <c r="L595" s="29"/>
      <c r="M595" s="29"/>
      <c r="N595" s="30"/>
      <c r="Y595" s="12"/>
      <c r="Z595" s="12"/>
    </row>
    <row r="596" spans="9:26" ht="13">
      <c r="I596" s="12"/>
      <c r="J596" s="12"/>
      <c r="K596" s="28"/>
      <c r="L596" s="29"/>
      <c r="M596" s="29"/>
      <c r="N596" s="30"/>
      <c r="Y596" s="12"/>
      <c r="Z596" s="12"/>
    </row>
    <row r="597" spans="9:26" ht="13">
      <c r="I597" s="12"/>
      <c r="J597" s="12"/>
      <c r="K597" s="28"/>
      <c r="L597" s="29"/>
      <c r="M597" s="29"/>
      <c r="N597" s="30"/>
      <c r="Y597" s="12"/>
      <c r="Z597" s="12"/>
    </row>
    <row r="598" spans="9:26" ht="13">
      <c r="I598" s="12"/>
      <c r="J598" s="12"/>
      <c r="K598" s="28"/>
      <c r="L598" s="29"/>
      <c r="M598" s="29"/>
      <c r="N598" s="30"/>
      <c r="Y598" s="12"/>
      <c r="Z598" s="12"/>
    </row>
    <row r="599" spans="9:26" ht="13">
      <c r="I599" s="12"/>
      <c r="J599" s="12"/>
      <c r="K599" s="28"/>
      <c r="L599" s="29"/>
      <c r="M599" s="29"/>
      <c r="N599" s="30"/>
      <c r="Y599" s="12"/>
      <c r="Z599" s="12"/>
    </row>
    <row r="600" spans="9:26" ht="13">
      <c r="I600" s="12"/>
      <c r="J600" s="12"/>
      <c r="K600" s="28"/>
      <c r="L600" s="29"/>
      <c r="M600" s="29"/>
      <c r="N600" s="30"/>
      <c r="Y600" s="12"/>
      <c r="Z600" s="12"/>
    </row>
    <row r="601" spans="9:26" ht="13">
      <c r="I601" s="12"/>
      <c r="J601" s="12"/>
      <c r="K601" s="28"/>
      <c r="L601" s="29"/>
      <c r="M601" s="29"/>
      <c r="N601" s="30"/>
      <c r="Y601" s="12"/>
      <c r="Z601" s="12"/>
    </row>
    <row r="602" spans="9:26" ht="13">
      <c r="I602" s="12"/>
      <c r="J602" s="12"/>
      <c r="K602" s="28"/>
      <c r="L602" s="29"/>
      <c r="M602" s="29"/>
      <c r="N602" s="30"/>
      <c r="Y602" s="12"/>
      <c r="Z602" s="12"/>
    </row>
    <row r="603" spans="9:26" ht="13">
      <c r="I603" s="12"/>
      <c r="J603" s="12"/>
      <c r="K603" s="28"/>
      <c r="L603" s="29"/>
      <c r="M603" s="29"/>
      <c r="N603" s="30"/>
      <c r="Y603" s="12"/>
      <c r="Z603" s="12"/>
    </row>
    <row r="604" spans="9:26" ht="13">
      <c r="I604" s="12"/>
      <c r="J604" s="12"/>
      <c r="K604" s="28"/>
      <c r="L604" s="29"/>
      <c r="M604" s="29"/>
      <c r="N604" s="30"/>
      <c r="Y604" s="12"/>
      <c r="Z604" s="12"/>
    </row>
    <row r="605" spans="9:26" ht="13">
      <c r="I605" s="12"/>
      <c r="J605" s="12"/>
      <c r="K605" s="28"/>
      <c r="L605" s="29"/>
      <c r="M605" s="29"/>
      <c r="N605" s="30"/>
      <c r="Y605" s="12"/>
      <c r="Z605" s="12"/>
    </row>
    <row r="606" spans="9:26" ht="13">
      <c r="I606" s="12"/>
      <c r="J606" s="12"/>
      <c r="K606" s="28"/>
      <c r="L606" s="29"/>
      <c r="M606" s="29"/>
      <c r="N606" s="30"/>
      <c r="Y606" s="12"/>
      <c r="Z606" s="12"/>
    </row>
    <row r="607" spans="9:26" ht="13">
      <c r="I607" s="12"/>
      <c r="J607" s="12"/>
      <c r="K607" s="28"/>
      <c r="L607" s="29"/>
      <c r="M607" s="29"/>
      <c r="N607" s="30"/>
      <c r="Y607" s="12"/>
      <c r="Z607" s="12"/>
    </row>
    <row r="608" spans="9:26" ht="13">
      <c r="I608" s="12"/>
      <c r="J608" s="12"/>
      <c r="K608" s="28"/>
      <c r="L608" s="29"/>
      <c r="M608" s="29"/>
      <c r="N608" s="30"/>
      <c r="Y608" s="12"/>
      <c r="Z608" s="12"/>
    </row>
    <row r="609" spans="9:26" ht="13">
      <c r="I609" s="12"/>
      <c r="J609" s="12"/>
      <c r="K609" s="28"/>
      <c r="L609" s="29"/>
      <c r="M609" s="29"/>
      <c r="N609" s="30"/>
      <c r="Y609" s="12"/>
      <c r="Z609" s="12"/>
    </row>
    <row r="610" spans="9:26" ht="13">
      <c r="I610" s="12"/>
      <c r="J610" s="12"/>
      <c r="K610" s="28"/>
      <c r="L610" s="29"/>
      <c r="M610" s="29"/>
      <c r="N610" s="30"/>
      <c r="Y610" s="12"/>
      <c r="Z610" s="12"/>
    </row>
    <row r="611" spans="9:26" ht="13">
      <c r="I611" s="12"/>
      <c r="J611" s="12"/>
      <c r="K611" s="28"/>
      <c r="L611" s="29"/>
      <c r="M611" s="29"/>
      <c r="N611" s="30"/>
      <c r="Y611" s="12"/>
      <c r="Z611" s="12"/>
    </row>
    <row r="612" spans="9:26" ht="13">
      <c r="I612" s="12"/>
      <c r="J612" s="12"/>
      <c r="K612" s="28"/>
      <c r="L612" s="29"/>
      <c r="M612" s="29"/>
      <c r="N612" s="30"/>
      <c r="Y612" s="12"/>
      <c r="Z612" s="12"/>
    </row>
    <row r="613" spans="9:26" ht="13">
      <c r="I613" s="12"/>
      <c r="J613" s="12"/>
      <c r="K613" s="28"/>
      <c r="L613" s="29"/>
      <c r="M613" s="29"/>
      <c r="N613" s="30"/>
      <c r="Y613" s="12"/>
      <c r="Z613" s="12"/>
    </row>
    <row r="614" spans="9:26" ht="13">
      <c r="I614" s="12"/>
      <c r="J614" s="12"/>
      <c r="K614" s="28"/>
      <c r="L614" s="29"/>
      <c r="M614" s="29"/>
      <c r="N614" s="30"/>
      <c r="Y614" s="12"/>
      <c r="Z614" s="12"/>
    </row>
    <row r="615" spans="9:26" ht="13">
      <c r="I615" s="12"/>
      <c r="J615" s="12"/>
      <c r="K615" s="28"/>
      <c r="L615" s="29"/>
      <c r="M615" s="29"/>
      <c r="N615" s="30"/>
      <c r="Y615" s="12"/>
      <c r="Z615" s="12"/>
    </row>
    <row r="616" spans="9:26" ht="13">
      <c r="I616" s="12"/>
      <c r="J616" s="12"/>
      <c r="K616" s="28"/>
      <c r="L616" s="29"/>
      <c r="M616" s="29"/>
      <c r="N616" s="30"/>
      <c r="Y616" s="12"/>
      <c r="Z616" s="12"/>
    </row>
    <row r="617" spans="9:26" ht="13">
      <c r="I617" s="12"/>
      <c r="J617" s="12"/>
      <c r="K617" s="28"/>
      <c r="L617" s="29"/>
      <c r="M617" s="29"/>
      <c r="N617" s="30"/>
      <c r="Y617" s="12"/>
      <c r="Z617" s="12"/>
    </row>
    <row r="618" spans="9:26" ht="13">
      <c r="I618" s="12"/>
      <c r="J618" s="12"/>
      <c r="K618" s="28"/>
      <c r="L618" s="29"/>
      <c r="M618" s="29"/>
      <c r="N618" s="30"/>
      <c r="Y618" s="12"/>
      <c r="Z618" s="12"/>
    </row>
    <row r="619" spans="9:26" ht="13">
      <c r="I619" s="12"/>
      <c r="J619" s="12"/>
      <c r="K619" s="28"/>
      <c r="L619" s="29"/>
      <c r="M619" s="29"/>
      <c r="N619" s="30"/>
      <c r="Y619" s="12"/>
      <c r="Z619" s="12"/>
    </row>
    <row r="620" spans="9:26" ht="13">
      <c r="I620" s="12"/>
      <c r="J620" s="12"/>
      <c r="K620" s="28"/>
      <c r="L620" s="29"/>
      <c r="M620" s="29"/>
      <c r="N620" s="30"/>
      <c r="Y620" s="12"/>
      <c r="Z620" s="12"/>
    </row>
    <row r="621" spans="9:26" ht="13">
      <c r="I621" s="12"/>
      <c r="J621" s="12"/>
      <c r="K621" s="28"/>
      <c r="L621" s="29"/>
      <c r="M621" s="29"/>
      <c r="N621" s="30"/>
      <c r="Y621" s="12"/>
      <c r="Z621" s="12"/>
    </row>
    <row r="622" spans="9:26" ht="13">
      <c r="I622" s="12"/>
      <c r="J622" s="12"/>
      <c r="K622" s="28"/>
      <c r="L622" s="29"/>
      <c r="M622" s="29"/>
      <c r="N622" s="30"/>
      <c r="Y622" s="12"/>
      <c r="Z622" s="12"/>
    </row>
    <row r="623" spans="9:26" ht="13">
      <c r="I623" s="12"/>
      <c r="J623" s="12"/>
      <c r="K623" s="28"/>
      <c r="L623" s="29"/>
      <c r="M623" s="29"/>
      <c r="N623" s="30"/>
      <c r="Y623" s="12"/>
      <c r="Z623" s="12"/>
    </row>
    <row r="624" spans="9:26" ht="13">
      <c r="I624" s="12"/>
      <c r="J624" s="12"/>
      <c r="K624" s="28"/>
      <c r="L624" s="29"/>
      <c r="M624" s="29"/>
      <c r="N624" s="30"/>
      <c r="Y624" s="12"/>
      <c r="Z624" s="12"/>
    </row>
    <row r="625" spans="9:26" ht="13">
      <c r="I625" s="12"/>
      <c r="J625" s="12"/>
      <c r="K625" s="28"/>
      <c r="L625" s="29"/>
      <c r="M625" s="29"/>
      <c r="N625" s="30"/>
      <c r="Y625" s="12"/>
      <c r="Z625" s="12"/>
    </row>
    <row r="626" spans="9:26" ht="13">
      <c r="I626" s="12"/>
      <c r="J626" s="12"/>
      <c r="K626" s="28"/>
      <c r="L626" s="29"/>
      <c r="M626" s="29"/>
      <c r="N626" s="30"/>
      <c r="Y626" s="12"/>
      <c r="Z626" s="12"/>
    </row>
    <row r="627" spans="9:26" ht="13">
      <c r="I627" s="12"/>
      <c r="J627" s="12"/>
      <c r="K627" s="28"/>
      <c r="L627" s="29"/>
      <c r="M627" s="29"/>
      <c r="N627" s="30"/>
      <c r="Y627" s="12"/>
      <c r="Z627" s="12"/>
    </row>
    <row r="628" spans="9:26" ht="13">
      <c r="I628" s="12"/>
      <c r="J628" s="12"/>
      <c r="K628" s="28"/>
      <c r="L628" s="29"/>
      <c r="M628" s="29"/>
      <c r="N628" s="30"/>
      <c r="Y628" s="12"/>
      <c r="Z628" s="12"/>
    </row>
    <row r="629" spans="9:26" ht="13">
      <c r="I629" s="12"/>
      <c r="J629" s="12"/>
      <c r="K629" s="28"/>
      <c r="L629" s="29"/>
      <c r="M629" s="29"/>
      <c r="N629" s="30"/>
      <c r="Y629" s="12"/>
      <c r="Z629" s="12"/>
    </row>
    <row r="630" spans="9:26" ht="13">
      <c r="I630" s="12"/>
      <c r="J630" s="12"/>
      <c r="K630" s="28"/>
      <c r="L630" s="29"/>
      <c r="M630" s="29"/>
      <c r="N630" s="30"/>
      <c r="Y630" s="12"/>
      <c r="Z630" s="12"/>
    </row>
    <row r="631" spans="9:26" ht="13">
      <c r="I631" s="12"/>
      <c r="J631" s="12"/>
      <c r="K631" s="28"/>
      <c r="L631" s="29"/>
      <c r="M631" s="29"/>
      <c r="N631" s="30"/>
      <c r="Y631" s="12"/>
      <c r="Z631" s="12"/>
    </row>
    <row r="632" spans="9:26" ht="13">
      <c r="I632" s="12"/>
      <c r="J632" s="12"/>
      <c r="K632" s="28"/>
      <c r="L632" s="29"/>
      <c r="M632" s="29"/>
      <c r="N632" s="30"/>
      <c r="Y632" s="12"/>
      <c r="Z632" s="12"/>
    </row>
    <row r="633" spans="9:26" ht="13">
      <c r="I633" s="12"/>
      <c r="J633" s="12"/>
      <c r="K633" s="28"/>
      <c r="L633" s="29"/>
      <c r="M633" s="29"/>
      <c r="N633" s="30"/>
      <c r="Y633" s="12"/>
      <c r="Z633" s="12"/>
    </row>
    <row r="634" spans="9:26" ht="13">
      <c r="I634" s="12"/>
      <c r="J634" s="12"/>
      <c r="K634" s="28"/>
      <c r="L634" s="29"/>
      <c r="M634" s="29"/>
      <c r="N634" s="30"/>
      <c r="Y634" s="12"/>
      <c r="Z634" s="12"/>
    </row>
    <row r="635" spans="9:26" ht="13">
      <c r="I635" s="12"/>
      <c r="J635" s="12"/>
      <c r="K635" s="28"/>
      <c r="L635" s="29"/>
      <c r="M635" s="29"/>
      <c r="N635" s="30"/>
      <c r="Y635" s="12"/>
      <c r="Z635" s="12"/>
    </row>
    <row r="636" spans="9:26" ht="13">
      <c r="I636" s="12"/>
      <c r="J636" s="12"/>
      <c r="K636" s="28"/>
      <c r="L636" s="29"/>
      <c r="M636" s="29"/>
      <c r="N636" s="30"/>
      <c r="Y636" s="12"/>
      <c r="Z636" s="12"/>
    </row>
    <row r="637" spans="9:26" ht="13">
      <c r="I637" s="12"/>
      <c r="J637" s="12"/>
      <c r="K637" s="28"/>
      <c r="L637" s="29"/>
      <c r="M637" s="29"/>
      <c r="N637" s="30"/>
      <c r="Y637" s="12"/>
      <c r="Z637" s="12"/>
    </row>
    <row r="638" spans="9:26" ht="13">
      <c r="I638" s="12"/>
      <c r="J638" s="12"/>
      <c r="K638" s="28"/>
      <c r="L638" s="29"/>
      <c r="M638" s="29"/>
      <c r="N638" s="30"/>
      <c r="Y638" s="12"/>
      <c r="Z638" s="12"/>
    </row>
    <row r="639" spans="9:26" ht="13">
      <c r="I639" s="12"/>
      <c r="J639" s="12"/>
      <c r="K639" s="28"/>
      <c r="L639" s="29"/>
      <c r="M639" s="29"/>
      <c r="N639" s="30"/>
      <c r="Y639" s="12"/>
      <c r="Z639" s="12"/>
    </row>
    <row r="640" spans="9:26" ht="13">
      <c r="I640" s="12"/>
      <c r="J640" s="12"/>
      <c r="K640" s="28"/>
      <c r="L640" s="29"/>
      <c r="M640" s="29"/>
      <c r="N640" s="30"/>
      <c r="Y640" s="12"/>
      <c r="Z640" s="12"/>
    </row>
    <row r="641" spans="9:26" ht="13">
      <c r="I641" s="12"/>
      <c r="J641" s="12"/>
      <c r="K641" s="28"/>
      <c r="L641" s="29"/>
      <c r="M641" s="29"/>
      <c r="N641" s="30"/>
      <c r="Y641" s="12"/>
      <c r="Z641" s="12"/>
    </row>
    <row r="642" spans="9:26" ht="13">
      <c r="I642" s="12"/>
      <c r="J642" s="12"/>
      <c r="K642" s="28"/>
      <c r="L642" s="29"/>
      <c r="M642" s="29"/>
      <c r="N642" s="30"/>
      <c r="Y642" s="12"/>
      <c r="Z642" s="12"/>
    </row>
    <row r="643" spans="9:26" ht="13">
      <c r="I643" s="12"/>
      <c r="J643" s="12"/>
      <c r="K643" s="28"/>
      <c r="L643" s="29"/>
      <c r="M643" s="29"/>
      <c r="N643" s="30"/>
      <c r="Y643" s="12"/>
      <c r="Z643" s="12"/>
    </row>
    <row r="644" spans="9:26" ht="13">
      <c r="I644" s="12"/>
      <c r="J644" s="12"/>
      <c r="K644" s="28"/>
      <c r="L644" s="29"/>
      <c r="M644" s="29"/>
      <c r="N644" s="30"/>
      <c r="Y644" s="12"/>
      <c r="Z644" s="12"/>
    </row>
    <row r="645" spans="9:26" ht="13">
      <c r="I645" s="12"/>
      <c r="J645" s="12"/>
      <c r="K645" s="28"/>
      <c r="L645" s="29"/>
      <c r="M645" s="29"/>
      <c r="N645" s="30"/>
      <c r="Y645" s="12"/>
      <c r="Z645" s="12"/>
    </row>
    <row r="646" spans="9:26" ht="13">
      <c r="I646" s="12"/>
      <c r="J646" s="12"/>
      <c r="K646" s="28"/>
      <c r="L646" s="29"/>
      <c r="M646" s="29"/>
      <c r="N646" s="30"/>
      <c r="Y646" s="12"/>
      <c r="Z646" s="12"/>
    </row>
    <row r="647" spans="9:26" ht="13">
      <c r="I647" s="12"/>
      <c r="J647" s="12"/>
      <c r="K647" s="28"/>
      <c r="L647" s="29"/>
      <c r="M647" s="29"/>
      <c r="N647" s="30"/>
      <c r="Y647" s="12"/>
      <c r="Z647" s="12"/>
    </row>
    <row r="648" spans="9:26" ht="13">
      <c r="I648" s="12"/>
      <c r="J648" s="12"/>
      <c r="K648" s="28"/>
      <c r="L648" s="29"/>
      <c r="M648" s="29"/>
      <c r="N648" s="30"/>
      <c r="Y648" s="12"/>
      <c r="Z648" s="12"/>
    </row>
    <row r="649" spans="9:26" ht="13">
      <c r="I649" s="12"/>
      <c r="J649" s="12"/>
      <c r="K649" s="28"/>
      <c r="L649" s="29"/>
      <c r="M649" s="29"/>
      <c r="N649" s="30"/>
      <c r="Y649" s="12"/>
      <c r="Z649" s="12"/>
    </row>
    <row r="650" spans="9:26" ht="13">
      <c r="I650" s="12"/>
      <c r="J650" s="12"/>
      <c r="K650" s="28"/>
      <c r="L650" s="29"/>
      <c r="M650" s="29"/>
      <c r="N650" s="30"/>
      <c r="Y650" s="12"/>
      <c r="Z650" s="12"/>
    </row>
    <row r="651" spans="9:26" ht="13">
      <c r="I651" s="12"/>
      <c r="J651" s="12"/>
      <c r="K651" s="28"/>
      <c r="L651" s="29"/>
      <c r="M651" s="29"/>
      <c r="N651" s="30"/>
      <c r="Y651" s="12"/>
      <c r="Z651" s="12"/>
    </row>
    <row r="652" spans="9:26" ht="13">
      <c r="I652" s="12"/>
      <c r="J652" s="12"/>
      <c r="K652" s="28"/>
      <c r="L652" s="29"/>
      <c r="M652" s="29"/>
      <c r="N652" s="30"/>
      <c r="Y652" s="12"/>
      <c r="Z652" s="12"/>
    </row>
    <row r="653" spans="9:26" ht="13">
      <c r="I653" s="12"/>
      <c r="J653" s="12"/>
      <c r="K653" s="28"/>
      <c r="L653" s="29"/>
      <c r="M653" s="29"/>
      <c r="N653" s="30"/>
      <c r="Y653" s="12"/>
      <c r="Z653" s="12"/>
    </row>
    <row r="654" spans="9:26" ht="13">
      <c r="I654" s="12"/>
      <c r="J654" s="12"/>
      <c r="K654" s="28"/>
      <c r="L654" s="29"/>
      <c r="M654" s="29"/>
      <c r="N654" s="30"/>
      <c r="Y654" s="12"/>
      <c r="Z654" s="12"/>
    </row>
    <row r="655" spans="9:26" ht="13">
      <c r="I655" s="12"/>
      <c r="J655" s="12"/>
      <c r="K655" s="28"/>
      <c r="L655" s="29"/>
      <c r="M655" s="29"/>
      <c r="N655" s="30"/>
      <c r="Y655" s="12"/>
      <c r="Z655" s="12"/>
    </row>
    <row r="656" spans="9:26" ht="13">
      <c r="I656" s="12"/>
      <c r="J656" s="12"/>
      <c r="K656" s="28"/>
      <c r="L656" s="29"/>
      <c r="M656" s="29"/>
      <c r="N656" s="30"/>
      <c r="Y656" s="12"/>
      <c r="Z656" s="12"/>
    </row>
    <row r="657" spans="9:26" ht="13">
      <c r="I657" s="12"/>
      <c r="J657" s="12"/>
      <c r="K657" s="28"/>
      <c r="L657" s="29"/>
      <c r="M657" s="29"/>
      <c r="N657" s="30"/>
      <c r="Y657" s="12"/>
      <c r="Z657" s="12"/>
    </row>
    <row r="658" spans="9:26" ht="13">
      <c r="I658" s="12"/>
      <c r="J658" s="12"/>
      <c r="K658" s="28"/>
      <c r="L658" s="29"/>
      <c r="M658" s="29"/>
      <c r="N658" s="30"/>
      <c r="Y658" s="12"/>
      <c r="Z658" s="12"/>
    </row>
    <row r="659" spans="9:26" ht="13">
      <c r="I659" s="12"/>
      <c r="J659" s="12"/>
      <c r="K659" s="28"/>
      <c r="L659" s="29"/>
      <c r="M659" s="29"/>
      <c r="N659" s="30"/>
      <c r="Y659" s="12"/>
      <c r="Z659" s="12"/>
    </row>
    <row r="660" spans="9:26" ht="13">
      <c r="I660" s="12"/>
      <c r="J660" s="12"/>
      <c r="K660" s="28"/>
      <c r="L660" s="29"/>
      <c r="M660" s="29"/>
      <c r="N660" s="30"/>
      <c r="Y660" s="12"/>
      <c r="Z660" s="12"/>
    </row>
    <row r="661" spans="9:26" ht="13">
      <c r="I661" s="12"/>
      <c r="J661" s="12"/>
      <c r="K661" s="28"/>
      <c r="L661" s="29"/>
      <c r="M661" s="29"/>
      <c r="N661" s="30"/>
      <c r="Y661" s="12"/>
      <c r="Z661" s="12"/>
    </row>
    <row r="662" spans="9:26" ht="13">
      <c r="I662" s="12"/>
      <c r="J662" s="12"/>
      <c r="K662" s="28"/>
      <c r="L662" s="29"/>
      <c r="M662" s="29"/>
      <c r="N662" s="30"/>
      <c r="Y662" s="12"/>
      <c r="Z662" s="12"/>
    </row>
    <row r="663" spans="9:26" ht="13">
      <c r="I663" s="12"/>
      <c r="J663" s="12"/>
      <c r="K663" s="28"/>
      <c r="L663" s="29"/>
      <c r="M663" s="29"/>
      <c r="N663" s="30"/>
      <c r="Y663" s="12"/>
      <c r="Z663" s="12"/>
    </row>
    <row r="664" spans="9:26" ht="13">
      <c r="I664" s="12"/>
      <c r="J664" s="12"/>
      <c r="K664" s="28"/>
      <c r="L664" s="29"/>
      <c r="M664" s="29"/>
      <c r="N664" s="30"/>
      <c r="Y664" s="12"/>
      <c r="Z664" s="12"/>
    </row>
    <row r="665" spans="9:26" ht="13">
      <c r="I665" s="12"/>
      <c r="J665" s="12"/>
      <c r="K665" s="28"/>
      <c r="L665" s="29"/>
      <c r="M665" s="29"/>
      <c r="N665" s="30"/>
      <c r="Y665" s="12"/>
      <c r="Z665" s="12"/>
    </row>
    <row r="666" spans="9:26" ht="13">
      <c r="I666" s="12"/>
      <c r="J666" s="12"/>
      <c r="K666" s="28"/>
      <c r="L666" s="29"/>
      <c r="M666" s="29"/>
      <c r="N666" s="30"/>
      <c r="Y666" s="12"/>
      <c r="Z666" s="12"/>
    </row>
    <row r="667" spans="9:26" ht="13">
      <c r="I667" s="12"/>
      <c r="J667" s="12"/>
      <c r="K667" s="28"/>
      <c r="L667" s="29"/>
      <c r="M667" s="29"/>
      <c r="N667" s="30"/>
      <c r="Y667" s="12"/>
      <c r="Z667" s="12"/>
    </row>
    <row r="668" spans="9:26" ht="13">
      <c r="I668" s="12"/>
      <c r="J668" s="12"/>
      <c r="K668" s="28"/>
      <c r="L668" s="29"/>
      <c r="M668" s="29"/>
      <c r="N668" s="30"/>
      <c r="Y668" s="12"/>
      <c r="Z668" s="12"/>
    </row>
    <row r="669" spans="9:26" ht="13">
      <c r="I669" s="12"/>
      <c r="J669" s="12"/>
      <c r="K669" s="28"/>
      <c r="L669" s="29"/>
      <c r="M669" s="29"/>
      <c r="N669" s="30"/>
      <c r="Y669" s="12"/>
      <c r="Z669" s="12"/>
    </row>
    <row r="670" spans="9:26" ht="13">
      <c r="I670" s="12"/>
      <c r="J670" s="12"/>
      <c r="K670" s="28"/>
      <c r="L670" s="29"/>
      <c r="M670" s="29"/>
      <c r="N670" s="30"/>
      <c r="Y670" s="12"/>
      <c r="Z670" s="12"/>
    </row>
    <row r="671" spans="9:26" ht="13">
      <c r="I671" s="12"/>
      <c r="J671" s="12"/>
      <c r="K671" s="28"/>
      <c r="L671" s="29"/>
      <c r="M671" s="29"/>
      <c r="N671" s="30"/>
      <c r="Y671" s="12"/>
      <c r="Z671" s="12"/>
    </row>
    <row r="672" spans="9:26" ht="13">
      <c r="I672" s="12"/>
      <c r="J672" s="12"/>
      <c r="K672" s="28"/>
      <c r="L672" s="29"/>
      <c r="M672" s="29"/>
      <c r="N672" s="30"/>
      <c r="Y672" s="12"/>
      <c r="Z672" s="12"/>
    </row>
    <row r="673" spans="9:26" ht="13">
      <c r="I673" s="12"/>
      <c r="J673" s="12"/>
      <c r="K673" s="28"/>
      <c r="L673" s="29"/>
      <c r="M673" s="29"/>
      <c r="N673" s="30"/>
      <c r="Y673" s="12"/>
      <c r="Z673" s="12"/>
    </row>
    <row r="674" spans="9:26" ht="13">
      <c r="I674" s="12"/>
      <c r="J674" s="12"/>
      <c r="K674" s="28"/>
      <c r="L674" s="29"/>
      <c r="M674" s="29"/>
      <c r="N674" s="30"/>
      <c r="Y674" s="12"/>
      <c r="Z674" s="12"/>
    </row>
    <row r="675" spans="9:26" ht="13">
      <c r="I675" s="12"/>
      <c r="J675" s="12"/>
      <c r="K675" s="28"/>
      <c r="L675" s="29"/>
      <c r="M675" s="29"/>
      <c r="N675" s="30"/>
      <c r="Y675" s="12"/>
      <c r="Z675" s="12"/>
    </row>
    <row r="676" spans="9:26" ht="13">
      <c r="I676" s="12"/>
      <c r="J676" s="12"/>
      <c r="K676" s="28"/>
      <c r="L676" s="29"/>
      <c r="M676" s="29"/>
      <c r="N676" s="30"/>
      <c r="Y676" s="12"/>
      <c r="Z676" s="12"/>
    </row>
    <row r="677" spans="9:26" ht="13">
      <c r="I677" s="12"/>
      <c r="J677" s="12"/>
      <c r="K677" s="28"/>
      <c r="L677" s="29"/>
      <c r="M677" s="29"/>
      <c r="N677" s="30"/>
      <c r="Y677" s="12"/>
      <c r="Z677" s="12"/>
    </row>
    <row r="678" spans="9:26" ht="13">
      <c r="I678" s="12"/>
      <c r="J678" s="12"/>
      <c r="K678" s="28"/>
      <c r="L678" s="29"/>
      <c r="M678" s="29"/>
      <c r="N678" s="30"/>
      <c r="Y678" s="12"/>
      <c r="Z678" s="12"/>
    </row>
    <row r="679" spans="9:26" ht="13">
      <c r="I679" s="12"/>
      <c r="J679" s="12"/>
      <c r="K679" s="28"/>
      <c r="L679" s="29"/>
      <c r="M679" s="29"/>
      <c r="N679" s="30"/>
      <c r="Y679" s="12"/>
      <c r="Z679" s="12"/>
    </row>
    <row r="680" spans="9:26" ht="13">
      <c r="I680" s="12"/>
      <c r="J680" s="12"/>
      <c r="K680" s="28"/>
      <c r="L680" s="29"/>
      <c r="M680" s="29"/>
      <c r="N680" s="30"/>
      <c r="Y680" s="12"/>
      <c r="Z680" s="12"/>
    </row>
    <row r="681" spans="9:26" ht="13">
      <c r="I681" s="12"/>
      <c r="J681" s="12"/>
      <c r="K681" s="28"/>
      <c r="L681" s="29"/>
      <c r="M681" s="29"/>
      <c r="N681" s="30"/>
      <c r="Y681" s="12"/>
      <c r="Z681" s="12"/>
    </row>
    <row r="682" spans="9:26" ht="13">
      <c r="I682" s="12"/>
      <c r="J682" s="12"/>
      <c r="K682" s="28"/>
      <c r="L682" s="29"/>
      <c r="M682" s="29"/>
      <c r="N682" s="30"/>
      <c r="Y682" s="12"/>
      <c r="Z682" s="12"/>
    </row>
    <row r="683" spans="9:26" ht="13">
      <c r="I683" s="12"/>
      <c r="J683" s="12"/>
      <c r="K683" s="28"/>
      <c r="L683" s="29"/>
      <c r="M683" s="29"/>
      <c r="N683" s="30"/>
      <c r="Y683" s="12"/>
      <c r="Z683" s="12"/>
    </row>
    <row r="684" spans="9:26" ht="13">
      <c r="I684" s="12"/>
      <c r="J684" s="12"/>
      <c r="K684" s="28"/>
      <c r="L684" s="29"/>
      <c r="M684" s="29"/>
      <c r="N684" s="30"/>
      <c r="Y684" s="12"/>
      <c r="Z684" s="12"/>
    </row>
    <row r="685" spans="9:26" ht="13">
      <c r="I685" s="12"/>
      <c r="J685" s="12"/>
      <c r="K685" s="28"/>
      <c r="L685" s="29"/>
      <c r="M685" s="29"/>
      <c r="N685" s="30"/>
      <c r="Y685" s="12"/>
      <c r="Z685" s="12"/>
    </row>
    <row r="686" spans="9:26" ht="13">
      <c r="I686" s="12"/>
      <c r="J686" s="12"/>
      <c r="K686" s="28"/>
      <c r="L686" s="29"/>
      <c r="M686" s="29"/>
      <c r="N686" s="30"/>
      <c r="Y686" s="12"/>
      <c r="Z686" s="12"/>
    </row>
    <row r="687" spans="9:26" ht="13">
      <c r="I687" s="12"/>
      <c r="J687" s="12"/>
      <c r="K687" s="28"/>
      <c r="L687" s="29"/>
      <c r="M687" s="29"/>
      <c r="N687" s="30"/>
      <c r="Y687" s="12"/>
      <c r="Z687" s="12"/>
    </row>
    <row r="688" spans="9:26" ht="13">
      <c r="I688" s="12"/>
      <c r="J688" s="12"/>
      <c r="K688" s="28"/>
      <c r="L688" s="29"/>
      <c r="M688" s="29"/>
      <c r="N688" s="30"/>
      <c r="Y688" s="12"/>
      <c r="Z688" s="12"/>
    </row>
    <row r="689" spans="9:26" ht="13">
      <c r="I689" s="12"/>
      <c r="J689" s="12"/>
      <c r="K689" s="28"/>
      <c r="L689" s="29"/>
      <c r="M689" s="29"/>
      <c r="N689" s="30"/>
      <c r="Y689" s="12"/>
      <c r="Z689" s="12"/>
    </row>
    <row r="690" spans="9:26" ht="13">
      <c r="I690" s="12"/>
      <c r="J690" s="12"/>
      <c r="K690" s="28"/>
      <c r="L690" s="29"/>
      <c r="M690" s="29"/>
      <c r="N690" s="30"/>
      <c r="Y690" s="12"/>
      <c r="Z690" s="12"/>
    </row>
    <row r="691" spans="9:26" ht="13">
      <c r="I691" s="12"/>
      <c r="J691" s="12"/>
      <c r="K691" s="28"/>
      <c r="L691" s="29"/>
      <c r="M691" s="29"/>
      <c r="N691" s="30"/>
      <c r="Y691" s="12"/>
      <c r="Z691" s="12"/>
    </row>
    <row r="692" spans="9:26" ht="13">
      <c r="I692" s="12"/>
      <c r="J692" s="12"/>
      <c r="K692" s="28"/>
      <c r="L692" s="29"/>
      <c r="M692" s="29"/>
      <c r="N692" s="30"/>
      <c r="Y692" s="12"/>
      <c r="Z692" s="12"/>
    </row>
    <row r="693" spans="9:26" ht="13">
      <c r="I693" s="12"/>
      <c r="J693" s="12"/>
      <c r="K693" s="28"/>
      <c r="L693" s="29"/>
      <c r="M693" s="29"/>
      <c r="N693" s="30"/>
      <c r="Y693" s="12"/>
      <c r="Z693" s="12"/>
    </row>
    <row r="694" spans="9:26" ht="13">
      <c r="I694" s="12"/>
      <c r="J694" s="12"/>
      <c r="K694" s="28"/>
      <c r="L694" s="29"/>
      <c r="M694" s="29"/>
      <c r="N694" s="30"/>
      <c r="Y694" s="12"/>
      <c r="Z694" s="12"/>
    </row>
    <row r="695" spans="9:26" ht="13">
      <c r="I695" s="12"/>
      <c r="J695" s="12"/>
      <c r="K695" s="28"/>
      <c r="L695" s="29"/>
      <c r="M695" s="29"/>
      <c r="N695" s="30"/>
      <c r="Y695" s="12"/>
      <c r="Z695" s="12"/>
    </row>
    <row r="696" spans="9:26" ht="13">
      <c r="I696" s="12"/>
      <c r="J696" s="12"/>
      <c r="K696" s="28"/>
      <c r="L696" s="29"/>
      <c r="M696" s="29"/>
      <c r="N696" s="30"/>
      <c r="Y696" s="12"/>
      <c r="Z696" s="12"/>
    </row>
    <row r="697" spans="9:26" ht="13">
      <c r="I697" s="12"/>
      <c r="J697" s="12"/>
      <c r="K697" s="28"/>
      <c r="L697" s="29"/>
      <c r="M697" s="29"/>
      <c r="N697" s="30"/>
      <c r="Y697" s="12"/>
      <c r="Z697" s="12"/>
    </row>
    <row r="698" spans="9:26" ht="13">
      <c r="I698" s="12"/>
      <c r="J698" s="12"/>
      <c r="K698" s="28"/>
      <c r="L698" s="29"/>
      <c r="M698" s="29"/>
      <c r="N698" s="30"/>
      <c r="Y698" s="12"/>
      <c r="Z698" s="12"/>
    </row>
    <row r="699" spans="9:26" ht="13">
      <c r="I699" s="12"/>
      <c r="J699" s="12"/>
      <c r="K699" s="28"/>
      <c r="L699" s="29"/>
      <c r="M699" s="29"/>
      <c r="N699" s="30"/>
      <c r="Y699" s="12"/>
      <c r="Z699" s="12"/>
    </row>
    <row r="700" spans="9:26" ht="13">
      <c r="I700" s="12"/>
      <c r="J700" s="12"/>
      <c r="K700" s="28"/>
      <c r="L700" s="29"/>
      <c r="M700" s="29"/>
      <c r="N700" s="30"/>
      <c r="Y700" s="12"/>
      <c r="Z700" s="12"/>
    </row>
    <row r="701" spans="9:26" ht="13">
      <c r="I701" s="12"/>
      <c r="J701" s="12"/>
      <c r="K701" s="28"/>
      <c r="L701" s="29"/>
      <c r="M701" s="29"/>
      <c r="N701" s="30"/>
      <c r="Y701" s="12"/>
      <c r="Z701" s="12"/>
    </row>
    <row r="702" spans="9:26" ht="13">
      <c r="I702" s="12"/>
      <c r="J702" s="12"/>
      <c r="K702" s="28"/>
      <c r="L702" s="29"/>
      <c r="M702" s="29"/>
      <c r="N702" s="30"/>
      <c r="Y702" s="12"/>
      <c r="Z702" s="12"/>
    </row>
    <row r="703" spans="9:26" ht="13">
      <c r="I703" s="12"/>
      <c r="J703" s="12"/>
      <c r="K703" s="28"/>
      <c r="L703" s="29"/>
      <c r="M703" s="29"/>
      <c r="N703" s="30"/>
      <c r="Y703" s="12"/>
      <c r="Z703" s="12"/>
    </row>
    <row r="704" spans="9:26" ht="13">
      <c r="I704" s="12"/>
      <c r="J704" s="12"/>
      <c r="K704" s="28"/>
      <c r="L704" s="29"/>
      <c r="M704" s="29"/>
      <c r="N704" s="30"/>
      <c r="Y704" s="12"/>
      <c r="Z704" s="12"/>
    </row>
    <row r="705" spans="9:26" ht="13">
      <c r="I705" s="12"/>
      <c r="J705" s="12"/>
      <c r="K705" s="28"/>
      <c r="L705" s="29"/>
      <c r="M705" s="29"/>
      <c r="N705" s="30"/>
      <c r="Y705" s="12"/>
      <c r="Z705" s="12"/>
    </row>
    <row r="706" spans="9:26" ht="13">
      <c r="I706" s="12"/>
      <c r="J706" s="12"/>
      <c r="K706" s="28"/>
      <c r="L706" s="29"/>
      <c r="M706" s="29"/>
      <c r="N706" s="30"/>
      <c r="Y706" s="12"/>
      <c r="Z706" s="12"/>
    </row>
    <row r="707" spans="9:26" ht="13">
      <c r="I707" s="12"/>
      <c r="J707" s="12"/>
      <c r="K707" s="28"/>
      <c r="L707" s="29"/>
      <c r="M707" s="29"/>
      <c r="N707" s="30"/>
      <c r="Y707" s="12"/>
      <c r="Z707" s="12"/>
    </row>
    <row r="708" spans="9:26" ht="13">
      <c r="I708" s="12"/>
      <c r="J708" s="12"/>
      <c r="K708" s="28"/>
      <c r="L708" s="29"/>
      <c r="M708" s="29"/>
      <c r="N708" s="30"/>
      <c r="Y708" s="12"/>
      <c r="Z708" s="12"/>
    </row>
    <row r="709" spans="9:26" ht="13">
      <c r="I709" s="12"/>
      <c r="J709" s="12"/>
      <c r="K709" s="28"/>
      <c r="L709" s="29"/>
      <c r="M709" s="29"/>
      <c r="N709" s="30"/>
      <c r="Y709" s="12"/>
      <c r="Z709" s="12"/>
    </row>
    <row r="710" spans="9:26" ht="13">
      <c r="I710" s="12"/>
      <c r="J710" s="12"/>
      <c r="K710" s="28"/>
      <c r="L710" s="29"/>
      <c r="M710" s="29"/>
      <c r="N710" s="30"/>
      <c r="Y710" s="12"/>
      <c r="Z710" s="12"/>
    </row>
    <row r="711" spans="9:26" ht="13">
      <c r="I711" s="12"/>
      <c r="J711" s="12"/>
      <c r="K711" s="28"/>
      <c r="L711" s="29"/>
      <c r="M711" s="29"/>
      <c r="N711" s="30"/>
      <c r="Y711" s="12"/>
      <c r="Z711" s="12"/>
    </row>
    <row r="712" spans="9:26" ht="13">
      <c r="I712" s="12"/>
      <c r="J712" s="12"/>
      <c r="K712" s="28"/>
      <c r="L712" s="29"/>
      <c r="M712" s="29"/>
      <c r="N712" s="30"/>
      <c r="Y712" s="12"/>
      <c r="Z712" s="12"/>
    </row>
    <row r="713" spans="9:26" ht="13">
      <c r="I713" s="12"/>
      <c r="J713" s="12"/>
      <c r="K713" s="28"/>
      <c r="L713" s="29"/>
      <c r="M713" s="29"/>
      <c r="N713" s="30"/>
      <c r="Y713" s="12"/>
      <c r="Z713" s="12"/>
    </row>
    <row r="714" spans="9:26" ht="13">
      <c r="I714" s="12"/>
      <c r="J714" s="12"/>
      <c r="K714" s="28"/>
      <c r="L714" s="29"/>
      <c r="M714" s="29"/>
      <c r="N714" s="30"/>
      <c r="Y714" s="12"/>
      <c r="Z714" s="12"/>
    </row>
    <row r="715" spans="9:26" ht="13">
      <c r="I715" s="12"/>
      <c r="J715" s="12"/>
      <c r="K715" s="28"/>
      <c r="L715" s="29"/>
      <c r="M715" s="29"/>
      <c r="N715" s="30"/>
      <c r="Y715" s="12"/>
      <c r="Z715" s="12"/>
    </row>
    <row r="716" spans="9:26" ht="13">
      <c r="I716" s="12"/>
      <c r="J716" s="12"/>
      <c r="K716" s="28"/>
      <c r="L716" s="29"/>
      <c r="M716" s="29"/>
      <c r="N716" s="30"/>
      <c r="Y716" s="12"/>
      <c r="Z716" s="12"/>
    </row>
    <row r="717" spans="9:26" ht="13">
      <c r="I717" s="12"/>
      <c r="J717" s="12"/>
      <c r="K717" s="28"/>
      <c r="L717" s="29"/>
      <c r="M717" s="29"/>
      <c r="N717" s="30"/>
      <c r="Y717" s="12"/>
      <c r="Z717" s="12"/>
    </row>
    <row r="718" spans="9:26" ht="13">
      <c r="I718" s="12"/>
      <c r="J718" s="12"/>
      <c r="K718" s="28"/>
      <c r="L718" s="29"/>
      <c r="M718" s="29"/>
      <c r="N718" s="30"/>
      <c r="Y718" s="12"/>
      <c r="Z718" s="12"/>
    </row>
    <row r="719" spans="9:26" ht="13">
      <c r="I719" s="12"/>
      <c r="J719" s="12"/>
      <c r="K719" s="28"/>
      <c r="L719" s="29"/>
      <c r="M719" s="29"/>
      <c r="N719" s="30"/>
      <c r="Y719" s="12"/>
      <c r="Z719" s="12"/>
    </row>
    <row r="720" spans="9:26" ht="13">
      <c r="I720" s="12"/>
      <c r="J720" s="12"/>
      <c r="K720" s="28"/>
      <c r="L720" s="29"/>
      <c r="M720" s="29"/>
      <c r="N720" s="30"/>
      <c r="Y720" s="12"/>
      <c r="Z720" s="12"/>
    </row>
    <row r="721" spans="9:26" ht="13">
      <c r="I721" s="12"/>
      <c r="J721" s="12"/>
      <c r="K721" s="28"/>
      <c r="L721" s="29"/>
      <c r="M721" s="29"/>
      <c r="N721" s="30"/>
      <c r="Y721" s="12"/>
      <c r="Z721" s="12"/>
    </row>
    <row r="722" spans="9:26" ht="13">
      <c r="I722" s="12"/>
      <c r="J722" s="12"/>
      <c r="K722" s="28"/>
      <c r="L722" s="29"/>
      <c r="M722" s="29"/>
      <c r="N722" s="30"/>
      <c r="Y722" s="12"/>
      <c r="Z722" s="12"/>
    </row>
    <row r="723" spans="9:26" ht="13">
      <c r="I723" s="12"/>
      <c r="J723" s="12"/>
      <c r="K723" s="28"/>
      <c r="L723" s="29"/>
      <c r="M723" s="29"/>
      <c r="N723" s="30"/>
      <c r="Y723" s="12"/>
      <c r="Z723" s="12"/>
    </row>
    <row r="724" spans="9:26" ht="13">
      <c r="I724" s="12"/>
      <c r="J724" s="12"/>
      <c r="K724" s="28"/>
      <c r="L724" s="29"/>
      <c r="M724" s="29"/>
      <c r="N724" s="30"/>
      <c r="Y724" s="12"/>
      <c r="Z724" s="12"/>
    </row>
    <row r="725" spans="9:26" ht="13">
      <c r="I725" s="12"/>
      <c r="J725" s="12"/>
      <c r="K725" s="28"/>
      <c r="L725" s="29"/>
      <c r="M725" s="29"/>
      <c r="N725" s="30"/>
      <c r="Y725" s="12"/>
      <c r="Z725" s="12"/>
    </row>
    <row r="726" spans="9:26" ht="13">
      <c r="I726" s="12"/>
      <c r="J726" s="12"/>
      <c r="K726" s="28"/>
      <c r="L726" s="29"/>
      <c r="M726" s="29"/>
      <c r="N726" s="30"/>
      <c r="Y726" s="12"/>
      <c r="Z726" s="12"/>
    </row>
    <row r="727" spans="9:26" ht="13">
      <c r="I727" s="12"/>
      <c r="J727" s="12"/>
      <c r="K727" s="28"/>
      <c r="L727" s="29"/>
      <c r="M727" s="29"/>
      <c r="N727" s="30"/>
      <c r="Y727" s="12"/>
      <c r="Z727" s="12"/>
    </row>
    <row r="728" spans="9:26" ht="13">
      <c r="I728" s="12"/>
      <c r="J728" s="12"/>
      <c r="K728" s="28"/>
      <c r="L728" s="29"/>
      <c r="M728" s="29"/>
      <c r="N728" s="30"/>
      <c r="Y728" s="12"/>
      <c r="Z728" s="12"/>
    </row>
    <row r="729" spans="9:26" ht="13">
      <c r="I729" s="12"/>
      <c r="J729" s="12"/>
      <c r="K729" s="28"/>
      <c r="L729" s="29"/>
      <c r="M729" s="29"/>
      <c r="N729" s="30"/>
      <c r="Y729" s="12"/>
      <c r="Z729" s="12"/>
    </row>
    <row r="730" spans="9:26" ht="13">
      <c r="I730" s="12"/>
      <c r="J730" s="12"/>
      <c r="K730" s="28"/>
      <c r="L730" s="29"/>
      <c r="M730" s="29"/>
      <c r="N730" s="30"/>
      <c r="Y730" s="12"/>
      <c r="Z730" s="12"/>
    </row>
    <row r="731" spans="9:26" ht="13">
      <c r="I731" s="12"/>
      <c r="J731" s="12"/>
      <c r="K731" s="28"/>
      <c r="L731" s="29"/>
      <c r="M731" s="29"/>
      <c r="N731" s="30"/>
      <c r="Y731" s="12"/>
      <c r="Z731" s="12"/>
    </row>
    <row r="732" spans="9:26" ht="13">
      <c r="I732" s="12"/>
      <c r="J732" s="12"/>
      <c r="K732" s="28"/>
      <c r="L732" s="29"/>
      <c r="M732" s="29"/>
      <c r="N732" s="30"/>
      <c r="Y732" s="12"/>
      <c r="Z732" s="12"/>
    </row>
    <row r="733" spans="9:26" ht="13">
      <c r="I733" s="12"/>
      <c r="J733" s="12"/>
      <c r="K733" s="28"/>
      <c r="L733" s="29"/>
      <c r="M733" s="29"/>
      <c r="N733" s="30"/>
      <c r="Y733" s="12"/>
      <c r="Z733" s="12"/>
    </row>
    <row r="734" spans="9:26" ht="13">
      <c r="I734" s="12"/>
      <c r="J734" s="12"/>
      <c r="K734" s="28"/>
      <c r="L734" s="29"/>
      <c r="M734" s="29"/>
      <c r="N734" s="30"/>
      <c r="Y734" s="12"/>
      <c r="Z734" s="12"/>
    </row>
    <row r="735" spans="9:26" ht="13">
      <c r="I735" s="12"/>
      <c r="J735" s="12"/>
      <c r="K735" s="28"/>
      <c r="L735" s="29"/>
      <c r="M735" s="29"/>
      <c r="N735" s="30"/>
      <c r="Y735" s="12"/>
      <c r="Z735" s="12"/>
    </row>
    <row r="736" spans="9:26" ht="13">
      <c r="I736" s="12"/>
      <c r="J736" s="12"/>
      <c r="K736" s="28"/>
      <c r="L736" s="29"/>
      <c r="M736" s="29"/>
      <c r="N736" s="30"/>
      <c r="Y736" s="12"/>
      <c r="Z736" s="12"/>
    </row>
    <row r="737" spans="9:26" ht="13">
      <c r="I737" s="12"/>
      <c r="J737" s="12"/>
      <c r="K737" s="28"/>
      <c r="L737" s="29"/>
      <c r="M737" s="29"/>
      <c r="N737" s="30"/>
      <c r="Y737" s="12"/>
      <c r="Z737" s="12"/>
    </row>
    <row r="738" spans="9:26" ht="13">
      <c r="I738" s="12"/>
      <c r="J738" s="12"/>
      <c r="K738" s="28"/>
      <c r="L738" s="29"/>
      <c r="M738" s="29"/>
      <c r="N738" s="30"/>
      <c r="Y738" s="12"/>
      <c r="Z738" s="12"/>
    </row>
    <row r="739" spans="9:26" ht="13">
      <c r="I739" s="12"/>
      <c r="J739" s="12"/>
      <c r="K739" s="28"/>
      <c r="L739" s="29"/>
      <c r="M739" s="29"/>
      <c r="N739" s="30"/>
      <c r="Y739" s="12"/>
      <c r="Z739" s="12"/>
    </row>
    <row r="740" spans="9:26" ht="13">
      <c r="I740" s="12"/>
      <c r="J740" s="12"/>
      <c r="K740" s="28"/>
      <c r="L740" s="29"/>
      <c r="M740" s="29"/>
      <c r="N740" s="30"/>
      <c r="Y740" s="12"/>
      <c r="Z740" s="12"/>
    </row>
    <row r="741" spans="9:26" ht="13">
      <c r="I741" s="12"/>
      <c r="J741" s="12"/>
      <c r="K741" s="28"/>
      <c r="L741" s="29"/>
      <c r="M741" s="29"/>
      <c r="N741" s="30"/>
      <c r="Y741" s="12"/>
      <c r="Z741" s="12"/>
    </row>
    <row r="742" spans="9:26" ht="13">
      <c r="I742" s="12"/>
      <c r="J742" s="12"/>
      <c r="K742" s="28"/>
      <c r="L742" s="29"/>
      <c r="M742" s="29"/>
      <c r="N742" s="30"/>
      <c r="Y742" s="12"/>
      <c r="Z742" s="12"/>
    </row>
    <row r="743" spans="9:26" ht="13">
      <c r="I743" s="12"/>
      <c r="J743" s="12"/>
      <c r="K743" s="28"/>
      <c r="L743" s="29"/>
      <c r="M743" s="29"/>
      <c r="N743" s="30"/>
      <c r="Y743" s="12"/>
      <c r="Z743" s="12"/>
    </row>
    <row r="744" spans="9:26" ht="13">
      <c r="I744" s="12"/>
      <c r="J744" s="12"/>
      <c r="K744" s="28"/>
      <c r="L744" s="29"/>
      <c r="M744" s="29"/>
      <c r="N744" s="30"/>
      <c r="Y744" s="12"/>
      <c r="Z744" s="12"/>
    </row>
    <row r="745" spans="9:26" ht="13">
      <c r="I745" s="12"/>
      <c r="J745" s="12"/>
      <c r="K745" s="28"/>
      <c r="L745" s="29"/>
      <c r="M745" s="29"/>
      <c r="N745" s="30"/>
      <c r="Y745" s="12"/>
      <c r="Z745" s="12"/>
    </row>
    <row r="746" spans="9:26" ht="13">
      <c r="I746" s="12"/>
      <c r="J746" s="12"/>
      <c r="K746" s="28"/>
      <c r="L746" s="29"/>
      <c r="M746" s="29"/>
      <c r="N746" s="30"/>
      <c r="Y746" s="12"/>
      <c r="Z746" s="12"/>
    </row>
    <row r="747" spans="9:26" ht="13">
      <c r="I747" s="12"/>
      <c r="J747" s="12"/>
      <c r="K747" s="28"/>
      <c r="L747" s="29"/>
      <c r="M747" s="29"/>
      <c r="N747" s="30"/>
      <c r="Y747" s="12"/>
      <c r="Z747" s="12"/>
    </row>
    <row r="748" spans="9:26" ht="13">
      <c r="I748" s="12"/>
      <c r="J748" s="12"/>
      <c r="K748" s="28"/>
      <c r="L748" s="29"/>
      <c r="M748" s="29"/>
      <c r="N748" s="30"/>
      <c r="Y748" s="12"/>
      <c r="Z748" s="12"/>
    </row>
    <row r="749" spans="9:26" ht="13">
      <c r="I749" s="12"/>
      <c r="J749" s="12"/>
      <c r="K749" s="28"/>
      <c r="L749" s="29"/>
      <c r="M749" s="29"/>
      <c r="N749" s="30"/>
      <c r="Y749" s="12"/>
      <c r="Z749" s="12"/>
    </row>
    <row r="750" spans="9:26" ht="13">
      <c r="I750" s="12"/>
      <c r="J750" s="12"/>
      <c r="K750" s="28"/>
      <c r="L750" s="29"/>
      <c r="M750" s="29"/>
      <c r="N750" s="30"/>
      <c r="Y750" s="12"/>
      <c r="Z750" s="12"/>
    </row>
    <row r="751" spans="9:26" ht="13">
      <c r="I751" s="12"/>
      <c r="J751" s="12"/>
      <c r="K751" s="28"/>
      <c r="L751" s="29"/>
      <c r="M751" s="29"/>
      <c r="N751" s="30"/>
      <c r="Y751" s="12"/>
      <c r="Z751" s="12"/>
    </row>
    <row r="752" spans="9:26" ht="13">
      <c r="I752" s="12"/>
      <c r="J752" s="12"/>
      <c r="K752" s="28"/>
      <c r="L752" s="29"/>
      <c r="M752" s="29"/>
      <c r="N752" s="30"/>
      <c r="Y752" s="12"/>
      <c r="Z752" s="12"/>
    </row>
    <row r="753" spans="9:26" ht="13">
      <c r="I753" s="12"/>
      <c r="J753" s="12"/>
      <c r="K753" s="28"/>
      <c r="L753" s="29"/>
      <c r="M753" s="29"/>
      <c r="N753" s="30"/>
      <c r="Y753" s="12"/>
      <c r="Z753" s="12"/>
    </row>
    <row r="754" spans="9:26" ht="13">
      <c r="I754" s="12"/>
      <c r="J754" s="12"/>
      <c r="K754" s="28"/>
      <c r="L754" s="29"/>
      <c r="M754" s="29"/>
      <c r="N754" s="30"/>
      <c r="Y754" s="12"/>
      <c r="Z754" s="12"/>
    </row>
    <row r="755" spans="9:26" ht="13">
      <c r="I755" s="12"/>
      <c r="J755" s="12"/>
      <c r="K755" s="28"/>
      <c r="L755" s="29"/>
      <c r="M755" s="29"/>
      <c r="N755" s="30"/>
      <c r="Y755" s="12"/>
      <c r="Z755" s="12"/>
    </row>
    <row r="756" spans="9:26" ht="13">
      <c r="I756" s="12"/>
      <c r="J756" s="12"/>
      <c r="K756" s="28"/>
      <c r="L756" s="29"/>
      <c r="M756" s="29"/>
      <c r="N756" s="30"/>
      <c r="Y756" s="12"/>
      <c r="Z756" s="12"/>
    </row>
    <row r="757" spans="9:26" ht="13">
      <c r="I757" s="12"/>
      <c r="J757" s="12"/>
      <c r="K757" s="28"/>
      <c r="L757" s="29"/>
      <c r="M757" s="29"/>
      <c r="N757" s="30"/>
      <c r="Y757" s="12"/>
      <c r="Z757" s="12"/>
    </row>
    <row r="758" spans="9:26" ht="13">
      <c r="I758" s="12"/>
      <c r="J758" s="12"/>
      <c r="K758" s="28"/>
      <c r="L758" s="29"/>
      <c r="M758" s="29"/>
      <c r="N758" s="30"/>
      <c r="Y758" s="12"/>
      <c r="Z758" s="12"/>
    </row>
    <row r="759" spans="9:26" ht="13">
      <c r="I759" s="12"/>
      <c r="J759" s="12"/>
      <c r="K759" s="28"/>
      <c r="L759" s="29"/>
      <c r="M759" s="29"/>
      <c r="N759" s="30"/>
      <c r="Y759" s="12"/>
      <c r="Z759" s="12"/>
    </row>
    <row r="760" spans="9:26" ht="13">
      <c r="I760" s="12"/>
      <c r="J760" s="12"/>
      <c r="K760" s="28"/>
      <c r="L760" s="29"/>
      <c r="M760" s="29"/>
      <c r="N760" s="30"/>
      <c r="Y760" s="12"/>
      <c r="Z760" s="12"/>
    </row>
    <row r="761" spans="9:26" ht="13">
      <c r="I761" s="12"/>
      <c r="J761" s="12"/>
      <c r="K761" s="28"/>
      <c r="L761" s="29"/>
      <c r="M761" s="29"/>
      <c r="N761" s="30"/>
      <c r="Y761" s="12"/>
      <c r="Z761" s="12"/>
    </row>
    <row r="762" spans="9:26" ht="13">
      <c r="I762" s="12"/>
      <c r="J762" s="12"/>
      <c r="K762" s="28"/>
      <c r="L762" s="29"/>
      <c r="M762" s="29"/>
      <c r="N762" s="30"/>
      <c r="Y762" s="12"/>
      <c r="Z762" s="12"/>
    </row>
    <row r="763" spans="9:26" ht="13">
      <c r="I763" s="12"/>
      <c r="J763" s="12"/>
      <c r="K763" s="28"/>
      <c r="L763" s="29"/>
      <c r="M763" s="29"/>
      <c r="N763" s="30"/>
      <c r="Y763" s="12"/>
      <c r="Z763" s="12"/>
    </row>
    <row r="764" spans="9:26" ht="13">
      <c r="I764" s="12"/>
      <c r="J764" s="12"/>
      <c r="K764" s="28"/>
      <c r="L764" s="29"/>
      <c r="M764" s="29"/>
      <c r="N764" s="30"/>
      <c r="Y764" s="12"/>
      <c r="Z764" s="12"/>
    </row>
    <row r="765" spans="9:26" ht="13">
      <c r="I765" s="12"/>
      <c r="J765" s="12"/>
      <c r="K765" s="28"/>
      <c r="L765" s="29"/>
      <c r="M765" s="29"/>
      <c r="N765" s="30"/>
      <c r="Y765" s="12"/>
      <c r="Z765" s="12"/>
    </row>
    <row r="766" spans="9:26" ht="13">
      <c r="I766" s="12"/>
      <c r="J766" s="12"/>
      <c r="K766" s="28"/>
      <c r="L766" s="29"/>
      <c r="M766" s="29"/>
      <c r="N766" s="30"/>
      <c r="Y766" s="12"/>
      <c r="Z766" s="12"/>
    </row>
    <row r="767" spans="9:26" ht="13">
      <c r="I767" s="12"/>
      <c r="J767" s="12"/>
      <c r="K767" s="28"/>
      <c r="L767" s="29"/>
      <c r="M767" s="29"/>
      <c r="N767" s="30"/>
      <c r="Y767" s="12"/>
      <c r="Z767" s="12"/>
    </row>
    <row r="768" spans="9:26" ht="13">
      <c r="I768" s="12"/>
      <c r="J768" s="12"/>
      <c r="K768" s="28"/>
      <c r="L768" s="29"/>
      <c r="M768" s="29"/>
      <c r="N768" s="30"/>
      <c r="Y768" s="12"/>
      <c r="Z768" s="12"/>
    </row>
    <row r="769" spans="9:26" ht="13">
      <c r="I769" s="12"/>
      <c r="J769" s="12"/>
      <c r="K769" s="28"/>
      <c r="L769" s="29"/>
      <c r="M769" s="29"/>
      <c r="N769" s="30"/>
      <c r="Y769" s="12"/>
      <c r="Z769" s="12"/>
    </row>
    <row r="770" spans="9:26" ht="13">
      <c r="I770" s="12"/>
      <c r="J770" s="12"/>
      <c r="K770" s="28"/>
      <c r="L770" s="29"/>
      <c r="M770" s="29"/>
      <c r="N770" s="30"/>
      <c r="Y770" s="12"/>
      <c r="Z770" s="12"/>
    </row>
    <row r="771" spans="9:26" ht="13">
      <c r="I771" s="12"/>
      <c r="J771" s="12"/>
      <c r="K771" s="28"/>
      <c r="L771" s="29"/>
      <c r="M771" s="29"/>
      <c r="N771" s="30"/>
      <c r="Y771" s="12"/>
      <c r="Z771" s="12"/>
    </row>
    <row r="772" spans="9:26" ht="13">
      <c r="I772" s="12"/>
      <c r="J772" s="12"/>
      <c r="K772" s="28"/>
      <c r="L772" s="29"/>
      <c r="M772" s="29"/>
      <c r="N772" s="30"/>
      <c r="Y772" s="12"/>
      <c r="Z772" s="12"/>
    </row>
    <row r="773" spans="9:26" ht="13">
      <c r="I773" s="12"/>
      <c r="J773" s="12"/>
      <c r="K773" s="28"/>
      <c r="L773" s="29"/>
      <c r="M773" s="29"/>
      <c r="N773" s="30"/>
      <c r="Y773" s="12"/>
      <c r="Z773" s="12"/>
    </row>
    <row r="774" spans="9:26" ht="13">
      <c r="I774" s="12"/>
      <c r="J774" s="12"/>
      <c r="K774" s="28"/>
      <c r="L774" s="29"/>
      <c r="M774" s="29"/>
      <c r="N774" s="30"/>
      <c r="Y774" s="12"/>
      <c r="Z774" s="12"/>
    </row>
    <row r="775" spans="9:26" ht="13">
      <c r="I775" s="12"/>
      <c r="J775" s="12"/>
      <c r="K775" s="28"/>
      <c r="L775" s="29"/>
      <c r="M775" s="29"/>
      <c r="N775" s="30"/>
      <c r="Y775" s="12"/>
      <c r="Z775" s="12"/>
    </row>
    <row r="776" spans="9:26" ht="13">
      <c r="I776" s="12"/>
      <c r="J776" s="12"/>
      <c r="K776" s="28"/>
      <c r="L776" s="29"/>
      <c r="M776" s="29"/>
      <c r="N776" s="30"/>
      <c r="Y776" s="12"/>
      <c r="Z776" s="12"/>
    </row>
    <row r="777" spans="9:26" ht="13">
      <c r="I777" s="12"/>
      <c r="J777" s="12"/>
      <c r="K777" s="28"/>
      <c r="L777" s="29"/>
      <c r="M777" s="29"/>
      <c r="N777" s="30"/>
      <c r="Y777" s="12"/>
      <c r="Z777" s="12"/>
    </row>
    <row r="778" spans="9:26" ht="13">
      <c r="I778" s="12"/>
      <c r="J778" s="12"/>
      <c r="K778" s="28"/>
      <c r="L778" s="29"/>
      <c r="M778" s="29"/>
      <c r="N778" s="30"/>
      <c r="Y778" s="12"/>
      <c r="Z778" s="12"/>
    </row>
    <row r="779" spans="9:26" ht="13">
      <c r="I779" s="12"/>
      <c r="J779" s="12"/>
      <c r="K779" s="28"/>
      <c r="L779" s="29"/>
      <c r="M779" s="29"/>
      <c r="N779" s="30"/>
      <c r="Y779" s="12"/>
      <c r="Z779" s="12"/>
    </row>
    <row r="780" spans="9:26" ht="13">
      <c r="I780" s="12"/>
      <c r="J780" s="12"/>
      <c r="K780" s="28"/>
      <c r="L780" s="29"/>
      <c r="M780" s="29"/>
      <c r="N780" s="30"/>
      <c r="Y780" s="12"/>
      <c r="Z780" s="12"/>
    </row>
    <row r="781" spans="9:26" ht="13">
      <c r="I781" s="12"/>
      <c r="J781" s="12"/>
      <c r="K781" s="28"/>
      <c r="L781" s="29"/>
      <c r="M781" s="29"/>
      <c r="N781" s="30"/>
      <c r="Y781" s="12"/>
      <c r="Z781" s="12"/>
    </row>
    <row r="782" spans="9:26" ht="13">
      <c r="I782" s="12"/>
      <c r="J782" s="12"/>
      <c r="K782" s="28"/>
      <c r="L782" s="29"/>
      <c r="M782" s="29"/>
      <c r="N782" s="30"/>
      <c r="Y782" s="12"/>
      <c r="Z782" s="12"/>
    </row>
    <row r="783" spans="9:26" ht="13">
      <c r="I783" s="12"/>
      <c r="J783" s="12"/>
      <c r="K783" s="28"/>
      <c r="L783" s="29"/>
      <c r="M783" s="29"/>
      <c r="N783" s="30"/>
      <c r="Y783" s="12"/>
      <c r="Z783" s="12"/>
    </row>
    <row r="784" spans="9:26" ht="13">
      <c r="I784" s="12"/>
      <c r="J784" s="12"/>
      <c r="K784" s="28"/>
      <c r="L784" s="29"/>
      <c r="M784" s="29"/>
      <c r="N784" s="30"/>
      <c r="Y784" s="12"/>
      <c r="Z784" s="12"/>
    </row>
    <row r="785" spans="9:26" ht="13">
      <c r="I785" s="12"/>
      <c r="J785" s="12"/>
      <c r="K785" s="28"/>
      <c r="L785" s="29"/>
      <c r="M785" s="29"/>
      <c r="N785" s="30"/>
      <c r="Y785" s="12"/>
      <c r="Z785" s="12"/>
    </row>
    <row r="786" spans="9:26" ht="13">
      <c r="I786" s="12"/>
      <c r="J786" s="12"/>
      <c r="K786" s="28"/>
      <c r="L786" s="29"/>
      <c r="M786" s="29"/>
      <c r="N786" s="30"/>
      <c r="Y786" s="12"/>
      <c r="Z786" s="12"/>
    </row>
    <row r="787" spans="9:26" ht="13">
      <c r="I787" s="12"/>
      <c r="J787" s="12"/>
      <c r="K787" s="28"/>
      <c r="L787" s="29"/>
      <c r="M787" s="29"/>
      <c r="N787" s="30"/>
      <c r="Y787" s="12"/>
      <c r="Z787" s="12"/>
    </row>
    <row r="788" spans="9:26" ht="13">
      <c r="I788" s="12"/>
      <c r="J788" s="12"/>
      <c r="K788" s="28"/>
      <c r="L788" s="29"/>
      <c r="M788" s="29"/>
      <c r="N788" s="30"/>
      <c r="Y788" s="12"/>
      <c r="Z788" s="12"/>
    </row>
    <row r="789" spans="9:26" ht="13">
      <c r="I789" s="12"/>
      <c r="J789" s="12"/>
      <c r="K789" s="28"/>
      <c r="L789" s="29"/>
      <c r="M789" s="29"/>
      <c r="N789" s="30"/>
      <c r="Y789" s="12"/>
      <c r="Z789" s="12"/>
    </row>
    <row r="790" spans="9:26" ht="13">
      <c r="I790" s="12"/>
      <c r="J790" s="12"/>
      <c r="K790" s="28"/>
      <c r="L790" s="29"/>
      <c r="M790" s="29"/>
      <c r="N790" s="30"/>
      <c r="Y790" s="12"/>
      <c r="Z790" s="12"/>
    </row>
    <row r="791" spans="9:26" ht="13">
      <c r="I791" s="12"/>
      <c r="J791" s="12"/>
      <c r="K791" s="28"/>
      <c r="L791" s="29"/>
      <c r="M791" s="29"/>
      <c r="N791" s="30"/>
      <c r="Y791" s="12"/>
      <c r="Z791" s="12"/>
    </row>
    <row r="792" spans="9:26" ht="13">
      <c r="I792" s="12"/>
      <c r="J792" s="12"/>
      <c r="K792" s="28"/>
      <c r="L792" s="29"/>
      <c r="M792" s="29"/>
      <c r="N792" s="30"/>
      <c r="Y792" s="12"/>
      <c r="Z792" s="12"/>
    </row>
    <row r="793" spans="9:26" ht="13">
      <c r="I793" s="12"/>
      <c r="J793" s="12"/>
      <c r="K793" s="28"/>
      <c r="L793" s="29"/>
      <c r="M793" s="29"/>
      <c r="N793" s="30"/>
      <c r="Y793" s="12"/>
      <c r="Z793" s="12"/>
    </row>
    <row r="794" spans="9:26" ht="13">
      <c r="I794" s="12"/>
      <c r="J794" s="12"/>
      <c r="K794" s="28"/>
      <c r="L794" s="29"/>
      <c r="M794" s="29"/>
      <c r="N794" s="30"/>
      <c r="Y794" s="12"/>
      <c r="Z794" s="12"/>
    </row>
    <row r="795" spans="9:26" ht="13">
      <c r="I795" s="12"/>
      <c r="J795" s="12"/>
      <c r="K795" s="28"/>
      <c r="L795" s="29"/>
      <c r="M795" s="29"/>
      <c r="N795" s="30"/>
      <c r="Y795" s="12"/>
      <c r="Z795" s="12"/>
    </row>
    <row r="796" spans="9:26" ht="13">
      <c r="I796" s="12"/>
      <c r="J796" s="12"/>
      <c r="K796" s="28"/>
      <c r="L796" s="29"/>
      <c r="M796" s="29"/>
      <c r="N796" s="30"/>
      <c r="Y796" s="12"/>
      <c r="Z796" s="12"/>
    </row>
    <row r="797" spans="9:26" ht="13">
      <c r="I797" s="12"/>
      <c r="J797" s="12"/>
      <c r="K797" s="28"/>
      <c r="L797" s="29"/>
      <c r="M797" s="29"/>
      <c r="N797" s="30"/>
      <c r="Y797" s="12"/>
      <c r="Z797" s="12"/>
    </row>
    <row r="798" spans="9:26" ht="13">
      <c r="I798" s="12"/>
      <c r="J798" s="12"/>
      <c r="K798" s="28"/>
      <c r="L798" s="29"/>
      <c r="M798" s="29"/>
      <c r="N798" s="30"/>
      <c r="Y798" s="12"/>
      <c r="Z798" s="12"/>
    </row>
    <row r="799" spans="9:26" ht="13">
      <c r="I799" s="12"/>
      <c r="J799" s="12"/>
      <c r="K799" s="28"/>
      <c r="L799" s="29"/>
      <c r="M799" s="29"/>
      <c r="N799" s="30"/>
      <c r="Y799" s="12"/>
      <c r="Z799" s="12"/>
    </row>
    <row r="800" spans="9:26" ht="13">
      <c r="I800" s="12"/>
      <c r="J800" s="12"/>
      <c r="K800" s="28"/>
      <c r="L800" s="29"/>
      <c r="M800" s="29"/>
      <c r="N800" s="30"/>
      <c r="Y800" s="12"/>
      <c r="Z800" s="12"/>
    </row>
    <row r="801" spans="9:26" ht="13">
      <c r="I801" s="12"/>
      <c r="J801" s="12"/>
      <c r="K801" s="28"/>
      <c r="L801" s="29"/>
      <c r="M801" s="29"/>
      <c r="N801" s="30"/>
      <c r="Y801" s="12"/>
      <c r="Z801" s="12"/>
    </row>
    <row r="802" spans="9:26" ht="13">
      <c r="I802" s="12"/>
      <c r="J802" s="12"/>
      <c r="K802" s="28"/>
      <c r="L802" s="29"/>
      <c r="M802" s="29"/>
      <c r="N802" s="30"/>
      <c r="Y802" s="12"/>
      <c r="Z802" s="12"/>
    </row>
    <row r="803" spans="9:26" ht="13">
      <c r="I803" s="12"/>
      <c r="J803" s="12"/>
      <c r="K803" s="28"/>
      <c r="L803" s="29"/>
      <c r="M803" s="29"/>
      <c r="N803" s="30"/>
      <c r="Y803" s="12"/>
      <c r="Z803" s="12"/>
    </row>
    <row r="804" spans="9:26" ht="13">
      <c r="I804" s="12"/>
      <c r="J804" s="12"/>
      <c r="K804" s="28"/>
      <c r="L804" s="29"/>
      <c r="M804" s="29"/>
      <c r="N804" s="30"/>
      <c r="Y804" s="12"/>
      <c r="Z804" s="12"/>
    </row>
    <row r="805" spans="9:26" ht="13">
      <c r="I805" s="12"/>
      <c r="J805" s="12"/>
      <c r="K805" s="28"/>
      <c r="L805" s="29"/>
      <c r="M805" s="29"/>
      <c r="N805" s="30"/>
      <c r="Y805" s="12"/>
      <c r="Z805" s="12"/>
    </row>
    <row r="806" spans="9:26" ht="13">
      <c r="I806" s="12"/>
      <c r="J806" s="12"/>
      <c r="K806" s="28"/>
      <c r="L806" s="29"/>
      <c r="M806" s="29"/>
      <c r="N806" s="30"/>
      <c r="Y806" s="12"/>
      <c r="Z806" s="12"/>
    </row>
    <row r="807" spans="9:26" ht="13">
      <c r="I807" s="12"/>
      <c r="J807" s="12"/>
      <c r="K807" s="28"/>
      <c r="L807" s="29"/>
      <c r="M807" s="29"/>
      <c r="N807" s="30"/>
      <c r="Y807" s="12"/>
      <c r="Z807" s="12"/>
    </row>
    <row r="808" spans="9:26" ht="13">
      <c r="I808" s="12"/>
      <c r="J808" s="12"/>
      <c r="K808" s="28"/>
      <c r="L808" s="29"/>
      <c r="M808" s="29"/>
      <c r="N808" s="30"/>
      <c r="Y808" s="12"/>
      <c r="Z808" s="12"/>
    </row>
    <row r="809" spans="9:26" ht="13">
      <c r="I809" s="12"/>
      <c r="J809" s="12"/>
      <c r="K809" s="28"/>
      <c r="L809" s="29"/>
      <c r="M809" s="29"/>
      <c r="N809" s="30"/>
      <c r="Y809" s="12"/>
      <c r="Z809" s="12"/>
    </row>
    <row r="810" spans="9:26" ht="13">
      <c r="I810" s="12"/>
      <c r="J810" s="12"/>
      <c r="K810" s="28"/>
      <c r="L810" s="29"/>
      <c r="M810" s="29"/>
      <c r="N810" s="30"/>
      <c r="Y810" s="12"/>
      <c r="Z810" s="12"/>
    </row>
    <row r="811" spans="9:26" ht="13">
      <c r="I811" s="12"/>
      <c r="J811" s="12"/>
      <c r="K811" s="28"/>
      <c r="L811" s="29"/>
      <c r="M811" s="29"/>
      <c r="N811" s="30"/>
      <c r="Y811" s="12"/>
      <c r="Z811" s="12"/>
    </row>
    <row r="812" spans="9:26" ht="13">
      <c r="I812" s="12"/>
      <c r="J812" s="12"/>
      <c r="K812" s="28"/>
      <c r="L812" s="29"/>
      <c r="M812" s="29"/>
      <c r="N812" s="30"/>
      <c r="Y812" s="12"/>
      <c r="Z812" s="12"/>
    </row>
    <row r="813" spans="9:26" ht="13">
      <c r="I813" s="12"/>
      <c r="J813" s="12"/>
      <c r="K813" s="28"/>
      <c r="L813" s="29"/>
      <c r="M813" s="29"/>
      <c r="N813" s="30"/>
      <c r="Y813" s="12"/>
      <c r="Z813" s="12"/>
    </row>
    <row r="814" spans="9:26" ht="13">
      <c r="I814" s="12"/>
      <c r="J814" s="12"/>
      <c r="K814" s="28"/>
      <c r="L814" s="29"/>
      <c r="M814" s="29"/>
      <c r="N814" s="30"/>
      <c r="Y814" s="12"/>
      <c r="Z814" s="12"/>
    </row>
    <row r="815" spans="9:26" ht="13">
      <c r="I815" s="12"/>
      <c r="J815" s="12"/>
      <c r="K815" s="28"/>
      <c r="L815" s="29"/>
      <c r="M815" s="29"/>
      <c r="N815" s="30"/>
      <c r="Y815" s="12"/>
      <c r="Z815" s="12"/>
    </row>
    <row r="816" spans="9:26" ht="13">
      <c r="I816" s="12"/>
      <c r="J816" s="12"/>
      <c r="K816" s="28"/>
      <c r="L816" s="29"/>
      <c r="M816" s="29"/>
      <c r="N816" s="30"/>
      <c r="Y816" s="12"/>
      <c r="Z816" s="12"/>
    </row>
    <row r="817" spans="9:26" ht="13">
      <c r="I817" s="12"/>
      <c r="J817" s="12"/>
      <c r="K817" s="28"/>
      <c r="L817" s="29"/>
      <c r="M817" s="29"/>
      <c r="N817" s="30"/>
      <c r="Y817" s="12"/>
      <c r="Z817" s="12"/>
    </row>
    <row r="818" spans="9:26" ht="13">
      <c r="I818" s="12"/>
      <c r="J818" s="12"/>
      <c r="K818" s="28"/>
      <c r="L818" s="29"/>
      <c r="M818" s="29"/>
      <c r="N818" s="30"/>
      <c r="Y818" s="12"/>
      <c r="Z818" s="12"/>
    </row>
    <row r="819" spans="9:26" ht="13">
      <c r="I819" s="12"/>
      <c r="J819" s="12"/>
      <c r="K819" s="28"/>
      <c r="L819" s="29"/>
      <c r="M819" s="29"/>
      <c r="N819" s="30"/>
      <c r="Y819" s="12"/>
      <c r="Z819" s="12"/>
    </row>
    <row r="820" spans="9:26" ht="13">
      <c r="I820" s="12"/>
      <c r="J820" s="12"/>
      <c r="K820" s="28"/>
      <c r="L820" s="29"/>
      <c r="M820" s="29"/>
      <c r="N820" s="30"/>
      <c r="Y820" s="12"/>
      <c r="Z820" s="12"/>
    </row>
    <row r="821" spans="9:26" ht="13">
      <c r="I821" s="12"/>
      <c r="J821" s="12"/>
      <c r="K821" s="28"/>
      <c r="L821" s="29"/>
      <c r="M821" s="29"/>
      <c r="N821" s="30"/>
      <c r="Y821" s="12"/>
      <c r="Z821" s="12"/>
    </row>
    <row r="822" spans="9:26" ht="13">
      <c r="I822" s="12"/>
      <c r="J822" s="12"/>
      <c r="K822" s="28"/>
      <c r="L822" s="29"/>
      <c r="M822" s="29"/>
      <c r="N822" s="30"/>
      <c r="Y822" s="12"/>
      <c r="Z822" s="12"/>
    </row>
    <row r="823" spans="9:26" ht="13">
      <c r="I823" s="12"/>
      <c r="J823" s="12"/>
      <c r="K823" s="28"/>
      <c r="L823" s="29"/>
      <c r="M823" s="29"/>
      <c r="N823" s="30"/>
      <c r="Y823" s="12"/>
      <c r="Z823" s="12"/>
    </row>
    <row r="824" spans="9:26" ht="13">
      <c r="I824" s="12"/>
      <c r="J824" s="12"/>
      <c r="K824" s="28"/>
      <c r="L824" s="29"/>
      <c r="M824" s="29"/>
      <c r="N824" s="30"/>
      <c r="Y824" s="12"/>
      <c r="Z824" s="12"/>
    </row>
    <row r="825" spans="9:26" ht="13">
      <c r="I825" s="12"/>
      <c r="J825" s="12"/>
      <c r="K825" s="28"/>
      <c r="L825" s="29"/>
      <c r="M825" s="29"/>
      <c r="N825" s="30"/>
      <c r="Y825" s="12"/>
      <c r="Z825" s="12"/>
    </row>
    <row r="826" spans="9:26" ht="13">
      <c r="I826" s="12"/>
      <c r="J826" s="12"/>
      <c r="K826" s="28"/>
      <c r="L826" s="29"/>
      <c r="M826" s="29"/>
      <c r="N826" s="30"/>
      <c r="Y826" s="12"/>
      <c r="Z826" s="12"/>
    </row>
    <row r="827" spans="9:26" ht="13">
      <c r="I827" s="12"/>
      <c r="J827" s="12"/>
      <c r="K827" s="28"/>
      <c r="L827" s="29"/>
      <c r="M827" s="29"/>
      <c r="N827" s="30"/>
      <c r="Y827" s="12"/>
      <c r="Z827" s="12"/>
    </row>
    <row r="828" spans="9:26" ht="13">
      <c r="I828" s="12"/>
      <c r="J828" s="12"/>
      <c r="K828" s="28"/>
      <c r="L828" s="29"/>
      <c r="M828" s="29"/>
      <c r="N828" s="30"/>
      <c r="Y828" s="12"/>
      <c r="Z828" s="12"/>
    </row>
    <row r="829" spans="9:26" ht="13">
      <c r="I829" s="12"/>
      <c r="J829" s="12"/>
      <c r="K829" s="28"/>
      <c r="L829" s="29"/>
      <c r="M829" s="29"/>
      <c r="N829" s="30"/>
      <c r="Y829" s="12"/>
      <c r="Z829" s="12"/>
    </row>
    <row r="830" spans="9:26" ht="13">
      <c r="I830" s="12"/>
      <c r="J830" s="12"/>
      <c r="K830" s="28"/>
      <c r="L830" s="29"/>
      <c r="M830" s="29"/>
      <c r="N830" s="30"/>
      <c r="Y830" s="12"/>
      <c r="Z830" s="12"/>
    </row>
    <row r="831" spans="9:26" ht="13">
      <c r="I831" s="12"/>
      <c r="J831" s="12"/>
      <c r="K831" s="28"/>
      <c r="L831" s="29"/>
      <c r="M831" s="29"/>
      <c r="N831" s="30"/>
      <c r="Y831" s="12"/>
      <c r="Z831" s="12"/>
    </row>
    <row r="832" spans="9:26" ht="13">
      <c r="I832" s="12"/>
      <c r="J832" s="12"/>
      <c r="K832" s="28"/>
      <c r="L832" s="29"/>
      <c r="M832" s="29"/>
      <c r="N832" s="30"/>
      <c r="Y832" s="12"/>
      <c r="Z832" s="12"/>
    </row>
    <row r="833" spans="9:26" ht="13">
      <c r="I833" s="12"/>
      <c r="J833" s="12"/>
      <c r="K833" s="28"/>
      <c r="L833" s="29"/>
      <c r="M833" s="29"/>
      <c r="N833" s="30"/>
      <c r="Y833" s="12"/>
      <c r="Z833" s="12"/>
    </row>
    <row r="834" spans="9:26" ht="13">
      <c r="I834" s="12"/>
      <c r="J834" s="12"/>
      <c r="K834" s="28"/>
      <c r="L834" s="29"/>
      <c r="M834" s="29"/>
      <c r="N834" s="30"/>
      <c r="Y834" s="12"/>
      <c r="Z834" s="12"/>
    </row>
    <row r="835" spans="9:26" ht="13">
      <c r="I835" s="12"/>
      <c r="J835" s="12"/>
      <c r="K835" s="28"/>
      <c r="L835" s="29"/>
      <c r="M835" s="29"/>
      <c r="N835" s="30"/>
      <c r="Y835" s="12"/>
      <c r="Z835" s="12"/>
    </row>
    <row r="836" spans="9:26" ht="13">
      <c r="I836" s="12"/>
      <c r="J836" s="12"/>
      <c r="K836" s="28"/>
      <c r="L836" s="29"/>
      <c r="M836" s="29"/>
      <c r="N836" s="30"/>
      <c r="Y836" s="12"/>
      <c r="Z836" s="12"/>
    </row>
    <row r="837" spans="9:26" ht="13">
      <c r="I837" s="12"/>
      <c r="J837" s="12"/>
      <c r="K837" s="28"/>
      <c r="L837" s="29"/>
      <c r="M837" s="29"/>
      <c r="N837" s="30"/>
      <c r="Y837" s="12"/>
      <c r="Z837" s="12"/>
    </row>
    <row r="838" spans="9:26" ht="13">
      <c r="I838" s="12"/>
      <c r="J838" s="12"/>
      <c r="K838" s="28"/>
      <c r="L838" s="29"/>
      <c r="M838" s="29"/>
      <c r="N838" s="30"/>
      <c r="Y838" s="12"/>
      <c r="Z838" s="12"/>
    </row>
    <row r="839" spans="9:26" ht="13">
      <c r="I839" s="12"/>
      <c r="J839" s="12"/>
      <c r="K839" s="28"/>
      <c r="L839" s="29"/>
      <c r="M839" s="29"/>
      <c r="N839" s="30"/>
      <c r="Y839" s="12"/>
      <c r="Z839" s="12"/>
    </row>
    <row r="840" spans="9:26" ht="13">
      <c r="I840" s="12"/>
      <c r="J840" s="12"/>
      <c r="K840" s="28"/>
      <c r="L840" s="29"/>
      <c r="M840" s="29"/>
      <c r="N840" s="30"/>
      <c r="Y840" s="12"/>
      <c r="Z840" s="12"/>
    </row>
    <row r="841" spans="9:26" ht="13">
      <c r="I841" s="12"/>
      <c r="J841" s="12"/>
      <c r="K841" s="28"/>
      <c r="L841" s="29"/>
      <c r="M841" s="29"/>
      <c r="N841" s="30"/>
      <c r="Y841" s="12"/>
      <c r="Z841" s="12"/>
    </row>
    <row r="842" spans="9:26" ht="13">
      <c r="I842" s="12"/>
      <c r="J842" s="12"/>
      <c r="K842" s="28"/>
      <c r="L842" s="29"/>
      <c r="M842" s="29"/>
      <c r="N842" s="30"/>
      <c r="Y842" s="12"/>
      <c r="Z842" s="12"/>
    </row>
    <row r="843" spans="9:26" ht="13">
      <c r="I843" s="12"/>
      <c r="J843" s="12"/>
      <c r="K843" s="28"/>
      <c r="L843" s="29"/>
      <c r="M843" s="29"/>
      <c r="N843" s="30"/>
      <c r="Y843" s="12"/>
      <c r="Z843" s="12"/>
    </row>
    <row r="844" spans="9:26" ht="13">
      <c r="I844" s="12"/>
      <c r="J844" s="12"/>
      <c r="K844" s="28"/>
      <c r="L844" s="29"/>
      <c r="M844" s="29"/>
      <c r="N844" s="30"/>
      <c r="Y844" s="12"/>
      <c r="Z844" s="12"/>
    </row>
    <row r="845" spans="9:26" ht="13">
      <c r="I845" s="12"/>
      <c r="J845" s="12"/>
      <c r="K845" s="28"/>
      <c r="L845" s="29"/>
      <c r="M845" s="29"/>
      <c r="N845" s="30"/>
      <c r="Y845" s="12"/>
      <c r="Z845" s="12"/>
    </row>
    <row r="846" spans="9:26" ht="13">
      <c r="I846" s="12"/>
      <c r="J846" s="12"/>
      <c r="K846" s="28"/>
      <c r="L846" s="29"/>
      <c r="M846" s="29"/>
      <c r="N846" s="30"/>
      <c r="Y846" s="12"/>
      <c r="Z846" s="12"/>
    </row>
    <row r="847" spans="9:26" ht="13">
      <c r="I847" s="12"/>
      <c r="J847" s="12"/>
      <c r="K847" s="28"/>
      <c r="L847" s="29"/>
      <c r="M847" s="29"/>
      <c r="N847" s="30"/>
      <c r="Y847" s="12"/>
      <c r="Z847" s="12"/>
    </row>
    <row r="848" spans="9:26" ht="13">
      <c r="I848" s="12"/>
      <c r="J848" s="12"/>
      <c r="K848" s="28"/>
      <c r="L848" s="29"/>
      <c r="M848" s="29"/>
      <c r="N848" s="30"/>
      <c r="Y848" s="12"/>
      <c r="Z848" s="12"/>
    </row>
    <row r="849" spans="9:26" ht="13">
      <c r="I849" s="12"/>
      <c r="J849" s="12"/>
      <c r="K849" s="28"/>
      <c r="L849" s="29"/>
      <c r="M849" s="29"/>
      <c r="N849" s="30"/>
      <c r="Y849" s="12"/>
      <c r="Z849" s="12"/>
    </row>
    <row r="850" spans="9:26" ht="13">
      <c r="I850" s="12"/>
      <c r="J850" s="12"/>
      <c r="K850" s="28"/>
      <c r="L850" s="29"/>
      <c r="M850" s="29"/>
      <c r="N850" s="30"/>
      <c r="Y850" s="12"/>
      <c r="Z850" s="12"/>
    </row>
    <row r="851" spans="9:26" ht="13">
      <c r="I851" s="12"/>
      <c r="J851" s="12"/>
      <c r="K851" s="28"/>
      <c r="L851" s="29"/>
      <c r="M851" s="29"/>
      <c r="N851" s="30"/>
      <c r="Y851" s="12"/>
      <c r="Z851" s="12"/>
    </row>
    <row r="852" spans="9:26" ht="13">
      <c r="I852" s="12"/>
      <c r="J852" s="12"/>
      <c r="K852" s="28"/>
      <c r="L852" s="29"/>
      <c r="M852" s="29"/>
      <c r="N852" s="30"/>
      <c r="Y852" s="12"/>
      <c r="Z852" s="12"/>
    </row>
    <row r="853" spans="9:26" ht="13">
      <c r="I853" s="12"/>
      <c r="J853" s="12"/>
      <c r="K853" s="28"/>
      <c r="L853" s="29"/>
      <c r="M853" s="29"/>
      <c r="N853" s="30"/>
      <c r="Y853" s="12"/>
      <c r="Z853" s="12"/>
    </row>
    <row r="854" spans="9:26" ht="13">
      <c r="I854" s="12"/>
      <c r="J854" s="12"/>
      <c r="K854" s="28"/>
      <c r="L854" s="29"/>
      <c r="M854" s="29"/>
      <c r="N854" s="30"/>
      <c r="Y854" s="12"/>
      <c r="Z854" s="12"/>
    </row>
    <row r="855" spans="9:26" ht="13">
      <c r="I855" s="12"/>
      <c r="J855" s="12"/>
      <c r="K855" s="28"/>
      <c r="L855" s="29"/>
      <c r="M855" s="29"/>
      <c r="N855" s="30"/>
      <c r="Y855" s="12"/>
      <c r="Z855" s="12"/>
    </row>
    <row r="856" spans="9:26" ht="13">
      <c r="I856" s="12"/>
      <c r="J856" s="12"/>
      <c r="K856" s="28"/>
      <c r="L856" s="29"/>
      <c r="M856" s="29"/>
      <c r="N856" s="30"/>
      <c r="Y856" s="12"/>
      <c r="Z856" s="12"/>
    </row>
    <row r="857" spans="9:26" ht="13">
      <c r="I857" s="12"/>
      <c r="J857" s="12"/>
      <c r="K857" s="28"/>
      <c r="L857" s="29"/>
      <c r="M857" s="29"/>
      <c r="N857" s="30"/>
      <c r="Y857" s="12"/>
      <c r="Z857" s="12"/>
    </row>
    <row r="858" spans="9:26" ht="13">
      <c r="I858" s="12"/>
      <c r="J858" s="12"/>
      <c r="K858" s="28"/>
      <c r="L858" s="29"/>
      <c r="M858" s="29"/>
      <c r="N858" s="30"/>
      <c r="Y858" s="12"/>
      <c r="Z858" s="12"/>
    </row>
    <row r="859" spans="9:26" ht="13">
      <c r="I859" s="12"/>
      <c r="J859" s="12"/>
      <c r="K859" s="28"/>
      <c r="L859" s="29"/>
      <c r="M859" s="29"/>
      <c r="N859" s="30"/>
      <c r="Y859" s="12"/>
      <c r="Z859" s="12"/>
    </row>
    <row r="860" spans="9:26" ht="13">
      <c r="I860" s="12"/>
      <c r="J860" s="12"/>
      <c r="K860" s="28"/>
      <c r="L860" s="29"/>
      <c r="M860" s="29"/>
      <c r="N860" s="30"/>
      <c r="Y860" s="12"/>
      <c r="Z860" s="12"/>
    </row>
    <row r="861" spans="9:26" ht="13">
      <c r="I861" s="12"/>
      <c r="J861" s="12"/>
      <c r="K861" s="28"/>
      <c r="L861" s="29"/>
      <c r="M861" s="29"/>
      <c r="N861" s="30"/>
      <c r="Y861" s="12"/>
      <c r="Z861" s="12"/>
    </row>
    <row r="862" spans="9:26" ht="13">
      <c r="I862" s="12"/>
      <c r="J862" s="12"/>
      <c r="K862" s="28"/>
      <c r="L862" s="29"/>
      <c r="M862" s="29"/>
      <c r="N862" s="30"/>
      <c r="Y862" s="12"/>
      <c r="Z862" s="12"/>
    </row>
    <row r="863" spans="9:26" ht="13">
      <c r="I863" s="12"/>
      <c r="J863" s="12"/>
      <c r="K863" s="28"/>
      <c r="L863" s="29"/>
      <c r="M863" s="29"/>
      <c r="N863" s="30"/>
      <c r="Y863" s="12"/>
      <c r="Z863" s="12"/>
    </row>
    <row r="864" spans="9:26" ht="13">
      <c r="I864" s="12"/>
      <c r="J864" s="12"/>
      <c r="K864" s="28"/>
      <c r="L864" s="29"/>
      <c r="M864" s="29"/>
      <c r="N864" s="30"/>
      <c r="Y864" s="12"/>
      <c r="Z864" s="12"/>
    </row>
    <row r="865" spans="9:26" ht="13">
      <c r="I865" s="12"/>
      <c r="J865" s="12"/>
      <c r="K865" s="28"/>
      <c r="L865" s="29"/>
      <c r="M865" s="29"/>
      <c r="N865" s="30"/>
      <c r="Y865" s="12"/>
      <c r="Z865" s="12"/>
    </row>
    <row r="866" spans="9:26" ht="13">
      <c r="I866" s="12"/>
      <c r="J866" s="12"/>
      <c r="K866" s="28"/>
      <c r="L866" s="29"/>
      <c r="M866" s="29"/>
      <c r="N866" s="30"/>
      <c r="Y866" s="12"/>
      <c r="Z866" s="12"/>
    </row>
    <row r="867" spans="9:26" ht="13">
      <c r="I867" s="12"/>
      <c r="J867" s="12"/>
      <c r="K867" s="28"/>
      <c r="L867" s="29"/>
      <c r="M867" s="29"/>
      <c r="N867" s="30"/>
      <c r="Y867" s="12"/>
      <c r="Z867" s="12"/>
    </row>
    <row r="868" spans="9:26" ht="13">
      <c r="I868" s="12"/>
      <c r="J868" s="12"/>
      <c r="K868" s="28"/>
      <c r="L868" s="29"/>
      <c r="M868" s="29"/>
      <c r="N868" s="30"/>
      <c r="Y868" s="12"/>
      <c r="Z868" s="12"/>
    </row>
    <row r="869" spans="9:26" ht="13">
      <c r="I869" s="12"/>
      <c r="J869" s="12"/>
      <c r="K869" s="28"/>
      <c r="L869" s="29"/>
      <c r="M869" s="29"/>
      <c r="N869" s="30"/>
      <c r="Y869" s="12"/>
      <c r="Z869" s="12"/>
    </row>
    <row r="870" spans="9:26" ht="13">
      <c r="I870" s="12"/>
      <c r="J870" s="12"/>
      <c r="K870" s="28"/>
      <c r="L870" s="29"/>
      <c r="M870" s="29"/>
      <c r="N870" s="30"/>
      <c r="Y870" s="12"/>
      <c r="Z870" s="12"/>
    </row>
    <row r="871" spans="9:26" ht="13">
      <c r="I871" s="12"/>
      <c r="J871" s="12"/>
      <c r="K871" s="28"/>
      <c r="L871" s="29"/>
      <c r="M871" s="29"/>
      <c r="N871" s="30"/>
      <c r="Y871" s="12"/>
      <c r="Z871" s="12"/>
    </row>
    <row r="872" spans="9:26" ht="13">
      <c r="I872" s="12"/>
      <c r="J872" s="12"/>
      <c r="K872" s="28"/>
      <c r="L872" s="29"/>
      <c r="M872" s="29"/>
      <c r="N872" s="30"/>
      <c r="Y872" s="12"/>
      <c r="Z872" s="12"/>
    </row>
    <row r="873" spans="9:26" ht="13">
      <c r="I873" s="12"/>
      <c r="J873" s="12"/>
      <c r="K873" s="28"/>
      <c r="L873" s="29"/>
      <c r="M873" s="29"/>
      <c r="N873" s="30"/>
      <c r="Y873" s="12"/>
      <c r="Z873" s="12"/>
    </row>
    <row r="874" spans="9:26" ht="13">
      <c r="I874" s="12"/>
      <c r="J874" s="12"/>
      <c r="K874" s="28"/>
      <c r="L874" s="29"/>
      <c r="M874" s="29"/>
      <c r="N874" s="30"/>
      <c r="Y874" s="12"/>
      <c r="Z874" s="12"/>
    </row>
    <row r="875" spans="9:26" ht="13">
      <c r="I875" s="12"/>
      <c r="J875" s="12"/>
      <c r="K875" s="28"/>
      <c r="L875" s="29"/>
      <c r="M875" s="29"/>
      <c r="N875" s="30"/>
      <c r="Y875" s="12"/>
      <c r="Z875" s="12"/>
    </row>
    <row r="876" spans="9:26" ht="13">
      <c r="I876" s="12"/>
      <c r="J876" s="12"/>
      <c r="K876" s="28"/>
      <c r="L876" s="29"/>
      <c r="M876" s="29"/>
      <c r="N876" s="30"/>
      <c r="Y876" s="12"/>
      <c r="Z876" s="12"/>
    </row>
    <row r="877" spans="9:26" ht="13">
      <c r="I877" s="12"/>
      <c r="J877" s="12"/>
      <c r="K877" s="28"/>
      <c r="L877" s="29"/>
      <c r="M877" s="29"/>
      <c r="N877" s="30"/>
      <c r="Y877" s="12"/>
      <c r="Z877" s="12"/>
    </row>
    <row r="878" spans="9:26" ht="13">
      <c r="I878" s="12"/>
      <c r="J878" s="12"/>
      <c r="K878" s="28"/>
      <c r="L878" s="29"/>
      <c r="M878" s="29"/>
      <c r="N878" s="30"/>
      <c r="Y878" s="12"/>
      <c r="Z878" s="12"/>
    </row>
    <row r="879" spans="9:26" ht="13">
      <c r="I879" s="12"/>
      <c r="J879" s="12"/>
      <c r="K879" s="28"/>
      <c r="L879" s="29"/>
      <c r="M879" s="29"/>
      <c r="N879" s="30"/>
      <c r="Y879" s="12"/>
      <c r="Z879" s="12"/>
    </row>
    <row r="880" spans="9:26" ht="13">
      <c r="I880" s="12"/>
      <c r="J880" s="12"/>
      <c r="K880" s="28"/>
      <c r="L880" s="29"/>
      <c r="M880" s="29"/>
      <c r="N880" s="30"/>
      <c r="Y880" s="12"/>
      <c r="Z880" s="12"/>
    </row>
    <row r="881" spans="9:26" ht="13">
      <c r="I881" s="12"/>
      <c r="J881" s="12"/>
      <c r="K881" s="28"/>
      <c r="L881" s="29"/>
      <c r="M881" s="29"/>
      <c r="N881" s="30"/>
      <c r="Y881" s="12"/>
      <c r="Z881" s="12"/>
    </row>
    <row r="882" spans="9:26" ht="13">
      <c r="I882" s="12"/>
      <c r="J882" s="12"/>
      <c r="K882" s="28"/>
      <c r="L882" s="29"/>
      <c r="M882" s="29"/>
      <c r="N882" s="30"/>
      <c r="Y882" s="12"/>
      <c r="Z882" s="12"/>
    </row>
    <row r="883" spans="9:26" ht="13">
      <c r="I883" s="12"/>
      <c r="J883" s="12"/>
      <c r="K883" s="28"/>
      <c r="L883" s="29"/>
      <c r="M883" s="29"/>
      <c r="N883" s="30"/>
      <c r="Y883" s="12"/>
      <c r="Z883" s="12"/>
    </row>
    <row r="884" spans="9:26" ht="13">
      <c r="I884" s="12"/>
      <c r="J884" s="12"/>
      <c r="K884" s="28"/>
      <c r="L884" s="29"/>
      <c r="M884" s="29"/>
      <c r="N884" s="30"/>
      <c r="Y884" s="12"/>
      <c r="Z884" s="12"/>
    </row>
    <row r="885" spans="9:26" ht="13">
      <c r="I885" s="12"/>
      <c r="J885" s="12"/>
      <c r="K885" s="28"/>
      <c r="L885" s="29"/>
      <c r="M885" s="29"/>
      <c r="N885" s="30"/>
      <c r="Y885" s="12"/>
      <c r="Z885" s="12"/>
    </row>
    <row r="886" spans="9:26" ht="13">
      <c r="I886" s="12"/>
      <c r="J886" s="12"/>
      <c r="K886" s="28"/>
      <c r="L886" s="29"/>
      <c r="M886" s="29"/>
      <c r="N886" s="30"/>
      <c r="Y886" s="12"/>
      <c r="Z886" s="12"/>
    </row>
    <row r="887" spans="9:26" ht="13">
      <c r="I887" s="12"/>
      <c r="J887" s="12"/>
      <c r="K887" s="28"/>
      <c r="L887" s="29"/>
      <c r="M887" s="29"/>
      <c r="N887" s="30"/>
      <c r="Y887" s="12"/>
      <c r="Z887" s="12"/>
    </row>
    <row r="888" spans="9:26" ht="13">
      <c r="I888" s="12"/>
      <c r="J888" s="12"/>
      <c r="K888" s="28"/>
      <c r="L888" s="29"/>
      <c r="M888" s="29"/>
      <c r="N888" s="30"/>
      <c r="Y888" s="12"/>
      <c r="Z888" s="12"/>
    </row>
    <row r="889" spans="9:26" ht="13">
      <c r="I889" s="12"/>
      <c r="J889" s="12"/>
      <c r="K889" s="28"/>
      <c r="L889" s="29"/>
      <c r="M889" s="29"/>
      <c r="N889" s="30"/>
      <c r="Y889" s="12"/>
      <c r="Z889" s="12"/>
    </row>
    <row r="890" spans="9:26" ht="13">
      <c r="I890" s="12"/>
      <c r="J890" s="12"/>
      <c r="K890" s="28"/>
      <c r="L890" s="29"/>
      <c r="M890" s="29"/>
      <c r="N890" s="30"/>
      <c r="Y890" s="12"/>
      <c r="Z890" s="12"/>
    </row>
    <row r="891" spans="9:26" ht="13">
      <c r="I891" s="12"/>
      <c r="J891" s="12"/>
      <c r="K891" s="28"/>
      <c r="L891" s="29"/>
      <c r="M891" s="29"/>
      <c r="N891" s="30"/>
      <c r="Y891" s="12"/>
      <c r="Z891" s="12"/>
    </row>
    <row r="892" spans="9:26" ht="13">
      <c r="I892" s="12"/>
      <c r="J892" s="12"/>
      <c r="K892" s="28"/>
      <c r="L892" s="29"/>
      <c r="M892" s="29"/>
      <c r="N892" s="30"/>
      <c r="Y892" s="12"/>
      <c r="Z892" s="12"/>
    </row>
    <row r="893" spans="9:26" ht="13">
      <c r="I893" s="12"/>
      <c r="J893" s="12"/>
      <c r="K893" s="28"/>
      <c r="L893" s="29"/>
      <c r="M893" s="29"/>
      <c r="N893" s="30"/>
      <c r="Y893" s="12"/>
      <c r="Z893" s="12"/>
    </row>
    <row r="894" spans="9:26" ht="13">
      <c r="I894" s="12"/>
      <c r="J894" s="12"/>
      <c r="K894" s="28"/>
      <c r="L894" s="29"/>
      <c r="M894" s="29"/>
      <c r="N894" s="30"/>
      <c r="Y894" s="12"/>
      <c r="Z894" s="12"/>
    </row>
    <row r="895" spans="9:26" ht="13">
      <c r="I895" s="12"/>
      <c r="J895" s="12"/>
      <c r="K895" s="28"/>
      <c r="L895" s="29"/>
      <c r="M895" s="29"/>
      <c r="N895" s="30"/>
      <c r="Y895" s="12"/>
      <c r="Z895" s="12"/>
    </row>
    <row r="896" spans="9:26" ht="13">
      <c r="I896" s="12"/>
      <c r="J896" s="12"/>
      <c r="K896" s="28"/>
      <c r="L896" s="29"/>
      <c r="M896" s="29"/>
      <c r="N896" s="30"/>
      <c r="Y896" s="12"/>
      <c r="Z896" s="12"/>
    </row>
    <row r="897" spans="9:26" ht="13">
      <c r="I897" s="12"/>
      <c r="J897" s="12"/>
      <c r="K897" s="28"/>
      <c r="L897" s="29"/>
      <c r="M897" s="29"/>
      <c r="N897" s="30"/>
      <c r="Y897" s="12"/>
      <c r="Z897" s="12"/>
    </row>
    <row r="898" spans="9:26" ht="13">
      <c r="I898" s="12"/>
      <c r="J898" s="12"/>
      <c r="K898" s="28"/>
      <c r="L898" s="29"/>
      <c r="M898" s="29"/>
      <c r="N898" s="30"/>
      <c r="Y898" s="12"/>
      <c r="Z898" s="12"/>
    </row>
    <row r="899" spans="9:26" ht="13">
      <c r="I899" s="12"/>
      <c r="J899" s="12"/>
      <c r="K899" s="28"/>
      <c r="L899" s="29"/>
      <c r="M899" s="29"/>
      <c r="N899" s="30"/>
      <c r="Y899" s="12"/>
      <c r="Z899" s="12"/>
    </row>
    <row r="900" spans="9:26" ht="13">
      <c r="I900" s="12"/>
      <c r="J900" s="12"/>
      <c r="K900" s="28"/>
      <c r="L900" s="29"/>
      <c r="M900" s="29"/>
      <c r="N900" s="30"/>
      <c r="Y900" s="12"/>
      <c r="Z900" s="12"/>
    </row>
    <row r="901" spans="9:26" ht="13">
      <c r="I901" s="12"/>
      <c r="J901" s="12"/>
      <c r="K901" s="28"/>
      <c r="L901" s="29"/>
      <c r="M901" s="29"/>
      <c r="N901" s="30"/>
      <c r="Y901" s="12"/>
      <c r="Z901" s="12"/>
    </row>
    <row r="902" spans="9:26" ht="13">
      <c r="I902" s="12"/>
      <c r="J902" s="12"/>
      <c r="K902" s="28"/>
      <c r="L902" s="29"/>
      <c r="M902" s="29"/>
      <c r="N902" s="30"/>
      <c r="Y902" s="12"/>
      <c r="Z902" s="12"/>
    </row>
    <row r="903" spans="9:26" ht="13">
      <c r="I903" s="12"/>
      <c r="J903" s="12"/>
      <c r="K903" s="28"/>
      <c r="L903" s="29"/>
      <c r="M903" s="29"/>
      <c r="N903" s="30"/>
      <c r="Y903" s="12"/>
      <c r="Z903" s="12"/>
    </row>
    <row r="904" spans="9:26" ht="13">
      <c r="I904" s="12"/>
      <c r="J904" s="12"/>
      <c r="K904" s="28"/>
      <c r="L904" s="29"/>
      <c r="M904" s="29"/>
      <c r="N904" s="30"/>
      <c r="Y904" s="12"/>
      <c r="Z904" s="12"/>
    </row>
    <row r="905" spans="9:26" ht="13">
      <c r="I905" s="12"/>
      <c r="J905" s="12"/>
      <c r="K905" s="28"/>
      <c r="L905" s="29"/>
      <c r="M905" s="29"/>
      <c r="N905" s="30"/>
      <c r="Y905" s="12"/>
      <c r="Z905" s="12"/>
    </row>
    <row r="906" spans="9:26" ht="13">
      <c r="I906" s="12"/>
      <c r="J906" s="12"/>
      <c r="K906" s="28"/>
      <c r="L906" s="29"/>
      <c r="M906" s="29"/>
      <c r="N906" s="30"/>
      <c r="Y906" s="12"/>
      <c r="Z906" s="12"/>
    </row>
    <row r="907" spans="9:26" ht="13">
      <c r="I907" s="12"/>
      <c r="J907" s="12"/>
      <c r="K907" s="28"/>
      <c r="L907" s="29"/>
      <c r="M907" s="29"/>
      <c r="N907" s="30"/>
      <c r="Y907" s="12"/>
      <c r="Z907" s="12"/>
    </row>
    <row r="908" spans="9:26" ht="13">
      <c r="I908" s="12"/>
      <c r="J908" s="12"/>
      <c r="K908" s="28"/>
      <c r="L908" s="29"/>
      <c r="M908" s="29"/>
      <c r="N908" s="30"/>
      <c r="Y908" s="12"/>
      <c r="Z908" s="12"/>
    </row>
    <row r="909" spans="9:26" ht="13">
      <c r="I909" s="12"/>
      <c r="J909" s="12"/>
      <c r="K909" s="28"/>
      <c r="L909" s="29"/>
      <c r="M909" s="29"/>
      <c r="N909" s="30"/>
      <c r="Y909" s="12"/>
      <c r="Z909" s="12"/>
    </row>
    <row r="910" spans="9:26" ht="13">
      <c r="I910" s="12"/>
      <c r="J910" s="12"/>
      <c r="K910" s="28"/>
      <c r="L910" s="29"/>
      <c r="M910" s="29"/>
      <c r="N910" s="30"/>
      <c r="Y910" s="12"/>
      <c r="Z910" s="12"/>
    </row>
    <row r="911" spans="9:26" ht="13">
      <c r="I911" s="12"/>
      <c r="J911" s="12"/>
      <c r="K911" s="28"/>
      <c r="L911" s="29"/>
      <c r="M911" s="29"/>
      <c r="N911" s="30"/>
      <c r="Y911" s="12"/>
      <c r="Z911" s="12"/>
    </row>
    <row r="912" spans="9:26" ht="13">
      <c r="I912" s="12"/>
      <c r="J912" s="12"/>
      <c r="K912" s="28"/>
      <c r="L912" s="29"/>
      <c r="M912" s="29"/>
      <c r="N912" s="30"/>
      <c r="Y912" s="12"/>
      <c r="Z912" s="12"/>
    </row>
    <row r="913" spans="9:26" ht="13">
      <c r="I913" s="12"/>
      <c r="J913" s="12"/>
      <c r="K913" s="28"/>
      <c r="L913" s="29"/>
      <c r="M913" s="29"/>
      <c r="N913" s="30"/>
      <c r="Y913" s="12"/>
      <c r="Z913" s="12"/>
    </row>
    <row r="914" spans="9:26" ht="13">
      <c r="I914" s="12"/>
      <c r="J914" s="12"/>
      <c r="K914" s="28"/>
      <c r="L914" s="29"/>
      <c r="M914" s="29"/>
      <c r="N914" s="30"/>
      <c r="Y914" s="12"/>
      <c r="Z914" s="12"/>
    </row>
    <row r="915" spans="9:26" ht="13">
      <c r="I915" s="12"/>
      <c r="J915" s="12"/>
      <c r="K915" s="28"/>
      <c r="L915" s="29"/>
      <c r="M915" s="29"/>
      <c r="N915" s="30"/>
      <c r="Y915" s="12"/>
      <c r="Z915" s="12"/>
    </row>
    <row r="916" spans="9:26" ht="13">
      <c r="I916" s="12"/>
      <c r="J916" s="12"/>
      <c r="K916" s="28"/>
      <c r="L916" s="29"/>
      <c r="M916" s="29"/>
      <c r="N916" s="30"/>
      <c r="Y916" s="12"/>
      <c r="Z916" s="12"/>
    </row>
    <row r="917" spans="9:26" ht="13">
      <c r="I917" s="12"/>
      <c r="J917" s="12"/>
      <c r="K917" s="28"/>
      <c r="L917" s="29"/>
      <c r="M917" s="29"/>
      <c r="N917" s="30"/>
      <c r="Y917" s="12"/>
      <c r="Z917" s="12"/>
    </row>
    <row r="918" spans="9:26" ht="13">
      <c r="I918" s="12"/>
      <c r="J918" s="12"/>
      <c r="K918" s="28"/>
      <c r="L918" s="29"/>
      <c r="M918" s="29"/>
      <c r="N918" s="30"/>
      <c r="Y918" s="12"/>
      <c r="Z918" s="12"/>
    </row>
    <row r="919" spans="9:26" ht="13">
      <c r="I919" s="12"/>
      <c r="J919" s="12"/>
      <c r="K919" s="28"/>
      <c r="L919" s="29"/>
      <c r="M919" s="29"/>
      <c r="N919" s="30"/>
      <c r="Y919" s="12"/>
      <c r="Z919" s="12"/>
    </row>
    <row r="920" spans="9:26" ht="13">
      <c r="I920" s="12"/>
      <c r="J920" s="12"/>
      <c r="K920" s="28"/>
      <c r="L920" s="29"/>
      <c r="M920" s="29"/>
      <c r="N920" s="30"/>
      <c r="Y920" s="12"/>
      <c r="Z920" s="12"/>
    </row>
    <row r="921" spans="9:26" ht="13">
      <c r="I921" s="12"/>
      <c r="J921" s="12"/>
      <c r="K921" s="28"/>
      <c r="L921" s="29"/>
      <c r="M921" s="29"/>
      <c r="N921" s="30"/>
      <c r="Y921" s="12"/>
      <c r="Z921" s="12"/>
    </row>
    <row r="922" spans="9:26" ht="13">
      <c r="I922" s="12"/>
      <c r="J922" s="12"/>
      <c r="K922" s="28"/>
      <c r="L922" s="29"/>
      <c r="M922" s="29"/>
      <c r="N922" s="30"/>
      <c r="Y922" s="12"/>
      <c r="Z922" s="12"/>
    </row>
    <row r="923" spans="9:26" ht="13">
      <c r="I923" s="12"/>
      <c r="J923" s="12"/>
      <c r="K923" s="28"/>
      <c r="L923" s="29"/>
      <c r="M923" s="29"/>
      <c r="N923" s="30"/>
      <c r="Y923" s="12"/>
      <c r="Z923" s="12"/>
    </row>
    <row r="924" spans="9:26" ht="13">
      <c r="I924" s="12"/>
      <c r="J924" s="12"/>
      <c r="K924" s="28"/>
      <c r="L924" s="29"/>
      <c r="M924" s="29"/>
      <c r="N924" s="30"/>
      <c r="Y924" s="12"/>
      <c r="Z924" s="12"/>
    </row>
    <row r="925" spans="9:26" ht="13">
      <c r="I925" s="12"/>
      <c r="J925" s="12"/>
      <c r="K925" s="28"/>
      <c r="L925" s="29"/>
      <c r="M925" s="29"/>
      <c r="N925" s="30"/>
      <c r="Y925" s="12"/>
      <c r="Z925" s="12"/>
    </row>
    <row r="926" spans="9:26" ht="13">
      <c r="I926" s="12"/>
      <c r="J926" s="12"/>
      <c r="K926" s="28"/>
      <c r="L926" s="29"/>
      <c r="M926" s="29"/>
      <c r="N926" s="30"/>
      <c r="Y926" s="12"/>
      <c r="Z926" s="12"/>
    </row>
    <row r="927" spans="9:26" ht="13">
      <c r="I927" s="12"/>
      <c r="J927" s="12"/>
      <c r="K927" s="28"/>
      <c r="L927" s="29"/>
      <c r="M927" s="29"/>
      <c r="N927" s="30"/>
      <c r="Y927" s="12"/>
      <c r="Z927" s="12"/>
    </row>
    <row r="928" spans="9:26" ht="13">
      <c r="I928" s="12"/>
      <c r="J928" s="12"/>
      <c r="K928" s="28"/>
      <c r="L928" s="29"/>
      <c r="M928" s="29"/>
      <c r="N928" s="30"/>
      <c r="Y928" s="12"/>
      <c r="Z928" s="12"/>
    </row>
    <row r="929" spans="9:26" ht="13">
      <c r="I929" s="12"/>
      <c r="J929" s="12"/>
      <c r="K929" s="28"/>
      <c r="L929" s="29"/>
      <c r="M929" s="29"/>
      <c r="N929" s="30"/>
      <c r="Y929" s="12"/>
      <c r="Z929" s="12"/>
    </row>
    <row r="930" spans="9:26" ht="13">
      <c r="I930" s="12"/>
      <c r="J930" s="12"/>
      <c r="K930" s="28"/>
      <c r="L930" s="29"/>
      <c r="M930" s="29"/>
      <c r="N930" s="30"/>
      <c r="Y930" s="12"/>
      <c r="Z930" s="12"/>
    </row>
    <row r="931" spans="9:26" ht="13">
      <c r="I931" s="12"/>
      <c r="J931" s="12"/>
      <c r="K931" s="28"/>
      <c r="L931" s="29"/>
      <c r="M931" s="29"/>
      <c r="N931" s="30"/>
      <c r="Y931" s="12"/>
      <c r="Z931" s="12"/>
    </row>
    <row r="932" spans="9:26" ht="13">
      <c r="I932" s="12"/>
      <c r="J932" s="12"/>
      <c r="K932" s="28"/>
      <c r="L932" s="29"/>
      <c r="M932" s="29"/>
      <c r="N932" s="30"/>
      <c r="Y932" s="12"/>
      <c r="Z932" s="12"/>
    </row>
    <row r="933" spans="9:26" ht="13">
      <c r="I933" s="12"/>
      <c r="J933" s="12"/>
      <c r="K933" s="28"/>
      <c r="L933" s="29"/>
      <c r="M933" s="29"/>
      <c r="N933" s="30"/>
      <c r="Y933" s="12"/>
      <c r="Z933" s="12"/>
    </row>
    <row r="934" spans="9:26" ht="13">
      <c r="I934" s="12"/>
      <c r="J934" s="12"/>
      <c r="K934" s="28"/>
      <c r="L934" s="29"/>
      <c r="M934" s="29"/>
      <c r="N934" s="30"/>
      <c r="Y934" s="12"/>
      <c r="Z934" s="12"/>
    </row>
    <row r="935" spans="9:26" ht="13">
      <c r="I935" s="12"/>
      <c r="J935" s="12"/>
      <c r="K935" s="28"/>
      <c r="L935" s="29"/>
      <c r="M935" s="29"/>
      <c r="N935" s="30"/>
      <c r="Y935" s="12"/>
      <c r="Z935" s="12"/>
    </row>
    <row r="936" spans="9:26" ht="13">
      <c r="I936" s="12"/>
      <c r="J936" s="12"/>
      <c r="K936" s="28"/>
      <c r="L936" s="29"/>
      <c r="M936" s="29"/>
      <c r="N936" s="30"/>
      <c r="Y936" s="12"/>
      <c r="Z936" s="12"/>
    </row>
    <row r="937" spans="9:26" ht="13">
      <c r="I937" s="12"/>
      <c r="J937" s="12"/>
      <c r="K937" s="28"/>
      <c r="L937" s="29"/>
      <c r="M937" s="29"/>
      <c r="N937" s="30"/>
      <c r="Y937" s="12"/>
      <c r="Z937" s="12"/>
    </row>
    <row r="938" spans="9:26" ht="13">
      <c r="I938" s="12"/>
      <c r="J938" s="12"/>
      <c r="K938" s="28"/>
      <c r="L938" s="29"/>
      <c r="M938" s="29"/>
      <c r="N938" s="30"/>
      <c r="Y938" s="12"/>
      <c r="Z938" s="12"/>
    </row>
    <row r="939" spans="9:26" ht="13">
      <c r="I939" s="12"/>
      <c r="J939" s="12"/>
      <c r="K939" s="28"/>
      <c r="L939" s="29"/>
      <c r="M939" s="29"/>
      <c r="N939" s="30"/>
      <c r="Y939" s="12"/>
      <c r="Z939" s="12"/>
    </row>
    <row r="940" spans="9:26" ht="13">
      <c r="I940" s="12"/>
      <c r="J940" s="12"/>
      <c r="K940" s="28"/>
      <c r="L940" s="29"/>
      <c r="M940" s="29"/>
      <c r="N940" s="30"/>
      <c r="Y940" s="12"/>
      <c r="Z940" s="12"/>
    </row>
    <row r="941" spans="9:26" ht="13">
      <c r="I941" s="12"/>
      <c r="J941" s="12"/>
      <c r="K941" s="28"/>
      <c r="L941" s="29"/>
      <c r="M941" s="29"/>
      <c r="N941" s="30"/>
      <c r="Y941" s="12"/>
      <c r="Z941" s="12"/>
    </row>
    <row r="942" spans="9:26" ht="13">
      <c r="I942" s="12"/>
      <c r="J942" s="12"/>
      <c r="K942" s="28"/>
      <c r="L942" s="29"/>
      <c r="M942" s="29"/>
      <c r="N942" s="30"/>
      <c r="Y942" s="12"/>
      <c r="Z942" s="12"/>
    </row>
    <row r="943" spans="9:26" ht="13">
      <c r="I943" s="12"/>
      <c r="J943" s="12"/>
      <c r="K943" s="28"/>
      <c r="L943" s="29"/>
      <c r="M943" s="29"/>
      <c r="N943" s="30"/>
      <c r="Y943" s="12"/>
      <c r="Z943" s="12"/>
    </row>
    <row r="944" spans="9:26" ht="13">
      <c r="I944" s="12"/>
      <c r="J944" s="12"/>
      <c r="K944" s="28"/>
      <c r="L944" s="29"/>
      <c r="M944" s="29"/>
      <c r="N944" s="30"/>
      <c r="Y944" s="12"/>
      <c r="Z944" s="12"/>
    </row>
    <row r="945" spans="9:26" ht="13">
      <c r="I945" s="12"/>
      <c r="J945" s="12"/>
      <c r="K945" s="28"/>
      <c r="L945" s="29"/>
      <c r="M945" s="29"/>
      <c r="N945" s="30"/>
      <c r="Y945" s="12"/>
      <c r="Z945" s="12"/>
    </row>
    <row r="946" spans="9:26" ht="13">
      <c r="I946" s="12"/>
      <c r="J946" s="12"/>
      <c r="K946" s="28"/>
      <c r="L946" s="29"/>
      <c r="M946" s="29"/>
      <c r="N946" s="30"/>
      <c r="Y946" s="12"/>
      <c r="Z946" s="12"/>
    </row>
    <row r="947" spans="9:26" ht="13">
      <c r="I947" s="12"/>
      <c r="J947" s="12"/>
      <c r="K947" s="28"/>
      <c r="L947" s="29"/>
      <c r="M947" s="29"/>
      <c r="N947" s="30"/>
      <c r="Y947" s="12"/>
      <c r="Z947" s="12"/>
    </row>
    <row r="948" spans="9:26" ht="13">
      <c r="I948" s="12"/>
      <c r="J948" s="12"/>
      <c r="K948" s="28"/>
      <c r="L948" s="29"/>
      <c r="M948" s="29"/>
      <c r="N948" s="30"/>
      <c r="Y948" s="12"/>
      <c r="Z948" s="12"/>
    </row>
    <row r="949" spans="9:26" ht="13">
      <c r="I949" s="12"/>
      <c r="J949" s="12"/>
      <c r="K949" s="28"/>
      <c r="L949" s="29"/>
      <c r="M949" s="29"/>
      <c r="N949" s="30"/>
      <c r="Y949" s="12"/>
      <c r="Z949" s="12"/>
    </row>
    <row r="950" spans="9:26" ht="13">
      <c r="I950" s="12"/>
      <c r="J950" s="12"/>
      <c r="K950" s="28"/>
      <c r="L950" s="29"/>
      <c r="M950" s="29"/>
      <c r="N950" s="30"/>
      <c r="Y950" s="12"/>
      <c r="Z950" s="12"/>
    </row>
    <row r="951" spans="9:26" ht="13">
      <c r="I951" s="12"/>
      <c r="J951" s="12"/>
      <c r="K951" s="28"/>
      <c r="L951" s="29"/>
      <c r="M951" s="29"/>
      <c r="N951" s="30"/>
      <c r="Y951" s="12"/>
      <c r="Z951" s="12"/>
    </row>
    <row r="952" spans="9:26" ht="13">
      <c r="I952" s="12"/>
      <c r="J952" s="12"/>
      <c r="K952" s="28"/>
      <c r="L952" s="29"/>
      <c r="M952" s="29"/>
      <c r="N952" s="30"/>
      <c r="Y952" s="12"/>
      <c r="Z952" s="12"/>
    </row>
    <row r="953" spans="9:26" ht="13">
      <c r="I953" s="12"/>
      <c r="J953" s="12"/>
      <c r="K953" s="28"/>
      <c r="L953" s="29"/>
      <c r="M953" s="29"/>
      <c r="N953" s="30"/>
      <c r="Y953" s="12"/>
      <c r="Z953" s="12"/>
    </row>
    <row r="954" spans="9:26" ht="13">
      <c r="I954" s="12"/>
      <c r="J954" s="12"/>
      <c r="K954" s="28"/>
      <c r="L954" s="29"/>
      <c r="M954" s="29"/>
      <c r="N954" s="30"/>
      <c r="Y954" s="12"/>
      <c r="Z954" s="12"/>
    </row>
    <row r="955" spans="9:26" ht="13">
      <c r="I955" s="12"/>
      <c r="J955" s="12"/>
      <c r="K955" s="28"/>
      <c r="L955" s="29"/>
      <c r="M955" s="29"/>
      <c r="N955" s="30"/>
      <c r="Y955" s="12"/>
      <c r="Z955" s="12"/>
    </row>
    <row r="956" spans="9:26" ht="13">
      <c r="I956" s="12"/>
      <c r="J956" s="12"/>
      <c r="K956" s="28"/>
      <c r="L956" s="29"/>
      <c r="M956" s="29"/>
      <c r="N956" s="30"/>
      <c r="Y956" s="12"/>
      <c r="Z956" s="12"/>
    </row>
    <row r="957" spans="9:26" ht="13">
      <c r="I957" s="12"/>
      <c r="J957" s="12"/>
      <c r="K957" s="28"/>
      <c r="L957" s="29"/>
      <c r="M957" s="29"/>
      <c r="N957" s="30"/>
      <c r="Y957" s="12"/>
      <c r="Z957" s="12"/>
    </row>
    <row r="958" spans="9:26" ht="13">
      <c r="I958" s="12"/>
      <c r="J958" s="12"/>
      <c r="K958" s="28"/>
      <c r="L958" s="29"/>
      <c r="M958" s="29"/>
      <c r="N958" s="30"/>
      <c r="Y958" s="12"/>
      <c r="Z958" s="12"/>
    </row>
    <row r="959" spans="9:26" ht="13">
      <c r="I959" s="12"/>
      <c r="J959" s="12"/>
      <c r="K959" s="28"/>
      <c r="L959" s="29"/>
      <c r="M959" s="29"/>
      <c r="N959" s="30"/>
      <c r="Y959" s="12"/>
      <c r="Z959" s="12"/>
    </row>
    <row r="960" spans="9:26" ht="13">
      <c r="I960" s="12"/>
      <c r="J960" s="12"/>
      <c r="K960" s="28"/>
      <c r="L960" s="29"/>
      <c r="M960" s="29"/>
      <c r="N960" s="30"/>
      <c r="Y960" s="12"/>
      <c r="Z960" s="12"/>
    </row>
    <row r="961" spans="9:26" ht="13">
      <c r="I961" s="12"/>
      <c r="J961" s="12"/>
      <c r="K961" s="28"/>
      <c r="L961" s="29"/>
      <c r="M961" s="29"/>
      <c r="N961" s="30"/>
      <c r="Y961" s="12"/>
      <c r="Z961" s="12"/>
    </row>
    <row r="962" spans="9:26" ht="13">
      <c r="I962" s="12"/>
      <c r="J962" s="12"/>
      <c r="K962" s="28"/>
      <c r="L962" s="29"/>
      <c r="M962" s="29"/>
      <c r="N962" s="30"/>
      <c r="Y962" s="12"/>
      <c r="Z962" s="12"/>
    </row>
    <row r="963" spans="9:26" ht="13">
      <c r="I963" s="12"/>
      <c r="J963" s="12"/>
      <c r="K963" s="28"/>
      <c r="L963" s="29"/>
      <c r="M963" s="29"/>
      <c r="N963" s="30"/>
      <c r="Y963" s="12"/>
      <c r="Z963" s="12"/>
    </row>
    <row r="964" spans="9:26" ht="13">
      <c r="I964" s="12"/>
      <c r="J964" s="12"/>
      <c r="K964" s="28"/>
      <c r="L964" s="29"/>
      <c r="M964" s="29"/>
      <c r="N964" s="30"/>
      <c r="Y964" s="12"/>
      <c r="Z964" s="12"/>
    </row>
    <row r="965" spans="9:26" ht="13">
      <c r="I965" s="12"/>
      <c r="J965" s="12"/>
      <c r="K965" s="28"/>
      <c r="L965" s="29"/>
      <c r="M965" s="29"/>
      <c r="N965" s="30"/>
      <c r="Y965" s="12"/>
      <c r="Z965" s="12"/>
    </row>
    <row r="966" spans="9:26" ht="13">
      <c r="I966" s="12"/>
      <c r="J966" s="12"/>
      <c r="K966" s="28"/>
      <c r="L966" s="29"/>
      <c r="M966" s="29"/>
      <c r="N966" s="30"/>
      <c r="Y966" s="12"/>
      <c r="Z966" s="12"/>
    </row>
    <row r="967" spans="9:26" ht="13">
      <c r="I967" s="12"/>
      <c r="J967" s="12"/>
      <c r="K967" s="28"/>
      <c r="L967" s="29"/>
      <c r="M967" s="29"/>
      <c r="N967" s="30"/>
      <c r="Y967" s="12"/>
      <c r="Z967" s="12"/>
    </row>
    <row r="968" spans="9:26" ht="13">
      <c r="I968" s="12"/>
      <c r="J968" s="12"/>
      <c r="K968" s="28"/>
      <c r="L968" s="29"/>
      <c r="M968" s="29"/>
      <c r="N968" s="30"/>
      <c r="Y968" s="12"/>
      <c r="Z968" s="12"/>
    </row>
    <row r="969" spans="9:26" ht="13">
      <c r="I969" s="12"/>
      <c r="J969" s="12"/>
      <c r="K969" s="28"/>
      <c r="L969" s="29"/>
      <c r="M969" s="29"/>
      <c r="N969" s="30"/>
      <c r="Y969" s="12"/>
      <c r="Z969" s="12"/>
    </row>
    <row r="970" spans="9:26" ht="13">
      <c r="I970" s="12"/>
      <c r="J970" s="12"/>
      <c r="K970" s="28"/>
      <c r="L970" s="29"/>
      <c r="M970" s="29"/>
      <c r="N970" s="30"/>
      <c r="Y970" s="12"/>
      <c r="Z970" s="12"/>
    </row>
    <row r="971" spans="9:26" ht="13">
      <c r="I971" s="12"/>
      <c r="J971" s="12"/>
      <c r="K971" s="28"/>
      <c r="L971" s="29"/>
      <c r="M971" s="29"/>
      <c r="N971" s="30"/>
      <c r="Y971" s="12"/>
      <c r="Z971" s="12"/>
    </row>
    <row r="972" spans="9:26" ht="13">
      <c r="I972" s="12"/>
      <c r="J972" s="12"/>
      <c r="K972" s="28"/>
      <c r="L972" s="29"/>
      <c r="M972" s="29"/>
      <c r="N972" s="30"/>
      <c r="Y972" s="12"/>
      <c r="Z972" s="12"/>
    </row>
    <row r="973" spans="9:26" ht="13">
      <c r="I973" s="12"/>
      <c r="J973" s="12"/>
      <c r="K973" s="28"/>
      <c r="L973" s="29"/>
      <c r="M973" s="29"/>
      <c r="N973" s="30"/>
      <c r="Y973" s="12"/>
      <c r="Z973" s="12"/>
    </row>
    <row r="974" spans="9:26" ht="13">
      <c r="I974" s="12"/>
      <c r="J974" s="12"/>
      <c r="K974" s="28"/>
      <c r="L974" s="29"/>
      <c r="M974" s="29"/>
      <c r="N974" s="30"/>
      <c r="Y974" s="12"/>
      <c r="Z974" s="12"/>
    </row>
    <row r="975" spans="9:26" ht="13">
      <c r="I975" s="12"/>
      <c r="J975" s="12"/>
      <c r="K975" s="28"/>
      <c r="L975" s="29"/>
      <c r="M975" s="29"/>
      <c r="N975" s="30"/>
      <c r="Y975" s="12"/>
      <c r="Z975" s="12"/>
    </row>
    <row r="976" spans="9:26" ht="13">
      <c r="I976" s="12"/>
      <c r="J976" s="12"/>
      <c r="K976" s="28"/>
      <c r="L976" s="29"/>
      <c r="M976" s="29"/>
      <c r="N976" s="30"/>
      <c r="Y976" s="12"/>
      <c r="Z976" s="12"/>
    </row>
    <row r="977" spans="9:26" ht="13">
      <c r="I977" s="12"/>
      <c r="J977" s="12"/>
      <c r="K977" s="28"/>
      <c r="L977" s="29"/>
      <c r="M977" s="29"/>
      <c r="N977" s="30"/>
      <c r="Y977" s="12"/>
      <c r="Z977" s="12"/>
    </row>
    <row r="978" spans="9:26" ht="13">
      <c r="I978" s="12"/>
      <c r="J978" s="12"/>
      <c r="K978" s="28"/>
      <c r="L978" s="29"/>
      <c r="M978" s="29"/>
      <c r="N978" s="30"/>
      <c r="Y978" s="12"/>
      <c r="Z978" s="12"/>
    </row>
    <row r="979" spans="9:26" ht="13">
      <c r="I979" s="12"/>
      <c r="J979" s="12"/>
      <c r="K979" s="28"/>
      <c r="L979" s="29"/>
      <c r="M979" s="29"/>
      <c r="N979" s="30"/>
      <c r="Y979" s="12"/>
      <c r="Z979" s="12"/>
    </row>
    <row r="980" spans="9:26" ht="13">
      <c r="I980" s="12"/>
      <c r="J980" s="12"/>
      <c r="K980" s="28"/>
      <c r="L980" s="29"/>
      <c r="M980" s="29"/>
      <c r="N980" s="30"/>
      <c r="Y980" s="12"/>
      <c r="Z980" s="12"/>
    </row>
    <row r="981" spans="9:26" ht="13">
      <c r="I981" s="12"/>
      <c r="J981" s="12"/>
      <c r="K981" s="28"/>
      <c r="L981" s="29"/>
      <c r="M981" s="29"/>
      <c r="N981" s="30"/>
      <c r="Y981" s="12"/>
      <c r="Z981" s="12"/>
    </row>
    <row r="982" spans="9:26" ht="13">
      <c r="I982" s="12"/>
      <c r="J982" s="12"/>
      <c r="K982" s="28"/>
      <c r="L982" s="29"/>
      <c r="M982" s="29"/>
      <c r="N982" s="30"/>
      <c r="Y982" s="12"/>
      <c r="Z982" s="12"/>
    </row>
    <row r="983" spans="9:26" ht="13">
      <c r="I983" s="12"/>
      <c r="J983" s="12"/>
      <c r="K983" s="28"/>
      <c r="L983" s="29"/>
      <c r="M983" s="29"/>
      <c r="N983" s="30"/>
      <c r="Y983" s="12"/>
      <c r="Z983" s="12"/>
    </row>
    <row r="984" spans="9:26" ht="13">
      <c r="I984" s="12"/>
      <c r="J984" s="12"/>
      <c r="K984" s="28"/>
      <c r="L984" s="29"/>
      <c r="M984" s="29"/>
      <c r="N984" s="30"/>
      <c r="Y984" s="12"/>
      <c r="Z984" s="12"/>
    </row>
    <row r="985" spans="9:26" ht="13">
      <c r="I985" s="12"/>
      <c r="J985" s="12"/>
      <c r="K985" s="28"/>
      <c r="L985" s="29"/>
      <c r="M985" s="29"/>
      <c r="N985" s="30"/>
      <c r="Y985" s="12"/>
      <c r="Z985" s="12"/>
    </row>
    <row r="986" spans="9:26" ht="13">
      <c r="I986" s="12"/>
      <c r="J986" s="12"/>
      <c r="K986" s="28"/>
      <c r="L986" s="29"/>
      <c r="M986" s="29"/>
      <c r="N986" s="30"/>
      <c r="Y986" s="12"/>
      <c r="Z986" s="12"/>
    </row>
    <row r="987" spans="9:26" ht="13">
      <c r="I987" s="12"/>
      <c r="J987" s="12"/>
      <c r="K987" s="28"/>
      <c r="L987" s="29"/>
      <c r="M987" s="29"/>
      <c r="N987" s="30"/>
      <c r="Y987" s="12"/>
      <c r="Z987" s="12"/>
    </row>
    <row r="988" spans="9:26" ht="13">
      <c r="I988" s="12"/>
      <c r="J988" s="12"/>
      <c r="K988" s="28"/>
      <c r="L988" s="29"/>
      <c r="M988" s="29"/>
      <c r="N988" s="30"/>
      <c r="Y988" s="12"/>
      <c r="Z988" s="12"/>
    </row>
    <row r="989" spans="9:26" ht="13">
      <c r="I989" s="12"/>
      <c r="J989" s="12"/>
      <c r="K989" s="28"/>
      <c r="L989" s="29"/>
      <c r="M989" s="29"/>
      <c r="N989" s="30"/>
      <c r="Y989" s="12"/>
      <c r="Z989" s="12"/>
    </row>
    <row r="990" spans="9:26" ht="13">
      <c r="I990" s="12"/>
      <c r="J990" s="12"/>
      <c r="K990" s="28"/>
      <c r="L990" s="29"/>
      <c r="M990" s="29"/>
      <c r="N990" s="30"/>
      <c r="Y990" s="12"/>
      <c r="Z990" s="12"/>
    </row>
    <row r="991" spans="9:26" ht="13">
      <c r="I991" s="12"/>
      <c r="J991" s="12"/>
      <c r="K991" s="28"/>
      <c r="L991" s="29"/>
      <c r="M991" s="29"/>
      <c r="N991" s="30"/>
      <c r="Y991" s="12"/>
      <c r="Z991" s="12"/>
    </row>
    <row r="992" spans="9:26" ht="13">
      <c r="I992" s="12"/>
      <c r="J992" s="12"/>
      <c r="K992" s="28"/>
      <c r="L992" s="29"/>
      <c r="M992" s="29"/>
      <c r="N992" s="30"/>
      <c r="Y992" s="12"/>
      <c r="Z992" s="12"/>
    </row>
    <row r="993" spans="9:26" ht="13">
      <c r="I993" s="12"/>
      <c r="J993" s="12"/>
      <c r="K993" s="28"/>
      <c r="L993" s="29"/>
      <c r="M993" s="29"/>
      <c r="N993" s="30"/>
      <c r="Y993" s="12"/>
      <c r="Z993" s="12"/>
    </row>
    <row r="994" spans="9:26" ht="13">
      <c r="I994" s="12"/>
      <c r="J994" s="12"/>
      <c r="K994" s="28"/>
      <c r="L994" s="29"/>
      <c r="M994" s="29"/>
      <c r="N994" s="30"/>
      <c r="Y994" s="12"/>
      <c r="Z994" s="12"/>
    </row>
    <row r="995" spans="9:26" ht="13">
      <c r="I995" s="12"/>
      <c r="J995" s="12"/>
      <c r="K995" s="28"/>
      <c r="L995" s="29"/>
      <c r="M995" s="29"/>
      <c r="N995" s="30"/>
      <c r="Y995" s="12"/>
      <c r="Z995" s="12"/>
    </row>
    <row r="996" spans="9:26" ht="13">
      <c r="I996" s="12"/>
      <c r="J996" s="12"/>
      <c r="K996" s="28"/>
      <c r="L996" s="29"/>
      <c r="M996" s="29"/>
      <c r="N996" s="30"/>
      <c r="Y996" s="12"/>
      <c r="Z996" s="12"/>
    </row>
    <row r="997" spans="9:26" ht="13">
      <c r="I997" s="12"/>
      <c r="J997" s="12"/>
      <c r="K997" s="28"/>
      <c r="L997" s="29"/>
      <c r="M997" s="29"/>
      <c r="N997" s="30"/>
      <c r="Y997" s="12"/>
      <c r="Z997" s="12"/>
    </row>
    <row r="998" spans="9:26" ht="13">
      <c r="I998" s="12"/>
      <c r="J998" s="12"/>
      <c r="K998" s="28"/>
      <c r="L998" s="29"/>
      <c r="M998" s="29"/>
      <c r="N998" s="30"/>
      <c r="Y998" s="12"/>
      <c r="Z998" s="12"/>
    </row>
    <row r="999" spans="9:26" ht="13">
      <c r="I999" s="12"/>
      <c r="J999" s="12"/>
      <c r="K999" s="28"/>
      <c r="L999" s="29"/>
      <c r="M999" s="29"/>
      <c r="N999" s="30"/>
      <c r="Y999" s="12"/>
      <c r="Z999" s="12"/>
    </row>
    <row r="1000" spans="9:26" ht="13">
      <c r="I1000" s="12"/>
      <c r="J1000" s="12"/>
      <c r="K1000" s="28"/>
      <c r="L1000" s="29"/>
      <c r="M1000" s="29"/>
      <c r="N1000" s="30"/>
      <c r="Y1000" s="12"/>
      <c r="Z1000" s="12"/>
    </row>
    <row r="1001" spans="9:26" ht="13">
      <c r="I1001" s="12"/>
      <c r="J1001" s="12"/>
      <c r="K1001" s="28"/>
      <c r="L1001" s="29"/>
      <c r="M1001" s="29"/>
      <c r="N1001" s="30"/>
      <c r="Y1001" s="12"/>
      <c r="Z1001" s="12"/>
    </row>
    <row r="1002" spans="9:26" ht="13">
      <c r="I1002" s="12"/>
      <c r="J1002" s="12"/>
      <c r="K1002" s="28"/>
      <c r="L1002" s="29"/>
      <c r="M1002" s="29"/>
      <c r="N1002" s="30"/>
      <c r="Y1002" s="12"/>
      <c r="Z1002" s="12"/>
    </row>
    <row r="1003" spans="9:26" ht="13">
      <c r="I1003" s="12"/>
      <c r="J1003" s="12"/>
      <c r="K1003" s="28"/>
      <c r="L1003" s="29"/>
      <c r="M1003" s="29"/>
      <c r="N1003" s="30"/>
      <c r="Y1003" s="12"/>
      <c r="Z1003" s="12"/>
    </row>
  </sheetData>
  <mergeCells count="3">
    <mergeCell ref="B366:C366"/>
    <mergeCell ref="B367:C367"/>
    <mergeCell ref="B368:C36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H9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sheetData>
    <row r="1" spans="1:34" ht="15.75" customHeight="1">
      <c r="A1" s="1"/>
      <c r="B1" s="1" t="s">
        <v>34</v>
      </c>
      <c r="C1" s="1" t="s">
        <v>394</v>
      </c>
      <c r="D1" s="1" t="s">
        <v>35</v>
      </c>
      <c r="E1" s="1" t="s">
        <v>1546</v>
      </c>
      <c r="F1" s="1" t="s">
        <v>1547</v>
      </c>
      <c r="G1" s="1" t="s">
        <v>361</v>
      </c>
      <c r="H1" s="1" t="s">
        <v>1548</v>
      </c>
      <c r="I1" s="1" t="s">
        <v>1549</v>
      </c>
      <c r="J1" s="1" t="s">
        <v>530</v>
      </c>
      <c r="K1" s="1" t="s">
        <v>1550</v>
      </c>
      <c r="L1" s="1" t="s">
        <v>1551</v>
      </c>
      <c r="M1" s="1" t="s">
        <v>459</v>
      </c>
      <c r="N1" s="1" t="s">
        <v>1552</v>
      </c>
      <c r="O1" s="1" t="s">
        <v>1553</v>
      </c>
      <c r="P1" s="1" t="s">
        <v>1554</v>
      </c>
      <c r="Q1" s="1" t="s">
        <v>1555</v>
      </c>
      <c r="R1" s="1" t="s">
        <v>1556</v>
      </c>
    </row>
    <row r="2" spans="1:34">
      <c r="A2" s="1" t="s">
        <v>1557</v>
      </c>
      <c r="B2" s="31">
        <v>0.49249999999999999</v>
      </c>
      <c r="C2" s="31">
        <v>0.50749999999999995</v>
      </c>
      <c r="D2" s="31">
        <v>0.73799999999999999</v>
      </c>
      <c r="E2" s="31">
        <v>0.37840000000000001</v>
      </c>
      <c r="F2" s="31">
        <v>0.30459999999999998</v>
      </c>
      <c r="G2" s="31">
        <v>0.1343</v>
      </c>
      <c r="H2" s="31">
        <v>6.4299999999999996E-2</v>
      </c>
      <c r="I2" s="31">
        <v>7.0000000000000007E-2</v>
      </c>
      <c r="J2" s="31">
        <v>0.1845</v>
      </c>
      <c r="K2" s="31">
        <v>9.3100000000000002E-2</v>
      </c>
      <c r="L2" s="31">
        <v>9.1399999999999995E-2</v>
      </c>
      <c r="M2" s="31">
        <v>6.1899999999999997E-2</v>
      </c>
      <c r="N2" s="31">
        <v>2.9600000000000001E-2</v>
      </c>
      <c r="O2" s="31">
        <v>3.2300000000000002E-2</v>
      </c>
      <c r="P2" s="31">
        <v>1.2800000000000001E-2</v>
      </c>
      <c r="Q2" s="31">
        <v>6.4000000000000003E-3</v>
      </c>
      <c r="R2" s="31">
        <v>6.3E-3</v>
      </c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</row>
    <row r="3" spans="1:34" ht="15.75" customHeight="1">
      <c r="A3" s="1" t="s">
        <v>1558</v>
      </c>
      <c r="B3" s="32">
        <f>COUNTIF(astronauts!B:B, "Male")/360</f>
        <v>0.8305555555555556</v>
      </c>
      <c r="C3" s="32">
        <f>COUNTIF(astronauts!B:B, "Female")/360</f>
        <v>0.16944444444444445</v>
      </c>
      <c r="D3" s="33">
        <f>COUNTIF(astronauts!C:C, "White")/360</f>
        <v>0.87777777777777777</v>
      </c>
      <c r="E3" s="33">
        <f>COUNTIFS(astronauts!C:C, "White", astronauts!B:B, "Male")/360</f>
        <v>0.73888888888888893</v>
      </c>
      <c r="F3" s="34">
        <f>COUNTIFS(astronauts!C:C, "White", astronauts!B:B, "Female")/360</f>
        <v>0.1388888888888889</v>
      </c>
      <c r="G3" s="32">
        <f>COUNTIF(astronauts!C:C, "Black")/360</f>
        <v>5.2777777777777778E-2</v>
      </c>
      <c r="H3" s="32">
        <f>COUNTIFS(astronauts!C:C, "Black", astronauts!B:B, "Male")/360</f>
        <v>3.6111111111111108E-2</v>
      </c>
      <c r="I3" s="32">
        <f>COUNTIFS(astronauts!C:C, "Black", astronauts!B:B, "Female")/360</f>
        <v>1.6666666666666666E-2</v>
      </c>
      <c r="J3" s="32">
        <f>COUNTIF(astronauts!C:C, "Hispanic")/360</f>
        <v>3.888888888888889E-2</v>
      </c>
      <c r="K3" s="32">
        <f>COUNTIFS(astronauts!C:C, "Hispanic", astronauts!B:B, "Male")/360</f>
        <v>3.3333333333333333E-2</v>
      </c>
      <c r="L3" s="32">
        <f>COUNTIFS(astronauts!C:C, "Hispanic", astronauts!B:B, "Female")/360</f>
        <v>5.5555555555555558E-3</v>
      </c>
      <c r="M3" s="32">
        <f>COUNTIF(astronauts!C:C, "Asian")/360</f>
        <v>2.7777777777777776E-2</v>
      </c>
      <c r="N3" s="32">
        <f>COUNTIFS(astronauts!C:C, "Asian", astronauts!B:B, "Male")/360</f>
        <v>2.2222222222222223E-2</v>
      </c>
      <c r="O3" s="32">
        <f>COUNTIFS(astronauts!C:C, "Asian", astronauts!B:B, "Female")/360</f>
        <v>5.5555555555555558E-3</v>
      </c>
      <c r="P3" s="32">
        <f>COUNTIF(astronauts!C:C, "Native")/360</f>
        <v>2.7777777777777779E-3</v>
      </c>
      <c r="Q3" s="34">
        <f>COUNTIFS(astronauts!C:C, "Native", astronauts!B:B, "Male")/360</f>
        <v>0</v>
      </c>
      <c r="R3" s="32">
        <f>COUNTIFS(astronauts!C:C, "Native", astronauts!B:B, "Female")/360</f>
        <v>2.7777777777777779E-3</v>
      </c>
    </row>
    <row r="24" spans="1:16" ht="15.75" customHeight="1">
      <c r="A24" s="1" t="s">
        <v>7</v>
      </c>
      <c r="B24" s="1" t="s">
        <v>1559</v>
      </c>
      <c r="C24" s="1" t="s">
        <v>1560</v>
      </c>
      <c r="D24" s="35" t="s">
        <v>1561</v>
      </c>
      <c r="E24" s="35"/>
      <c r="F24" s="35"/>
      <c r="G24" s="35" t="s">
        <v>1562</v>
      </c>
      <c r="H24" s="35"/>
      <c r="I24" s="35"/>
      <c r="J24" s="35" t="s">
        <v>1563</v>
      </c>
      <c r="K24" s="35"/>
      <c r="L24" s="35"/>
      <c r="M24" s="35" t="s">
        <v>1564</v>
      </c>
      <c r="N24" s="35" t="s">
        <v>1565</v>
      </c>
      <c r="O24" s="1" t="s">
        <v>1566</v>
      </c>
      <c r="P24" s="1" t="s">
        <v>1567</v>
      </c>
    </row>
    <row r="25" spans="1:16" ht="15.75" customHeight="1">
      <c r="A25" s="1">
        <v>1</v>
      </c>
      <c r="B25" s="36">
        <f>COUNTIFS(astronauts!B:B,"Male", astronauts!C:C, "White", astronauts!H:H, "1")</f>
        <v>7</v>
      </c>
      <c r="C25" s="36">
        <f>COUNTIFS(astronauts!B:B,"Female", astronauts!C:C, "White", astronauts!H:H, "2")</f>
        <v>0</v>
      </c>
      <c r="D25" s="37">
        <f>COUNTIFS(astronauts!C:C, "Black", astronauts!B:B, "Male", astronauts!H:H, "1")</f>
        <v>0</v>
      </c>
      <c r="E25" s="37"/>
      <c r="F25" s="37"/>
      <c r="G25" s="37">
        <f>COUNTIFS(astronauts!C:C, "Black", astronauts!B:B, "Female", astronauts!H:H, "1")</f>
        <v>0</v>
      </c>
      <c r="H25" s="37"/>
      <c r="I25" s="37"/>
      <c r="J25" s="37">
        <f>COUNTIFS(astronauts!C:C, "Hispanic", astronauts!B:B, "Male", astronauts!H:H, "1")</f>
        <v>0</v>
      </c>
      <c r="K25" s="37"/>
      <c r="L25" s="37"/>
      <c r="M25" s="37">
        <f>COUNTIFS(astronauts!C:C, "Hispanic", astronauts!B:B, "Female", astronauts!H:H, "1")</f>
        <v>0</v>
      </c>
      <c r="N25" s="37">
        <f>COUNTIFS(astronauts!C:C,"Asian", astronauts!B:B, "Male", astronauts!H:H, "1")</f>
        <v>0</v>
      </c>
      <c r="O25" s="38">
        <f>COUNTIFS(astronauts!C:C,"Asian", astronauts!B:B, "Female", astronauts!H:H, "1")</f>
        <v>0</v>
      </c>
      <c r="P25" s="39">
        <f t="shared" ref="P25:P47" si="0">SUM(B25:O25)</f>
        <v>7</v>
      </c>
    </row>
    <row r="26" spans="1:16" ht="15.75" customHeight="1">
      <c r="A26" s="1">
        <v>2</v>
      </c>
      <c r="B26" s="36">
        <f>COUNTIFS(astronauts!B:B,"Male", astronauts!C:C, "White", astronauts!H:H, "2")</f>
        <v>9</v>
      </c>
      <c r="C26" s="36">
        <f>COUNTIFS(astronauts!B:B,"Female", astronauts!C:C, "White", astronauts!H:H, "2")</f>
        <v>0</v>
      </c>
      <c r="D26" s="37">
        <f>COUNTIFS(astronauts!C:C, "Black", astronauts!B:B, "Male", astronauts!H:H, "2")</f>
        <v>0</v>
      </c>
      <c r="E26" s="37"/>
      <c r="F26" s="37"/>
      <c r="G26" s="37">
        <f>COUNTIFS(astronauts!C:C, "Black", astronauts!B:B, "Female", astronauts!H:H, "2")</f>
        <v>0</v>
      </c>
      <c r="H26" s="37"/>
      <c r="I26" s="37"/>
      <c r="J26" s="37">
        <f>COUNTIFS(astronauts!C:C, "Hispanic", astronauts!B:B, "Male", astronauts!H:H, "2")</f>
        <v>0</v>
      </c>
      <c r="K26" s="37"/>
      <c r="L26" s="37"/>
      <c r="M26" s="37">
        <f>COUNTIFS(astronauts!C:C, "Hispanic", astronauts!B:B, "Female", astronauts!H:H, "2")</f>
        <v>0</v>
      </c>
      <c r="N26" s="37">
        <f>COUNTIFS(astronauts!C:C,"Asian", astronauts!B:B, "Male", astronauts!H:H, "2")</f>
        <v>0</v>
      </c>
      <c r="O26" s="38">
        <f>COUNTIFS(astronauts!C:C,"Asian", astronauts!B:B, "Female", astronauts!H:H, "2")</f>
        <v>0</v>
      </c>
      <c r="P26" s="39">
        <f t="shared" si="0"/>
        <v>9</v>
      </c>
    </row>
    <row r="27" spans="1:16" ht="15.75" customHeight="1">
      <c r="A27" s="1">
        <v>3</v>
      </c>
      <c r="B27" s="36">
        <f>COUNTIFS(astronauts!B:B,"Male", astronauts!C:C, "White", astronauts!H:H, "3")</f>
        <v>14</v>
      </c>
      <c r="C27" s="36">
        <f>COUNTIFS(astronauts!B:B,"Female", astronauts!C:C, "White", astronauts!H:H, "3")</f>
        <v>0</v>
      </c>
      <c r="D27" s="37">
        <f>COUNTIFS(astronauts!C:C, "Black", astronauts!B:B, "Male", astronauts!H:H, "3")</f>
        <v>0</v>
      </c>
      <c r="E27" s="37"/>
      <c r="F27" s="37"/>
      <c r="G27" s="37">
        <f>COUNTIFS(astronauts!C:C, "Black", astronauts!B:B, "Female", astronauts!H:H, "3")</f>
        <v>0</v>
      </c>
      <c r="H27" s="37"/>
      <c r="I27" s="37"/>
      <c r="J27" s="37">
        <f>COUNTIFS(astronauts!C:C, "Hispanic", astronauts!B:B, "Male", astronauts!H:H, "3")</f>
        <v>0</v>
      </c>
      <c r="K27" s="37"/>
      <c r="L27" s="37"/>
      <c r="M27" s="37">
        <f>COUNTIFS(astronauts!C:C, "Hispanic", astronauts!B:B, "Female", astronauts!H:H, "3")</f>
        <v>0</v>
      </c>
      <c r="N27" s="37">
        <f>COUNTIFS(astronauts!C:C,"Asian", astronauts!B:B, "Male", astronauts!H:H, "3")</f>
        <v>0</v>
      </c>
      <c r="O27" s="38">
        <f>COUNTIFS(astronauts!C:C,"Asian", astronauts!B:B, "Female", astronauts!H:H, "3")</f>
        <v>0</v>
      </c>
      <c r="P27" s="39">
        <f t="shared" si="0"/>
        <v>14</v>
      </c>
    </row>
    <row r="28" spans="1:16" ht="15.75" customHeight="1">
      <c r="A28" s="1">
        <v>4</v>
      </c>
      <c r="B28" s="36">
        <f>COUNTIFS(astronauts!B:B,"Male", astronauts!C:C, "White", astronauts!H:H, "4")</f>
        <v>6</v>
      </c>
      <c r="C28" s="36">
        <f>COUNTIFS(astronauts!B:B,"Female", astronauts!C:C, "White", astronauts!H:H, "4")</f>
        <v>0</v>
      </c>
      <c r="D28" s="37">
        <f>COUNTIFS(astronauts!C:C, "Black", astronauts!B:B, "Male", astronauts!H:H, "4")</f>
        <v>0</v>
      </c>
      <c r="E28" s="37"/>
      <c r="F28" s="37"/>
      <c r="G28" s="37">
        <f>COUNTIFS(astronauts!C:C, "Black", astronauts!B:B, "Female", astronauts!H:H, "4")</f>
        <v>0</v>
      </c>
      <c r="H28" s="37"/>
      <c r="I28" s="37"/>
      <c r="J28" s="37">
        <f>COUNTIFS(astronauts!C:C, "Hispanic", astronauts!B:B, "Male", astronauts!H:H, "4")</f>
        <v>0</v>
      </c>
      <c r="K28" s="37"/>
      <c r="L28" s="37"/>
      <c r="M28" s="37">
        <f>COUNTIFS(astronauts!C:C, "Hispanic", astronauts!B:B, "Female", astronauts!H:H, "4")</f>
        <v>0</v>
      </c>
      <c r="N28" s="37">
        <f>COUNTIFS(astronauts!C:C,"Asian", astronauts!B:B, "Male", astronauts!H:H, "4")</f>
        <v>0</v>
      </c>
      <c r="O28" s="38">
        <f>COUNTIFS(astronauts!C:C,"Asian", astronauts!B:B, "Female", astronauts!H:H, "4")</f>
        <v>0</v>
      </c>
      <c r="P28" s="39">
        <f t="shared" si="0"/>
        <v>6</v>
      </c>
    </row>
    <row r="29" spans="1:16" ht="15.75" customHeight="1">
      <c r="A29" s="1">
        <v>5</v>
      </c>
      <c r="B29" s="36">
        <f>COUNTIFS(astronauts!B:B,"Male", astronauts!C:C, "White", astronauts!H:H, "5")</f>
        <v>19</v>
      </c>
      <c r="C29" s="36">
        <f>COUNTIFS(astronauts!B:B,"Female", astronauts!C:C, "White", astronauts!H:H, "5")</f>
        <v>0</v>
      </c>
      <c r="D29" s="37">
        <f>COUNTIFS(astronauts!C:C, "Black", astronauts!B:B, "Male", astronauts!H:H, "5")</f>
        <v>0</v>
      </c>
      <c r="E29" s="37"/>
      <c r="F29" s="37"/>
      <c r="G29" s="37">
        <f>COUNTIFS(astronauts!C:C, "Black", astronauts!B:B, "Female", astronauts!H:H, "5")</f>
        <v>0</v>
      </c>
      <c r="H29" s="37"/>
      <c r="I29" s="37"/>
      <c r="J29" s="37">
        <f>COUNTIFS(astronauts!C:C, "Hispanic", astronauts!B:B, "Male", astronauts!H:H, "5")</f>
        <v>0</v>
      </c>
      <c r="K29" s="37"/>
      <c r="L29" s="37"/>
      <c r="M29" s="37">
        <f>COUNTIFS(astronauts!C:C, "Hispanic", astronauts!B:B, "Female", astronauts!H:H, "5")</f>
        <v>0</v>
      </c>
      <c r="N29" s="37">
        <f>COUNTIFS(astronauts!C:C,"Asian", astronauts!B:B, "Male", astronauts!H:H, "5")</f>
        <v>0</v>
      </c>
      <c r="O29" s="38">
        <f>COUNTIFS(astronauts!C:C,"Asian", astronauts!B:B, "Female", astronauts!H:H, "5")</f>
        <v>0</v>
      </c>
      <c r="P29" s="39">
        <f t="shared" si="0"/>
        <v>19</v>
      </c>
    </row>
    <row r="30" spans="1:16" ht="15.75" customHeight="1">
      <c r="A30" s="1">
        <v>6</v>
      </c>
      <c r="B30" s="36">
        <f>COUNTIFS(astronauts!B:B,"Male", astronauts!C:C, "White", astronauts!H:H, "6")</f>
        <v>11</v>
      </c>
      <c r="C30" s="36">
        <f>COUNTIFS(astronauts!B:B,"Female", astronauts!C:C, "White", astronauts!H:H, "6")</f>
        <v>0</v>
      </c>
      <c r="D30" s="37">
        <f>COUNTIFS(astronauts!C:C, "Black", astronauts!B:B, "Male", astronauts!H:H, "6")</f>
        <v>0</v>
      </c>
      <c r="E30" s="37"/>
      <c r="F30" s="37"/>
      <c r="G30" s="37">
        <f>COUNTIFS(astronauts!C:C, "Black", astronauts!B:B, "Female", astronauts!H:H, "6")</f>
        <v>0</v>
      </c>
      <c r="H30" s="37"/>
      <c r="I30" s="37"/>
      <c r="J30" s="37">
        <f>COUNTIFS(astronauts!C:C, "Hispanic", astronauts!B:B, "Male", astronauts!H:H, "6")</f>
        <v>0</v>
      </c>
      <c r="K30" s="37"/>
      <c r="L30" s="37"/>
      <c r="M30" s="37">
        <f>COUNTIFS(astronauts!C:C, "Hispanic", astronauts!B:B, "Female", astronauts!H:H, "6")</f>
        <v>0</v>
      </c>
      <c r="N30" s="37">
        <f>COUNTIFS(astronauts!C:C,"Asian", astronauts!B:B, "Male", astronauts!H:H, "6")</f>
        <v>0</v>
      </c>
      <c r="O30" s="38">
        <f>COUNTIFS(astronauts!C:C,"Asian", astronauts!B:B, "Female", astronauts!H:H, "6")</f>
        <v>0</v>
      </c>
      <c r="P30" s="39">
        <f t="shared" si="0"/>
        <v>11</v>
      </c>
    </row>
    <row r="31" spans="1:16" ht="15.75" customHeight="1">
      <c r="A31" s="1">
        <v>7</v>
      </c>
      <c r="B31" s="36">
        <f>COUNTIFS(astronauts!B:B,"Male", astronauts!C:C, "White", astronauts!H:H, "7")</f>
        <v>7</v>
      </c>
      <c r="C31" s="36">
        <v>0</v>
      </c>
      <c r="D31" s="37">
        <f>COUNTIFS(astronauts!C:C, "Black", astronauts!B:B, "Male", astronauts!H:H, "7")</f>
        <v>0</v>
      </c>
      <c r="E31" s="37"/>
      <c r="F31" s="37"/>
      <c r="G31" s="37">
        <f>COUNTIFS(astronauts!C:C, "Black", astronauts!B:B, "Female", astronauts!H:H, "7")</f>
        <v>0</v>
      </c>
      <c r="H31" s="37"/>
      <c r="I31" s="37"/>
      <c r="J31" s="37">
        <f>COUNTIFS(astronauts!C:C, "Hispanic", astronauts!B:B, "Male", astronauts!H:H, "7")</f>
        <v>0</v>
      </c>
      <c r="K31" s="37"/>
      <c r="L31" s="37"/>
      <c r="M31" s="37">
        <f>COUNTIFS(astronauts!C:C, "Hispanic", astronauts!B:B, "Female", astronauts!H:H, "7")</f>
        <v>0</v>
      </c>
      <c r="N31" s="37">
        <f>COUNTIFS(astronauts!C:C,"Asian", astronauts!B:B, "Male", astronauts!H:H, "7")</f>
        <v>0</v>
      </c>
      <c r="O31" s="38">
        <f>COUNTIFS(astronauts!C:C,"Asian", astronauts!B:B, "Female", astronauts!H:H, "7")</f>
        <v>0</v>
      </c>
      <c r="P31" s="39">
        <f t="shared" si="0"/>
        <v>7</v>
      </c>
    </row>
    <row r="32" spans="1:16" ht="15.75" customHeight="1">
      <c r="A32" s="1">
        <v>8</v>
      </c>
      <c r="B32" s="36">
        <f>COUNTIFS(astronauts!B:B,"Male", astronauts!C:C, "White", astronauts!H:H, "8")</f>
        <v>26</v>
      </c>
      <c r="C32" s="36">
        <f>COUNTIFS(astronauts!B:B,"Female", astronauts!C:C, "White", astronauts!H:H, "8")</f>
        <v>6</v>
      </c>
      <c r="D32" s="37">
        <f>COUNTIFS(astronauts!C:C, "Black", astronauts!B:B, "Male", astronauts!H:H, "8")</f>
        <v>2</v>
      </c>
      <c r="E32" s="37"/>
      <c r="F32" s="37"/>
      <c r="G32" s="37">
        <f>COUNTIFS(astronauts!C:C, "Black", astronauts!B:B, "Female", astronauts!H:H, "8")</f>
        <v>0</v>
      </c>
      <c r="H32" s="37"/>
      <c r="I32" s="37"/>
      <c r="J32" s="37">
        <f>COUNTIFS(astronauts!C:C, "Hispanic", astronauts!B:B, "Male", astronauts!H:H, "8")</f>
        <v>0</v>
      </c>
      <c r="K32" s="37"/>
      <c r="L32" s="37"/>
      <c r="M32" s="37">
        <f>COUNTIFS(astronauts!C:C, "Hispanic", astronauts!B:B, "Female", astronauts!H:H, "8")</f>
        <v>0</v>
      </c>
      <c r="N32" s="37">
        <f>COUNTIFS(astronauts!C:C,"Asian", astronauts!B:B, "Male", astronauts!H:H, "8")</f>
        <v>1</v>
      </c>
      <c r="O32" s="38">
        <f>COUNTIFS(astronauts!C:C,"Asian", astronauts!B:B, "Female", astronauts!H:H, "8")</f>
        <v>0</v>
      </c>
      <c r="P32" s="39">
        <f t="shared" si="0"/>
        <v>35</v>
      </c>
    </row>
    <row r="33" spans="1:16" ht="15.75" customHeight="1">
      <c r="A33" s="1">
        <v>9</v>
      </c>
      <c r="B33" s="36">
        <f>COUNTIFS(astronauts!B:B,"Male", astronauts!C:C, "White", astronauts!H:H, "9")</f>
        <v>15</v>
      </c>
      <c r="C33" s="36">
        <f>COUNTIFS(astronauts!B:B,"Female", astronauts!C:C, "White", astronauts!H:H, "9")</f>
        <v>2</v>
      </c>
      <c r="D33" s="37">
        <f>COUNTIFS(astronauts!C:C, "Black", astronauts!B:B, "Male", astronauts!H:H, "9")</f>
        <v>1</v>
      </c>
      <c r="E33" s="37"/>
      <c r="F33" s="37"/>
      <c r="G33" s="37">
        <f>COUNTIFS(astronauts!C:C, "Black", astronauts!B:B, "Female", astronauts!H:H, "9")</f>
        <v>0</v>
      </c>
      <c r="H33" s="37"/>
      <c r="I33" s="37"/>
      <c r="J33" s="37">
        <f>COUNTIFS(astronauts!C:C, "Hispanic", astronauts!B:B, "Male", astronauts!H:H, "9")</f>
        <v>1</v>
      </c>
      <c r="K33" s="37"/>
      <c r="L33" s="37"/>
      <c r="M33" s="37">
        <f>COUNTIFS(astronauts!C:C, "Hispanic", astronauts!B:B, "Female", astronauts!H:H, "9")</f>
        <v>0</v>
      </c>
      <c r="N33" s="37">
        <f>COUNTIFS(astronauts!C:C,"Asian", astronauts!B:B, "Male", astronauts!H:H, "9")</f>
        <v>0</v>
      </c>
      <c r="O33" s="38">
        <f>COUNTIFS(astronauts!C:C,"Asian", astronauts!B:B, "Female", astronauts!H:H, "9")</f>
        <v>0</v>
      </c>
      <c r="P33" s="39">
        <f t="shared" si="0"/>
        <v>19</v>
      </c>
    </row>
    <row r="34" spans="1:16" ht="15.75" customHeight="1">
      <c r="A34" s="1">
        <v>10</v>
      </c>
      <c r="B34" s="36">
        <f>COUNTIFS(astronauts!B:B,"Male", astronauts!C:C, "White", astronauts!H:H, "10")</f>
        <v>13</v>
      </c>
      <c r="C34" s="36">
        <f>COUNTIFS(astronauts!B:B,"Female", astronauts!C:C, "White", astronauts!H:H, "10")</f>
        <v>3</v>
      </c>
      <c r="D34" s="37">
        <f>COUNTIFS(astronauts!C:C, "Black", astronauts!B:B, "Male", astronauts!H:H, "10")</f>
        <v>0</v>
      </c>
      <c r="E34" s="37"/>
      <c r="F34" s="37"/>
      <c r="G34" s="37">
        <f>COUNTIFS(astronauts!C:C, "Black", astronauts!B:B, "Female", astronauts!H:H, "10")</f>
        <v>0</v>
      </c>
      <c r="H34" s="37"/>
      <c r="I34" s="37"/>
      <c r="J34" s="37">
        <f>COUNTIFS(astronauts!C:C, "Hispanic", astronauts!B:B, "Male", astronauts!H:H, "10")</f>
        <v>1</v>
      </c>
      <c r="K34" s="37"/>
      <c r="L34" s="37"/>
      <c r="M34" s="37">
        <f>COUNTIFS(astronauts!C:C, "Hispanic", astronauts!B:B, "Female", astronauts!H:H, "10")</f>
        <v>0</v>
      </c>
      <c r="N34" s="37">
        <f>COUNTIFS(astronauts!C:C,"Asian", astronauts!B:B, "Male", astronauts!H:H, "10")</f>
        <v>0</v>
      </c>
      <c r="O34" s="38">
        <f>COUNTIFS(astronauts!C:C,"Asian", astronauts!B:B, "Female", astronauts!H:H, "10")</f>
        <v>0</v>
      </c>
      <c r="P34" s="39">
        <f t="shared" si="0"/>
        <v>17</v>
      </c>
    </row>
    <row r="35" spans="1:16" ht="15.75" customHeight="1">
      <c r="A35" s="1">
        <v>11</v>
      </c>
      <c r="B35" s="36">
        <f>COUNTIFS(astronauts!B:B,"Male", astronauts!C:C, "White", astronauts!H:H, "11")</f>
        <v>11</v>
      </c>
      <c r="C35" s="36">
        <f>COUNTIFS(astronauts!B:B,"Female", astronauts!C:C, "White", astronauts!H:H, "11")</f>
        <v>2</v>
      </c>
      <c r="D35" s="37">
        <f>COUNTIFS(astronauts!C:C, "Black", astronauts!B:B, "Male", astronauts!H:H, "11")</f>
        <v>0</v>
      </c>
      <c r="E35" s="37"/>
      <c r="F35" s="37"/>
      <c r="G35" s="37">
        <f>COUNTIFS(astronauts!C:C, "Black", astronauts!B:B, "Female", astronauts!H:H, "11")</f>
        <v>0</v>
      </c>
      <c r="H35" s="37"/>
      <c r="I35" s="37"/>
      <c r="J35" s="37">
        <f>COUNTIFS(astronauts!C:C, "Hispanic", astronauts!B:B, "Male", astronauts!H:H, "11")</f>
        <v>0</v>
      </c>
      <c r="K35" s="37"/>
      <c r="L35" s="37"/>
      <c r="M35" s="37">
        <f>COUNTIFS(astronauts!C:C, "Hispanic", astronauts!B:B, "Female", astronauts!H:H, "11")</f>
        <v>0</v>
      </c>
      <c r="N35" s="37">
        <f>COUNTIFS(astronauts!C:C,"Asian", astronauts!B:B, "Male", astronauts!H:H, "11")</f>
        <v>0</v>
      </c>
      <c r="O35" s="38">
        <f>COUNTIFS(astronauts!C:C,"Asian", astronauts!B:B, "Female", astronauts!H:H, "11")</f>
        <v>0</v>
      </c>
      <c r="P35" s="39">
        <f t="shared" si="0"/>
        <v>13</v>
      </c>
    </row>
    <row r="36" spans="1:16" ht="15.75" customHeight="1">
      <c r="A36" s="1">
        <v>12</v>
      </c>
      <c r="B36" s="36">
        <f>COUNTIFS(astronauts!B:B,"Male", astronauts!C:C, "White", astronauts!H:H, "12")</f>
        <v>13</v>
      </c>
      <c r="C36" s="36">
        <f>COUNTIFS(astronauts!B:B,"Female", astronauts!C:C, "White", astronauts!H:H, "12")</f>
        <v>1</v>
      </c>
      <c r="D36" s="37">
        <f>COUNTIFS(astronauts!C:C, "Black", astronauts!B:B, "Male", astronauts!H:H, "12")</f>
        <v>0</v>
      </c>
      <c r="E36" s="37"/>
      <c r="F36" s="37"/>
      <c r="G36" s="37">
        <f>COUNTIFS(astronauts!C:C, "Black", astronauts!B:B, "Female", astronauts!H:H, "12")</f>
        <v>1</v>
      </c>
      <c r="H36" s="37"/>
      <c r="I36" s="37"/>
      <c r="J36" s="37">
        <f>COUNTIFS(astronauts!C:C, "Hispanic", astronauts!B:B, "Male", astronauts!H:H, "12")</f>
        <v>0</v>
      </c>
      <c r="K36" s="37"/>
      <c r="L36" s="37"/>
      <c r="M36" s="37">
        <f>COUNTIFS(astronauts!C:C, "Hispanic", astronauts!B:B, "Female", astronauts!H:H, "12")</f>
        <v>0</v>
      </c>
      <c r="N36" s="37">
        <f>COUNTIFS(astronauts!C:C,"Asian", astronauts!B:B, "Male", astronauts!H:H, "12")</f>
        <v>0</v>
      </c>
      <c r="O36" s="38">
        <f>COUNTIFS(astronauts!C:C,"Asian", astronauts!B:B, "Female", astronauts!H:H, "12")</f>
        <v>0</v>
      </c>
      <c r="P36" s="39">
        <f t="shared" si="0"/>
        <v>15</v>
      </c>
    </row>
    <row r="37" spans="1:16" ht="15.75" customHeight="1">
      <c r="A37" s="1">
        <v>13</v>
      </c>
      <c r="B37" s="36">
        <f>COUNTIFS(astronauts!B:B,"Male", astronauts!C:C, "White", astronauts!H:H, "13")</f>
        <v>16</v>
      </c>
      <c r="C37" s="36">
        <f>COUNTIFS(astronauts!B:B,"Female", astronauts!C:C, "White", astronauts!H:H, "13")</f>
        <v>4</v>
      </c>
      <c r="D37" s="37">
        <f>COUNTIFS(astronauts!C:C, "Black", astronauts!B:B, "Male", astronauts!H:H, "13")</f>
        <v>1</v>
      </c>
      <c r="E37" s="37"/>
      <c r="F37" s="37"/>
      <c r="G37" s="37">
        <f>COUNTIFS(astronauts!C:C, "Black", astronauts!B:B, "Female", astronauts!H:H, "13")</f>
        <v>0</v>
      </c>
      <c r="H37" s="37"/>
      <c r="I37" s="37"/>
      <c r="J37" s="37">
        <f>COUNTIFS(astronauts!C:C, "Hispanic", astronauts!B:B, "Male", astronauts!H:H, "13")</f>
        <v>0</v>
      </c>
      <c r="K37" s="37"/>
      <c r="L37" s="37"/>
      <c r="M37" s="37">
        <f>COUNTIFS(astronauts!C:C, "Hispanic", astronauts!B:B, "Female", astronauts!H:H, "13")</f>
        <v>1</v>
      </c>
      <c r="N37" s="37">
        <f>COUNTIFS(astronauts!C:C,"Asian", astronauts!B:B, "Male", astronauts!H:H, "13")</f>
        <v>1</v>
      </c>
      <c r="O37" s="38">
        <f>COUNTIFS(astronauts!C:C,"Asian", astronauts!B:B, "Female", astronauts!H:H, "13")</f>
        <v>0</v>
      </c>
      <c r="P37" s="39">
        <f t="shared" si="0"/>
        <v>23</v>
      </c>
    </row>
    <row r="38" spans="1:16" ht="15.75" customHeight="1">
      <c r="A38" s="1">
        <v>14</v>
      </c>
      <c r="B38" s="36">
        <f>COUNTIFS(astronauts!B:B,"Male", astronauts!C:C, "White", astronauts!H:H, "14")</f>
        <v>14</v>
      </c>
      <c r="C38" s="36">
        <f>COUNTIFS(astronauts!B:B,"Female", astronauts!C:C, "White", astronauts!H:H, "14")</f>
        <v>3</v>
      </c>
      <c r="D38" s="37">
        <f>COUNTIFS(astronauts!C:C, "Black", astronauts!B:B, "Male", astronauts!H:H, "14")</f>
        <v>1</v>
      </c>
      <c r="E38" s="37"/>
      <c r="F38" s="37"/>
      <c r="G38" s="37">
        <f>COUNTIFS(astronauts!C:C, "Black", astronauts!B:B, "Female", astronauts!H:H, "14")</f>
        <v>0</v>
      </c>
      <c r="H38" s="37"/>
      <c r="I38" s="37"/>
      <c r="J38" s="37">
        <f>COUNTIFS(astronauts!C:C, "Hispanic", astronauts!B:B, "Male", astronauts!H:H, "14")</f>
        <v>1</v>
      </c>
      <c r="K38" s="37"/>
      <c r="L38" s="37"/>
      <c r="M38" s="37">
        <f>COUNTIFS(astronauts!C:C, "Hispanic", astronauts!B:B, "Female", astronauts!H:H, "14")</f>
        <v>0</v>
      </c>
      <c r="N38" s="37">
        <f>COUNTIFS(astronauts!C:C,"Asian", astronauts!B:B, "Male", astronauts!H:H, "14")</f>
        <v>0</v>
      </c>
      <c r="O38" s="38">
        <f>COUNTIFS(astronauts!C:C,"Asian", astronauts!B:B, "Female", astronauts!H:H, "14")</f>
        <v>0</v>
      </c>
      <c r="P38" s="39">
        <f t="shared" si="0"/>
        <v>19</v>
      </c>
    </row>
    <row r="39" spans="1:16" ht="15.75" customHeight="1">
      <c r="A39" s="1">
        <v>15</v>
      </c>
      <c r="B39" s="36">
        <f>COUNTIFS(astronauts!B:B,"Male", astronauts!C:C, "White", astronauts!H:H, "15")</f>
        <v>10</v>
      </c>
      <c r="C39" s="36">
        <f>COUNTIFS(astronauts!B:B,"Female", astronauts!C:C, "White", astronauts!H:H, "15")</f>
        <v>4</v>
      </c>
      <c r="D39" s="37">
        <f>COUNTIFS(astronauts!C:C, "Black", astronauts!B:B, "Male", astronauts!H:H, "15")</f>
        <v>2</v>
      </c>
      <c r="E39" s="37"/>
      <c r="F39" s="37"/>
      <c r="G39" s="37">
        <f>COUNTIFS(astronauts!C:C, "Black", astronauts!B:B, "Female", astronauts!H:H, "15")</f>
        <v>0</v>
      </c>
      <c r="H39" s="37"/>
      <c r="I39" s="37"/>
      <c r="J39" s="37">
        <f>COUNTIFS(astronauts!C:C, "Hispanic", astronauts!B:B, "Male", astronauts!H:H, "15")</f>
        <v>1</v>
      </c>
      <c r="K39" s="37"/>
      <c r="L39" s="37"/>
      <c r="M39" s="37">
        <f>COUNTIFS(astronauts!C:C, "Hispanic", astronauts!B:B, "Female", astronauts!H:H, "15")</f>
        <v>0</v>
      </c>
      <c r="N39" s="37">
        <f>COUNTIFS(astronauts!C:C,"Asian", astronauts!B:B, "Male", astronauts!H:H, "15")</f>
        <v>1</v>
      </c>
      <c r="O39" s="38">
        <f>COUNTIFS(astronauts!C:C,"Asian", astronauts!B:B, "Female", astronauts!H:H, "15")</f>
        <v>1</v>
      </c>
      <c r="P39" s="39">
        <f t="shared" si="0"/>
        <v>19</v>
      </c>
    </row>
    <row r="40" spans="1:16" ht="15.75" customHeight="1">
      <c r="A40" s="1">
        <v>16</v>
      </c>
      <c r="B40" s="36">
        <f>COUNTIFS(astronauts!B:B,"Male", astronauts!C:C, "White", astronauts!H:H, "16")</f>
        <v>24</v>
      </c>
      <c r="C40" s="36">
        <f>COUNTIFS(astronauts!B:B,"Female", astronauts!C:C, "White", astronauts!H:H, "16")</f>
        <v>5</v>
      </c>
      <c r="D40" s="37">
        <f>COUNTIFS(astronauts!C:C, "Black", astronauts!B:B, "Male", astronauts!H:H, "16")</f>
        <v>0</v>
      </c>
      <c r="E40" s="37"/>
      <c r="F40" s="37"/>
      <c r="G40" s="37">
        <f>COUNTIFS(astronauts!C:C, "Black", astronauts!B:B, "Female", astronauts!H:H, "16")</f>
        <v>3</v>
      </c>
      <c r="H40" s="37"/>
      <c r="I40" s="37"/>
      <c r="J40" s="37">
        <f>COUNTIFS(astronauts!C:C, "Hispanic", astronauts!B:B, "Male", astronauts!H:H, "16")</f>
        <v>2</v>
      </c>
      <c r="K40" s="37"/>
      <c r="L40" s="37"/>
      <c r="M40" s="37">
        <f>COUNTIFS(astronauts!C:C, "Hispanic", astronauts!B:B, "Female", astronauts!H:H, "16")</f>
        <v>0</v>
      </c>
      <c r="N40" s="37">
        <f>COUNTIFS(astronauts!C:C,"Asian", astronauts!B:B, "Male", astronauts!H:H, "16")</f>
        <v>1</v>
      </c>
      <c r="O40" s="38">
        <f>COUNTIFS(astronauts!C:C,"Asian", astronauts!B:B, "Female", astronauts!H:H, "16")</f>
        <v>0</v>
      </c>
      <c r="P40" s="39">
        <f t="shared" si="0"/>
        <v>35</v>
      </c>
    </row>
    <row r="41" spans="1:16" ht="15.75" customHeight="1">
      <c r="A41" s="1">
        <v>17</v>
      </c>
      <c r="B41" s="36">
        <f>COUNTIFS(astronauts!B:B,"Male", astronauts!C:C, "White", astronauts!H:H, "17")</f>
        <v>18</v>
      </c>
      <c r="C41" s="36">
        <f>COUNTIFS(astronauts!B:B,"Female", astronauts!C:C, "White", astronauts!H:H, "17")</f>
        <v>3</v>
      </c>
      <c r="D41" s="37">
        <f>COUNTIFS(astronauts!C:C, "Black", astronauts!B:B, "Male", astronauts!H:H, "17")</f>
        <v>1</v>
      </c>
      <c r="E41" s="37"/>
      <c r="F41" s="37"/>
      <c r="G41" s="37">
        <f>COUNTIFS(astronauts!C:C, "Black", astronauts!B:B, "Female", astronauts!H:H, "17")</f>
        <v>0</v>
      </c>
      <c r="H41" s="37"/>
      <c r="I41" s="37"/>
      <c r="J41" s="37">
        <f>COUNTIFS(astronauts!C:C, "Hispanic", astronauts!B:B, "Male", astronauts!H:H, "17")</f>
        <v>2</v>
      </c>
      <c r="K41" s="37"/>
      <c r="L41" s="37"/>
      <c r="M41" s="37">
        <f>COUNTIFS(astronauts!C:C, "Hispanic", astronauts!B:B, "Female", astronauts!H:H, "17")</f>
        <v>0</v>
      </c>
      <c r="N41" s="37">
        <f>COUNTIFS(astronauts!C:C,"Asian", astronauts!B:B, "Male", astronauts!H:H, "17")</f>
        <v>0</v>
      </c>
      <c r="O41" s="38">
        <f>COUNTIFS(astronauts!C:C,"Asian", astronauts!B:B, "Female", astronauts!H:H, "17")</f>
        <v>1</v>
      </c>
      <c r="P41" s="39">
        <f t="shared" si="0"/>
        <v>25</v>
      </c>
    </row>
    <row r="42" spans="1:16" ht="15.75" customHeight="1">
      <c r="A42" s="1">
        <v>18</v>
      </c>
      <c r="B42" s="36">
        <f>COUNTIFS(astronauts!B:B,"Male", astronauts!C:C, "White", astronauts!H:H, "18")</f>
        <v>13</v>
      </c>
      <c r="C42" s="36">
        <f>COUNTIFS(astronauts!B:B,"Female", astronauts!C:C, "White", astronauts!H:H, "18")</f>
        <v>3</v>
      </c>
      <c r="D42" s="37">
        <f>COUNTIFS(astronauts!C:C, "Black", astronauts!B:B, "Male", astronauts!H:H, "18")</f>
        <v>1</v>
      </c>
      <c r="E42" s="37"/>
      <c r="F42" s="37"/>
      <c r="G42" s="37">
        <f>COUNTIFS(astronauts!C:C, "Black", astronauts!B:B, "Female", astronauts!H:H, "18")</f>
        <v>0</v>
      </c>
      <c r="H42" s="37"/>
      <c r="I42" s="37"/>
      <c r="J42" s="37">
        <f>COUNTIFS(astronauts!C:C, "Hispanic", astronauts!B:B, "Male", astronauts!H:H, "18")</f>
        <v>0</v>
      </c>
      <c r="K42" s="37"/>
      <c r="L42" s="37"/>
      <c r="M42" s="37">
        <f>COUNTIFS(astronauts!C:C, "Hispanic", astronauts!B:B, "Female", astronauts!H:H, "18")</f>
        <v>0</v>
      </c>
      <c r="N42" s="37">
        <f>COUNTIFS(astronauts!C:C,"Asian", astronauts!B:B, "Male", astronauts!H:H, "18")</f>
        <v>0</v>
      </c>
      <c r="O42" s="38">
        <f>COUNTIFS(astronauts!C:C,"Asian", astronauts!B:B, "Female", astronauts!H:H, "18")</f>
        <v>0</v>
      </c>
      <c r="P42" s="39">
        <f t="shared" si="0"/>
        <v>17</v>
      </c>
    </row>
    <row r="43" spans="1:16" ht="15.75" customHeight="1">
      <c r="A43" s="1">
        <v>19</v>
      </c>
      <c r="B43" s="36">
        <f>COUNTIFS(astronauts!B:B,"Male", astronauts!C:C, "White", astronauts!H:H, "19")</f>
        <v>6</v>
      </c>
      <c r="C43" s="36">
        <f>COUNTIFS(astronauts!B:B,"Female", astronauts!C:C, "White", astronauts!H:H, "19")</f>
        <v>2</v>
      </c>
      <c r="D43" s="37">
        <f>COUNTIFS(astronauts!C:C, "Black", astronauts!B:B, "Male", astronauts!H:H, "19")</f>
        <v>1</v>
      </c>
      <c r="E43" s="37"/>
      <c r="F43" s="37"/>
      <c r="G43" s="37">
        <f>COUNTIFS(astronauts!C:C, "Black", astronauts!B:B, "Female", astronauts!H:H, "19")</f>
        <v>0</v>
      </c>
      <c r="H43" s="37"/>
      <c r="I43" s="37"/>
      <c r="J43" s="37">
        <f>COUNTIFS(astronauts!C:C, "Hispanic", astronauts!B:B, "Male", astronauts!H:H, "19")</f>
        <v>2</v>
      </c>
      <c r="K43" s="37"/>
      <c r="L43" s="37"/>
      <c r="M43" s="37">
        <f>COUNTIFS(astronauts!C:C, "Hispanic", astronauts!B:B, "Female", astronauts!H:H, "19")</f>
        <v>0</v>
      </c>
      <c r="N43" s="37">
        <f>COUNTIFS(astronauts!C:C,"Asian", astronauts!B:B, "Male", astronauts!H:H, "19")</f>
        <v>0</v>
      </c>
      <c r="O43" s="38">
        <f>COUNTIFS(astronauts!C:C,"Asian", astronauts!B:B, "Female", astronauts!H:H, "19")</f>
        <v>0</v>
      </c>
      <c r="P43" s="39">
        <f t="shared" si="0"/>
        <v>11</v>
      </c>
    </row>
    <row r="44" spans="1:16" ht="15.75" customHeight="1">
      <c r="A44" s="1">
        <v>20</v>
      </c>
      <c r="B44" s="36">
        <f>COUNTIFS(astronauts!B:B,"Male", astronauts!C:C, "White", astronauts!H:H, "20")</f>
        <v>5</v>
      </c>
      <c r="C44" s="36">
        <f>COUNTIFS(astronauts!B:B,"Female", astronauts!C:C, "White", astronauts!H:H, "20")</f>
        <v>1</v>
      </c>
      <c r="D44" s="37">
        <f>COUNTIFS(astronauts!C:C, "Black", astronauts!B:B, "Male", astronauts!H:H, "20")</f>
        <v>0</v>
      </c>
      <c r="E44" s="37"/>
      <c r="F44" s="37"/>
      <c r="G44" s="37">
        <f>COUNTIFS(astronauts!C:C, "Black", astronauts!B:B, "Female", astronauts!H:H, "20")</f>
        <v>1</v>
      </c>
      <c r="H44" s="37"/>
      <c r="I44" s="37"/>
      <c r="J44" s="37">
        <f>COUNTIFS(astronauts!C:C, "Hispanic", astronauts!B:B, "Male", astronauts!H:H, "20")</f>
        <v>0</v>
      </c>
      <c r="K44" s="37"/>
      <c r="L44" s="37"/>
      <c r="M44" s="37">
        <f>COUNTIFS(astronauts!C:C, "Hispanic", astronauts!B:B, "Female", astronauts!H:H, "20")</f>
        <v>1</v>
      </c>
      <c r="N44" s="37">
        <f>COUNTIFS(astronauts!C:C,"Asian", astronauts!B:B, "Male", astronauts!H:H, "20")</f>
        <v>1</v>
      </c>
      <c r="O44" s="38">
        <f>COUNTIFS(astronauts!C:C,"Asian", astronauts!B:B, "Female", astronauts!H:H, "20")</f>
        <v>0</v>
      </c>
      <c r="P44" s="39">
        <f t="shared" si="0"/>
        <v>9</v>
      </c>
    </row>
    <row r="45" spans="1:16" ht="15.75" customHeight="1">
      <c r="A45" s="1">
        <v>21</v>
      </c>
      <c r="B45" s="36">
        <f>COUNTIFS(astronauts!B:B,"Male", astronauts!C:C, "White", astronauts!H:H, "21")</f>
        <v>3</v>
      </c>
      <c r="C45" s="36">
        <f>COUNTIFS(astronauts!B:B,"Female", astronauts!C:C, "White", astronauts!H:H, "21")</f>
        <v>3</v>
      </c>
      <c r="D45" s="37">
        <f>COUNTIFS(astronauts!C:C, "Black", astronauts!B:B, "Male", astronauts!H:H, "21")</f>
        <v>1</v>
      </c>
      <c r="E45" s="37"/>
      <c r="F45" s="37"/>
      <c r="G45" s="37">
        <f>COUNTIFS(astronauts!C:C, "Black", astronauts!B:B, "Female", astronauts!H:H, "21")</f>
        <v>0</v>
      </c>
      <c r="H45" s="37"/>
      <c r="I45" s="37"/>
      <c r="J45" s="37">
        <f>COUNTIFS(astronauts!C:C, "Hispanic", astronauts!B:B, "Male", astronauts!H:H, "21")</f>
        <v>0</v>
      </c>
      <c r="K45" s="37"/>
      <c r="L45" s="37"/>
      <c r="M45" s="37">
        <f>COUNTIFS(astronauts!C:C, "Hispanic", astronauts!B:B, "Female", astronauts!H:H, "21")</f>
        <v>0</v>
      </c>
      <c r="N45" s="37">
        <f>COUNTIFS(astronauts!C:C,"Asian", astronauts!B:B, "Male", astronauts!H:H, "21")</f>
        <v>0</v>
      </c>
      <c r="O45" s="38">
        <f>COUNTIFS(astronauts!C:C,"Asian", astronauts!B:B, "Female", astronauts!H:H, "21")</f>
        <v>0</v>
      </c>
      <c r="P45" s="39">
        <f t="shared" si="0"/>
        <v>7</v>
      </c>
    </row>
    <row r="46" spans="1:16" ht="15.75" customHeight="1">
      <c r="A46" s="1">
        <v>22</v>
      </c>
      <c r="B46" s="36">
        <f>COUNTIFS(astronauts!B:B,"Male", astronauts!C:C, "White", astronauts!H:H, "22")</f>
        <v>4</v>
      </c>
      <c r="C46" s="36">
        <f>COUNTIFS(astronauts!B:B,"Female", astronauts!C:C, "White", astronauts!H:H, "22")</f>
        <v>4</v>
      </c>
      <c r="D46" s="37">
        <f>COUNTIFS(astronauts!C:C, "Black", astronauts!B:B, "Male", astronauts!H:H, "22")</f>
        <v>0</v>
      </c>
      <c r="E46" s="37"/>
      <c r="F46" s="37"/>
      <c r="G46" s="37">
        <f>COUNTIFS(astronauts!C:C, "Black", astronauts!B:B, "Female", astronauts!H:H, "22")</f>
        <v>1</v>
      </c>
      <c r="H46" s="37"/>
      <c r="I46" s="37"/>
      <c r="J46" s="37">
        <f>COUNTIFS(astronauts!C:C, "Hispanic", astronauts!B:B, "Male", astronauts!H:H, "22")</f>
        <v>1</v>
      </c>
      <c r="K46" s="37"/>
      <c r="L46" s="37"/>
      <c r="M46" s="37">
        <f>COUNTIFS(astronauts!C:C, "Hispanic", astronauts!B:B, "Female", astronauts!H:H, "22")</f>
        <v>0</v>
      </c>
      <c r="N46" s="37">
        <f>COUNTIFS(astronauts!C:C,"Asian", astronauts!B:B, "Male", astronauts!H:H, "22")</f>
        <v>2</v>
      </c>
      <c r="O46" s="38">
        <f>COUNTIFS(astronauts!C:C,"Asian", astronauts!B:B, "Female", astronauts!H:H, "22")</f>
        <v>0</v>
      </c>
      <c r="P46" s="39">
        <f t="shared" si="0"/>
        <v>12</v>
      </c>
    </row>
    <row r="47" spans="1:16" ht="15.75" customHeight="1">
      <c r="A47" s="1">
        <v>23</v>
      </c>
      <c r="B47" s="36">
        <f>COUNTIFS(astronauts!B:B,"Male", astronauts!C:C, "White", astronauts!H:H, "23")</f>
        <v>2</v>
      </c>
      <c r="C47" s="36">
        <f>COUNTIFS(astronauts!B:B,"Female", astronauts!C:C, "White", astronauts!H:H, "23")</f>
        <v>4</v>
      </c>
      <c r="D47" s="37">
        <f>COUNTIFS(astronauts!C:C, "Black", astronauts!B:B, "Male", astronauts!H:H, "23")</f>
        <v>2</v>
      </c>
      <c r="E47" s="37"/>
      <c r="F47" s="37"/>
      <c r="G47" s="37">
        <f>COUNTIFS(astronauts!C:C, "Black", astronauts!B:B, "Female", astronauts!H:H, "23")</f>
        <v>0</v>
      </c>
      <c r="H47" s="37"/>
      <c r="I47" s="37"/>
      <c r="J47" s="37">
        <f>COUNTIFS(astronauts!C:C, "Hispanic", astronauts!B:B, "Male", astronauts!H:H, "23")</f>
        <v>1</v>
      </c>
      <c r="K47" s="37"/>
      <c r="L47" s="37"/>
      <c r="M47" s="37">
        <f>COUNTIFS(astronauts!C:C, "Hispanic", astronauts!B:B, "Female", astronauts!H:H, "23")</f>
        <v>0</v>
      </c>
      <c r="N47" s="37">
        <f>COUNTIFS(astronauts!C:C,"Asian", astronauts!B:B, "Male", astronauts!H:H, "23")</f>
        <v>1</v>
      </c>
      <c r="O47" s="38">
        <f>COUNTIFS(astronauts!C:C,"Asian", astronauts!B:B, "Female", astronauts!H:H, "23")</f>
        <v>0</v>
      </c>
      <c r="P47" s="39">
        <f t="shared" si="0"/>
        <v>10</v>
      </c>
    </row>
    <row r="49" spans="1:16" ht="15.75" customHeight="1">
      <c r="A49" s="1" t="s">
        <v>7</v>
      </c>
      <c r="B49" s="1" t="s">
        <v>1559</v>
      </c>
      <c r="C49" s="1" t="s">
        <v>1560</v>
      </c>
      <c r="D49" s="35" t="s">
        <v>1561</v>
      </c>
      <c r="E49" s="35"/>
      <c r="F49" s="35"/>
      <c r="G49" s="35" t="s">
        <v>1562</v>
      </c>
      <c r="H49" s="35"/>
      <c r="I49" s="35"/>
      <c r="J49" s="35" t="s">
        <v>1563</v>
      </c>
      <c r="K49" s="35"/>
      <c r="L49" s="35"/>
      <c r="M49" s="35" t="s">
        <v>1564</v>
      </c>
      <c r="N49" s="35" t="s">
        <v>1565</v>
      </c>
      <c r="O49" s="1" t="s">
        <v>1566</v>
      </c>
      <c r="P49" s="1" t="s">
        <v>1567</v>
      </c>
    </row>
    <row r="50" spans="1:16" ht="15.75" customHeight="1">
      <c r="A50" s="1">
        <v>1</v>
      </c>
      <c r="B50" s="40">
        <f>B25/P25</f>
        <v>1</v>
      </c>
      <c r="C50" s="40">
        <f t="shared" ref="C50:D50" si="1">C25/$P25</f>
        <v>0</v>
      </c>
      <c r="D50" s="40">
        <f t="shared" si="1"/>
        <v>0</v>
      </c>
      <c r="E50" s="40"/>
      <c r="F50" s="40"/>
      <c r="G50" s="40">
        <f t="shared" ref="G50:G72" si="2">G25/$P25</f>
        <v>0</v>
      </c>
      <c r="H50" s="40"/>
      <c r="I50" s="40"/>
      <c r="J50" s="40">
        <f t="shared" ref="J50:J72" si="3">J25/$P25</f>
        <v>0</v>
      </c>
      <c r="K50" s="40"/>
      <c r="L50" s="40"/>
      <c r="M50" s="40">
        <f t="shared" ref="M50:O50" si="4">M25/$P25</f>
        <v>0</v>
      </c>
      <c r="N50" s="40">
        <f t="shared" si="4"/>
        <v>0</v>
      </c>
      <c r="O50" s="40">
        <f t="shared" si="4"/>
        <v>0</v>
      </c>
      <c r="P50" s="32">
        <f t="shared" ref="P50:P72" si="5">SUM(B50:O50)</f>
        <v>1</v>
      </c>
    </row>
    <row r="51" spans="1:16" ht="15.75" customHeight="1">
      <c r="A51" s="1">
        <v>2</v>
      </c>
      <c r="B51" s="40">
        <f t="shared" ref="B51:D51" si="6">B26/$P26</f>
        <v>1</v>
      </c>
      <c r="C51" s="40">
        <f t="shared" si="6"/>
        <v>0</v>
      </c>
      <c r="D51" s="40">
        <f t="shared" si="6"/>
        <v>0</v>
      </c>
      <c r="E51" s="40"/>
      <c r="F51" s="40"/>
      <c r="G51" s="40">
        <f t="shared" si="2"/>
        <v>0</v>
      </c>
      <c r="H51" s="40"/>
      <c r="I51" s="40"/>
      <c r="J51" s="40">
        <f t="shared" si="3"/>
        <v>0</v>
      </c>
      <c r="K51" s="40"/>
      <c r="L51" s="40"/>
      <c r="M51" s="40">
        <f t="shared" ref="M51:O51" si="7">M26/$P26</f>
        <v>0</v>
      </c>
      <c r="N51" s="40">
        <f t="shared" si="7"/>
        <v>0</v>
      </c>
      <c r="O51" s="40">
        <f t="shared" si="7"/>
        <v>0</v>
      </c>
      <c r="P51" s="32">
        <f t="shared" si="5"/>
        <v>1</v>
      </c>
    </row>
    <row r="52" spans="1:16" ht="15.75" customHeight="1">
      <c r="A52" s="1">
        <v>3</v>
      </c>
      <c r="B52" s="40">
        <f t="shared" ref="B52:D52" si="8">B27/$P27</f>
        <v>1</v>
      </c>
      <c r="C52" s="40">
        <f t="shared" si="8"/>
        <v>0</v>
      </c>
      <c r="D52" s="40">
        <f t="shared" si="8"/>
        <v>0</v>
      </c>
      <c r="E52" s="40"/>
      <c r="F52" s="40"/>
      <c r="G52" s="40">
        <f t="shared" si="2"/>
        <v>0</v>
      </c>
      <c r="H52" s="40"/>
      <c r="I52" s="40"/>
      <c r="J52" s="40">
        <f t="shared" si="3"/>
        <v>0</v>
      </c>
      <c r="K52" s="40"/>
      <c r="L52" s="40"/>
      <c r="M52" s="40">
        <f t="shared" ref="M52:O52" si="9">M27/$P27</f>
        <v>0</v>
      </c>
      <c r="N52" s="40">
        <f t="shared" si="9"/>
        <v>0</v>
      </c>
      <c r="O52" s="40">
        <f t="shared" si="9"/>
        <v>0</v>
      </c>
      <c r="P52" s="32">
        <f t="shared" si="5"/>
        <v>1</v>
      </c>
    </row>
    <row r="53" spans="1:16" ht="15.75" customHeight="1">
      <c r="A53" s="1">
        <v>4</v>
      </c>
      <c r="B53" s="40">
        <f t="shared" ref="B53:D53" si="10">B28/$P28</f>
        <v>1</v>
      </c>
      <c r="C53" s="40">
        <f t="shared" si="10"/>
        <v>0</v>
      </c>
      <c r="D53" s="40">
        <f t="shared" si="10"/>
        <v>0</v>
      </c>
      <c r="E53" s="40"/>
      <c r="F53" s="40"/>
      <c r="G53" s="40">
        <f t="shared" si="2"/>
        <v>0</v>
      </c>
      <c r="H53" s="40"/>
      <c r="I53" s="40"/>
      <c r="J53" s="40">
        <f t="shared" si="3"/>
        <v>0</v>
      </c>
      <c r="K53" s="40"/>
      <c r="L53" s="40"/>
      <c r="M53" s="40">
        <f t="shared" ref="M53:O53" si="11">M28/$P28</f>
        <v>0</v>
      </c>
      <c r="N53" s="40">
        <f t="shared" si="11"/>
        <v>0</v>
      </c>
      <c r="O53" s="40">
        <f t="shared" si="11"/>
        <v>0</v>
      </c>
      <c r="P53" s="32">
        <f t="shared" si="5"/>
        <v>1</v>
      </c>
    </row>
    <row r="54" spans="1:16" ht="13">
      <c r="A54" s="1">
        <v>5</v>
      </c>
      <c r="B54" s="40">
        <f t="shared" ref="B54:D54" si="12">B29/$P29</f>
        <v>1</v>
      </c>
      <c r="C54" s="40">
        <f t="shared" si="12"/>
        <v>0</v>
      </c>
      <c r="D54" s="40">
        <f t="shared" si="12"/>
        <v>0</v>
      </c>
      <c r="E54" s="40"/>
      <c r="F54" s="40"/>
      <c r="G54" s="40">
        <f t="shared" si="2"/>
        <v>0</v>
      </c>
      <c r="H54" s="40"/>
      <c r="I54" s="40"/>
      <c r="J54" s="40">
        <f t="shared" si="3"/>
        <v>0</v>
      </c>
      <c r="K54" s="40"/>
      <c r="L54" s="40"/>
      <c r="M54" s="40">
        <f t="shared" ref="M54:O54" si="13">M29/$P29</f>
        <v>0</v>
      </c>
      <c r="N54" s="40">
        <f t="shared" si="13"/>
        <v>0</v>
      </c>
      <c r="O54" s="40">
        <f t="shared" si="13"/>
        <v>0</v>
      </c>
      <c r="P54" s="32">
        <f t="shared" si="5"/>
        <v>1</v>
      </c>
    </row>
    <row r="55" spans="1:16" ht="13">
      <c r="A55" s="1">
        <v>6</v>
      </c>
      <c r="B55" s="40">
        <f t="shared" ref="B55:D55" si="14">B30/$P30</f>
        <v>1</v>
      </c>
      <c r="C55" s="40">
        <f t="shared" si="14"/>
        <v>0</v>
      </c>
      <c r="D55" s="40">
        <f t="shared" si="14"/>
        <v>0</v>
      </c>
      <c r="E55" s="40"/>
      <c r="F55" s="40"/>
      <c r="G55" s="40">
        <f t="shared" si="2"/>
        <v>0</v>
      </c>
      <c r="H55" s="40"/>
      <c r="I55" s="40"/>
      <c r="J55" s="40">
        <f t="shared" si="3"/>
        <v>0</v>
      </c>
      <c r="K55" s="40"/>
      <c r="L55" s="40"/>
      <c r="M55" s="40">
        <f t="shared" ref="M55:O55" si="15">M30/$P30</f>
        <v>0</v>
      </c>
      <c r="N55" s="40">
        <f t="shared" si="15"/>
        <v>0</v>
      </c>
      <c r="O55" s="40">
        <f t="shared" si="15"/>
        <v>0</v>
      </c>
      <c r="P55" s="32">
        <f t="shared" si="5"/>
        <v>1</v>
      </c>
    </row>
    <row r="56" spans="1:16" ht="13">
      <c r="A56" s="1">
        <v>7</v>
      </c>
      <c r="B56" s="40">
        <f t="shared" ref="B56:D56" si="16">B31/$P31</f>
        <v>1</v>
      </c>
      <c r="C56" s="40">
        <f t="shared" si="16"/>
        <v>0</v>
      </c>
      <c r="D56" s="40">
        <f t="shared" si="16"/>
        <v>0</v>
      </c>
      <c r="E56" s="40"/>
      <c r="F56" s="40"/>
      <c r="G56" s="40">
        <f t="shared" si="2"/>
        <v>0</v>
      </c>
      <c r="H56" s="40"/>
      <c r="I56" s="40"/>
      <c r="J56" s="40">
        <f t="shared" si="3"/>
        <v>0</v>
      </c>
      <c r="K56" s="40"/>
      <c r="L56" s="40"/>
      <c r="M56" s="40">
        <f t="shared" ref="M56:O56" si="17">M31/$P31</f>
        <v>0</v>
      </c>
      <c r="N56" s="40">
        <f t="shared" si="17"/>
        <v>0</v>
      </c>
      <c r="O56" s="40">
        <f t="shared" si="17"/>
        <v>0</v>
      </c>
      <c r="P56" s="32">
        <f t="shared" si="5"/>
        <v>1</v>
      </c>
    </row>
    <row r="57" spans="1:16" ht="13">
      <c r="A57" s="1">
        <v>8</v>
      </c>
      <c r="B57" s="40">
        <f t="shared" ref="B57:D57" si="18">B32/$P32</f>
        <v>0.74285714285714288</v>
      </c>
      <c r="C57" s="40">
        <f t="shared" si="18"/>
        <v>0.17142857142857143</v>
      </c>
      <c r="D57" s="40">
        <f t="shared" si="18"/>
        <v>5.7142857142857141E-2</v>
      </c>
      <c r="E57" s="40"/>
      <c r="F57" s="40"/>
      <c r="G57" s="40">
        <f t="shared" si="2"/>
        <v>0</v>
      </c>
      <c r="H57" s="40"/>
      <c r="I57" s="40"/>
      <c r="J57" s="40">
        <f t="shared" si="3"/>
        <v>0</v>
      </c>
      <c r="K57" s="40"/>
      <c r="L57" s="40"/>
      <c r="M57" s="40">
        <f t="shared" ref="M57:O57" si="19">M32/$P32</f>
        <v>0</v>
      </c>
      <c r="N57" s="40">
        <f t="shared" si="19"/>
        <v>2.8571428571428571E-2</v>
      </c>
      <c r="O57" s="40">
        <f t="shared" si="19"/>
        <v>0</v>
      </c>
      <c r="P57" s="32">
        <f t="shared" si="5"/>
        <v>1</v>
      </c>
    </row>
    <row r="58" spans="1:16" ht="13">
      <c r="A58" s="1">
        <v>9</v>
      </c>
      <c r="B58" s="40">
        <f t="shared" ref="B58:D58" si="20">B33/$P33</f>
        <v>0.78947368421052633</v>
      </c>
      <c r="C58" s="40">
        <f t="shared" si="20"/>
        <v>0.10526315789473684</v>
      </c>
      <c r="D58" s="40">
        <f t="shared" si="20"/>
        <v>5.2631578947368418E-2</v>
      </c>
      <c r="E58" s="40"/>
      <c r="F58" s="40"/>
      <c r="G58" s="40">
        <f t="shared" si="2"/>
        <v>0</v>
      </c>
      <c r="H58" s="40"/>
      <c r="I58" s="40"/>
      <c r="J58" s="40">
        <f t="shared" si="3"/>
        <v>5.2631578947368418E-2</v>
      </c>
      <c r="K58" s="40"/>
      <c r="L58" s="40"/>
      <c r="M58" s="40">
        <f t="shared" ref="M58:O58" si="21">M33/$P33</f>
        <v>0</v>
      </c>
      <c r="N58" s="40">
        <f t="shared" si="21"/>
        <v>0</v>
      </c>
      <c r="O58" s="40">
        <f t="shared" si="21"/>
        <v>0</v>
      </c>
      <c r="P58" s="32">
        <f t="shared" si="5"/>
        <v>1</v>
      </c>
    </row>
    <row r="59" spans="1:16" ht="13">
      <c r="A59" s="1">
        <v>10</v>
      </c>
      <c r="B59" s="40">
        <f t="shared" ref="B59:D59" si="22">B34/$P34</f>
        <v>0.76470588235294112</v>
      </c>
      <c r="C59" s="40">
        <f t="shared" si="22"/>
        <v>0.17647058823529413</v>
      </c>
      <c r="D59" s="40">
        <f t="shared" si="22"/>
        <v>0</v>
      </c>
      <c r="E59" s="40"/>
      <c r="F59" s="40"/>
      <c r="G59" s="40">
        <f t="shared" si="2"/>
        <v>0</v>
      </c>
      <c r="H59" s="40"/>
      <c r="I59" s="40"/>
      <c r="J59" s="40">
        <f t="shared" si="3"/>
        <v>5.8823529411764705E-2</v>
      </c>
      <c r="K59" s="40"/>
      <c r="L59" s="40"/>
      <c r="M59" s="40">
        <f t="shared" ref="M59:O59" si="23">M34/$P34</f>
        <v>0</v>
      </c>
      <c r="N59" s="40">
        <f t="shared" si="23"/>
        <v>0</v>
      </c>
      <c r="O59" s="40">
        <f t="shared" si="23"/>
        <v>0</v>
      </c>
      <c r="P59" s="32">
        <f t="shared" si="5"/>
        <v>1</v>
      </c>
    </row>
    <row r="60" spans="1:16" ht="13">
      <c r="A60" s="1">
        <v>11</v>
      </c>
      <c r="B60" s="40">
        <f t="shared" ref="B60:D60" si="24">B35/$P35</f>
        <v>0.84615384615384615</v>
      </c>
      <c r="C60" s="40">
        <f t="shared" si="24"/>
        <v>0.15384615384615385</v>
      </c>
      <c r="D60" s="40">
        <f t="shared" si="24"/>
        <v>0</v>
      </c>
      <c r="E60" s="40"/>
      <c r="F60" s="40"/>
      <c r="G60" s="40">
        <f t="shared" si="2"/>
        <v>0</v>
      </c>
      <c r="H60" s="40"/>
      <c r="I60" s="40"/>
      <c r="J60" s="40">
        <f t="shared" si="3"/>
        <v>0</v>
      </c>
      <c r="K60" s="40"/>
      <c r="L60" s="40"/>
      <c r="M60" s="40">
        <f t="shared" ref="M60:O60" si="25">M35/$P35</f>
        <v>0</v>
      </c>
      <c r="N60" s="40">
        <f t="shared" si="25"/>
        <v>0</v>
      </c>
      <c r="O60" s="40">
        <f t="shared" si="25"/>
        <v>0</v>
      </c>
      <c r="P60" s="32">
        <f t="shared" si="5"/>
        <v>1</v>
      </c>
    </row>
    <row r="61" spans="1:16" ht="13">
      <c r="A61" s="1">
        <v>12</v>
      </c>
      <c r="B61" s="40">
        <f t="shared" ref="B61:D61" si="26">B36/$P36</f>
        <v>0.8666666666666667</v>
      </c>
      <c r="C61" s="40">
        <f t="shared" si="26"/>
        <v>6.6666666666666666E-2</v>
      </c>
      <c r="D61" s="40">
        <f t="shared" si="26"/>
        <v>0</v>
      </c>
      <c r="E61" s="40"/>
      <c r="F61" s="40"/>
      <c r="G61" s="40">
        <f t="shared" si="2"/>
        <v>6.6666666666666666E-2</v>
      </c>
      <c r="H61" s="40"/>
      <c r="I61" s="40"/>
      <c r="J61" s="40">
        <f t="shared" si="3"/>
        <v>0</v>
      </c>
      <c r="K61" s="40"/>
      <c r="L61" s="40"/>
      <c r="M61" s="40">
        <f t="shared" ref="M61:O61" si="27">M36/$P36</f>
        <v>0</v>
      </c>
      <c r="N61" s="40">
        <f t="shared" si="27"/>
        <v>0</v>
      </c>
      <c r="O61" s="40">
        <f t="shared" si="27"/>
        <v>0</v>
      </c>
      <c r="P61" s="32">
        <f t="shared" si="5"/>
        <v>1</v>
      </c>
    </row>
    <row r="62" spans="1:16" ht="13">
      <c r="A62" s="1">
        <v>13</v>
      </c>
      <c r="B62" s="40">
        <f t="shared" ref="B62:D62" si="28">B37/$P37</f>
        <v>0.69565217391304346</v>
      </c>
      <c r="C62" s="40">
        <f t="shared" si="28"/>
        <v>0.17391304347826086</v>
      </c>
      <c r="D62" s="40">
        <f t="shared" si="28"/>
        <v>4.3478260869565216E-2</v>
      </c>
      <c r="E62" s="40"/>
      <c r="F62" s="40"/>
      <c r="G62" s="40">
        <f t="shared" si="2"/>
        <v>0</v>
      </c>
      <c r="H62" s="40"/>
      <c r="I62" s="40"/>
      <c r="J62" s="40">
        <f t="shared" si="3"/>
        <v>0</v>
      </c>
      <c r="K62" s="40"/>
      <c r="L62" s="40"/>
      <c r="M62" s="40">
        <f t="shared" ref="M62:O62" si="29">M37/$P37</f>
        <v>4.3478260869565216E-2</v>
      </c>
      <c r="N62" s="40">
        <f t="shared" si="29"/>
        <v>4.3478260869565216E-2</v>
      </c>
      <c r="O62" s="40">
        <f t="shared" si="29"/>
        <v>0</v>
      </c>
      <c r="P62" s="32">
        <f t="shared" si="5"/>
        <v>0.99999999999999989</v>
      </c>
    </row>
    <row r="63" spans="1:16" ht="13">
      <c r="A63" s="1">
        <v>14</v>
      </c>
      <c r="B63" s="40">
        <f t="shared" ref="B63:D63" si="30">B38/$P38</f>
        <v>0.73684210526315785</v>
      </c>
      <c r="C63" s="40">
        <f t="shared" si="30"/>
        <v>0.15789473684210525</v>
      </c>
      <c r="D63" s="40">
        <f t="shared" si="30"/>
        <v>5.2631578947368418E-2</v>
      </c>
      <c r="E63" s="40"/>
      <c r="F63" s="40"/>
      <c r="G63" s="40">
        <f t="shared" si="2"/>
        <v>0</v>
      </c>
      <c r="H63" s="40"/>
      <c r="I63" s="40"/>
      <c r="J63" s="40">
        <f t="shared" si="3"/>
        <v>5.2631578947368418E-2</v>
      </c>
      <c r="K63" s="40"/>
      <c r="L63" s="40"/>
      <c r="M63" s="40">
        <f t="shared" ref="M63:O63" si="31">M38/$P38</f>
        <v>0</v>
      </c>
      <c r="N63" s="40">
        <f t="shared" si="31"/>
        <v>0</v>
      </c>
      <c r="O63" s="40">
        <f t="shared" si="31"/>
        <v>0</v>
      </c>
      <c r="P63" s="32">
        <f t="shared" si="5"/>
        <v>0.99999999999999978</v>
      </c>
    </row>
    <row r="64" spans="1:16" ht="13">
      <c r="A64" s="1">
        <v>15</v>
      </c>
      <c r="B64" s="40">
        <f t="shared" ref="B64:D64" si="32">B39/$P39</f>
        <v>0.52631578947368418</v>
      </c>
      <c r="C64" s="40">
        <f t="shared" si="32"/>
        <v>0.21052631578947367</v>
      </c>
      <c r="D64" s="40">
        <f t="shared" si="32"/>
        <v>0.10526315789473684</v>
      </c>
      <c r="E64" s="40"/>
      <c r="F64" s="40"/>
      <c r="G64" s="40">
        <f t="shared" si="2"/>
        <v>0</v>
      </c>
      <c r="H64" s="40"/>
      <c r="I64" s="40"/>
      <c r="J64" s="40">
        <f t="shared" si="3"/>
        <v>5.2631578947368418E-2</v>
      </c>
      <c r="K64" s="40"/>
      <c r="L64" s="40"/>
      <c r="M64" s="40">
        <f t="shared" ref="M64:O64" si="33">M39/$P39</f>
        <v>0</v>
      </c>
      <c r="N64" s="40">
        <f t="shared" si="33"/>
        <v>5.2631578947368418E-2</v>
      </c>
      <c r="O64" s="40">
        <f t="shared" si="33"/>
        <v>5.2631578947368418E-2</v>
      </c>
      <c r="P64" s="32">
        <f t="shared" si="5"/>
        <v>0.99999999999999978</v>
      </c>
    </row>
    <row r="65" spans="1:16" ht="13">
      <c r="A65" s="1">
        <v>16</v>
      </c>
      <c r="B65" s="40">
        <f t="shared" ref="B65:D65" si="34">B40/$P40</f>
        <v>0.68571428571428572</v>
      </c>
      <c r="C65" s="40">
        <f t="shared" si="34"/>
        <v>0.14285714285714285</v>
      </c>
      <c r="D65" s="40">
        <f t="shared" si="34"/>
        <v>0</v>
      </c>
      <c r="E65" s="40"/>
      <c r="F65" s="40"/>
      <c r="G65" s="40">
        <f t="shared" si="2"/>
        <v>8.5714285714285715E-2</v>
      </c>
      <c r="H65" s="40"/>
      <c r="I65" s="40"/>
      <c r="J65" s="40">
        <f t="shared" si="3"/>
        <v>5.7142857142857141E-2</v>
      </c>
      <c r="K65" s="40"/>
      <c r="L65" s="40"/>
      <c r="M65" s="40">
        <f t="shared" ref="M65:O65" si="35">M40/$P40</f>
        <v>0</v>
      </c>
      <c r="N65" s="40">
        <f t="shared" si="35"/>
        <v>2.8571428571428571E-2</v>
      </c>
      <c r="O65" s="40">
        <f t="shared" si="35"/>
        <v>0</v>
      </c>
      <c r="P65" s="32">
        <f t="shared" si="5"/>
        <v>1</v>
      </c>
    </row>
    <row r="66" spans="1:16" ht="13">
      <c r="A66" s="1">
        <v>17</v>
      </c>
      <c r="B66" s="40">
        <f t="shared" ref="B66:D66" si="36">B41/$P41</f>
        <v>0.72</v>
      </c>
      <c r="C66" s="40">
        <f t="shared" si="36"/>
        <v>0.12</v>
      </c>
      <c r="D66" s="40">
        <f t="shared" si="36"/>
        <v>0.04</v>
      </c>
      <c r="E66" s="40"/>
      <c r="F66" s="40"/>
      <c r="G66" s="40">
        <f t="shared" si="2"/>
        <v>0</v>
      </c>
      <c r="H66" s="40"/>
      <c r="I66" s="40"/>
      <c r="J66" s="40">
        <f t="shared" si="3"/>
        <v>0.08</v>
      </c>
      <c r="K66" s="40"/>
      <c r="L66" s="40"/>
      <c r="M66" s="40">
        <f t="shared" ref="M66:O66" si="37">M41/$P41</f>
        <v>0</v>
      </c>
      <c r="N66" s="40">
        <f t="shared" si="37"/>
        <v>0</v>
      </c>
      <c r="O66" s="40">
        <f t="shared" si="37"/>
        <v>0.04</v>
      </c>
      <c r="P66" s="32">
        <f t="shared" si="5"/>
        <v>1</v>
      </c>
    </row>
    <row r="67" spans="1:16" ht="13">
      <c r="A67" s="1">
        <v>18</v>
      </c>
      <c r="B67" s="40">
        <f t="shared" ref="B67:D67" si="38">B42/$P42</f>
        <v>0.76470588235294112</v>
      </c>
      <c r="C67" s="40">
        <f t="shared" si="38"/>
        <v>0.17647058823529413</v>
      </c>
      <c r="D67" s="40">
        <f t="shared" si="38"/>
        <v>5.8823529411764705E-2</v>
      </c>
      <c r="E67" s="40"/>
      <c r="F67" s="40"/>
      <c r="G67" s="40">
        <f t="shared" si="2"/>
        <v>0</v>
      </c>
      <c r="H67" s="40"/>
      <c r="I67" s="40"/>
      <c r="J67" s="40">
        <f t="shared" si="3"/>
        <v>0</v>
      </c>
      <c r="K67" s="40"/>
      <c r="L67" s="40"/>
      <c r="M67" s="40">
        <f t="shared" ref="M67:O67" si="39">M42/$P42</f>
        <v>0</v>
      </c>
      <c r="N67" s="40">
        <f t="shared" si="39"/>
        <v>0</v>
      </c>
      <c r="O67" s="40">
        <f t="shared" si="39"/>
        <v>0</v>
      </c>
      <c r="P67" s="32">
        <f t="shared" si="5"/>
        <v>1</v>
      </c>
    </row>
    <row r="68" spans="1:16" ht="13">
      <c r="A68" s="1">
        <v>19</v>
      </c>
      <c r="B68" s="40">
        <f t="shared" ref="B68:D68" si="40">B43/$P43</f>
        <v>0.54545454545454541</v>
      </c>
      <c r="C68" s="40">
        <f t="shared" si="40"/>
        <v>0.18181818181818182</v>
      </c>
      <c r="D68" s="40">
        <f t="shared" si="40"/>
        <v>9.0909090909090912E-2</v>
      </c>
      <c r="E68" s="40"/>
      <c r="F68" s="40"/>
      <c r="G68" s="40">
        <f t="shared" si="2"/>
        <v>0</v>
      </c>
      <c r="H68" s="40"/>
      <c r="I68" s="40"/>
      <c r="J68" s="40">
        <f t="shared" si="3"/>
        <v>0.18181818181818182</v>
      </c>
      <c r="K68" s="40"/>
      <c r="L68" s="40"/>
      <c r="M68" s="40">
        <f t="shared" ref="M68:O68" si="41">M43/$P43</f>
        <v>0</v>
      </c>
      <c r="N68" s="40">
        <f t="shared" si="41"/>
        <v>0</v>
      </c>
      <c r="O68" s="40">
        <f t="shared" si="41"/>
        <v>0</v>
      </c>
      <c r="P68" s="32">
        <f t="shared" si="5"/>
        <v>1</v>
      </c>
    </row>
    <row r="69" spans="1:16" ht="13">
      <c r="A69" s="1">
        <v>20</v>
      </c>
      <c r="B69" s="40">
        <f t="shared" ref="B69:D69" si="42">B44/$P44</f>
        <v>0.55555555555555558</v>
      </c>
      <c r="C69" s="40">
        <f t="shared" si="42"/>
        <v>0.1111111111111111</v>
      </c>
      <c r="D69" s="40">
        <f t="shared" si="42"/>
        <v>0</v>
      </c>
      <c r="E69" s="40"/>
      <c r="F69" s="40"/>
      <c r="G69" s="40">
        <f t="shared" si="2"/>
        <v>0.1111111111111111</v>
      </c>
      <c r="H69" s="40"/>
      <c r="I69" s="40"/>
      <c r="J69" s="40">
        <f t="shared" si="3"/>
        <v>0</v>
      </c>
      <c r="K69" s="40"/>
      <c r="L69" s="40"/>
      <c r="M69" s="40">
        <f t="shared" ref="M69:O69" si="43">M44/$P44</f>
        <v>0.1111111111111111</v>
      </c>
      <c r="N69" s="40">
        <f t="shared" si="43"/>
        <v>0.1111111111111111</v>
      </c>
      <c r="O69" s="40">
        <f t="shared" si="43"/>
        <v>0</v>
      </c>
      <c r="P69" s="32">
        <f t="shared" si="5"/>
        <v>1.0000000000000002</v>
      </c>
    </row>
    <row r="70" spans="1:16" ht="13">
      <c r="A70" s="1">
        <v>21</v>
      </c>
      <c r="B70" s="40">
        <f t="shared" ref="B70:D70" si="44">B45/$P45</f>
        <v>0.42857142857142855</v>
      </c>
      <c r="C70" s="40">
        <f t="shared" si="44"/>
        <v>0.42857142857142855</v>
      </c>
      <c r="D70" s="40">
        <f t="shared" si="44"/>
        <v>0.14285714285714285</v>
      </c>
      <c r="E70" s="40"/>
      <c r="F70" s="40"/>
      <c r="G70" s="40">
        <f t="shared" si="2"/>
        <v>0</v>
      </c>
      <c r="H70" s="40"/>
      <c r="I70" s="40"/>
      <c r="J70" s="40">
        <f t="shared" si="3"/>
        <v>0</v>
      </c>
      <c r="K70" s="40"/>
      <c r="L70" s="40"/>
      <c r="M70" s="40">
        <f t="shared" ref="M70:O70" si="45">M45/$P45</f>
        <v>0</v>
      </c>
      <c r="N70" s="40">
        <f t="shared" si="45"/>
        <v>0</v>
      </c>
      <c r="O70" s="40">
        <f t="shared" si="45"/>
        <v>0</v>
      </c>
      <c r="P70" s="32">
        <f t="shared" si="5"/>
        <v>1</v>
      </c>
    </row>
    <row r="71" spans="1:16" ht="13">
      <c r="A71" s="1">
        <v>22</v>
      </c>
      <c r="B71" s="40">
        <f t="shared" ref="B71:D71" si="46">B46/$P46</f>
        <v>0.33333333333333331</v>
      </c>
      <c r="C71" s="40">
        <f t="shared" si="46"/>
        <v>0.33333333333333331</v>
      </c>
      <c r="D71" s="40">
        <f t="shared" si="46"/>
        <v>0</v>
      </c>
      <c r="E71" s="40"/>
      <c r="F71" s="40"/>
      <c r="G71" s="40">
        <f t="shared" si="2"/>
        <v>8.3333333333333329E-2</v>
      </c>
      <c r="H71" s="40"/>
      <c r="I71" s="40"/>
      <c r="J71" s="40">
        <f t="shared" si="3"/>
        <v>8.3333333333333329E-2</v>
      </c>
      <c r="K71" s="40"/>
      <c r="L71" s="40"/>
      <c r="M71" s="40">
        <f t="shared" ref="M71:O71" si="47">M46/$P46</f>
        <v>0</v>
      </c>
      <c r="N71" s="40">
        <f t="shared" si="47"/>
        <v>0.16666666666666666</v>
      </c>
      <c r="O71" s="40">
        <f t="shared" si="47"/>
        <v>0</v>
      </c>
      <c r="P71" s="32">
        <f t="shared" si="5"/>
        <v>1</v>
      </c>
    </row>
    <row r="72" spans="1:16" ht="13">
      <c r="A72" s="1">
        <v>23</v>
      </c>
      <c r="B72" s="40">
        <f t="shared" ref="B72:D72" si="48">B47/$P47</f>
        <v>0.2</v>
      </c>
      <c r="C72" s="40">
        <f t="shared" si="48"/>
        <v>0.4</v>
      </c>
      <c r="D72" s="40">
        <f t="shared" si="48"/>
        <v>0.2</v>
      </c>
      <c r="E72" s="40"/>
      <c r="F72" s="40"/>
      <c r="G72" s="40">
        <f t="shared" si="2"/>
        <v>0</v>
      </c>
      <c r="H72" s="40"/>
      <c r="I72" s="40"/>
      <c r="J72" s="40">
        <f t="shared" si="3"/>
        <v>0.1</v>
      </c>
      <c r="K72" s="40"/>
      <c r="L72" s="40"/>
      <c r="M72" s="40">
        <f t="shared" ref="M72:O72" si="49">M47/$P47</f>
        <v>0</v>
      </c>
      <c r="N72" s="40">
        <f t="shared" si="49"/>
        <v>0.1</v>
      </c>
      <c r="O72" s="40">
        <f t="shared" si="49"/>
        <v>0</v>
      </c>
      <c r="P72" s="32">
        <f t="shared" si="5"/>
        <v>1</v>
      </c>
    </row>
    <row r="74" spans="1:16" ht="13">
      <c r="A74" s="1" t="s">
        <v>6</v>
      </c>
      <c r="B74" s="1" t="s">
        <v>1559</v>
      </c>
      <c r="C74" s="1" t="s">
        <v>1560</v>
      </c>
      <c r="D74" s="35" t="s">
        <v>1561</v>
      </c>
      <c r="E74" s="35"/>
      <c r="F74" s="35"/>
      <c r="G74" s="35" t="s">
        <v>1562</v>
      </c>
      <c r="H74" s="35"/>
      <c r="I74" s="35"/>
      <c r="J74" s="35" t="s">
        <v>1563</v>
      </c>
      <c r="K74" s="35"/>
      <c r="L74" s="35"/>
      <c r="M74" s="35" t="s">
        <v>1564</v>
      </c>
      <c r="N74" s="35" t="s">
        <v>1565</v>
      </c>
      <c r="O74" s="1" t="s">
        <v>1566</v>
      </c>
      <c r="P74" s="1" t="s">
        <v>1567</v>
      </c>
    </row>
    <row r="75" spans="1:16" ht="13">
      <c r="A75" s="1">
        <v>1959</v>
      </c>
      <c r="B75" s="36">
        <f>COUNTIFS(astronauts!B:B,"Male", astronauts!C:C, "White", astronauts!H:H, "1")</f>
        <v>7</v>
      </c>
      <c r="C75" s="36">
        <f>COUNTIFS(astronauts!B:B,"Female", astronauts!C:C, "White", astronauts!H:H, "2")</f>
        <v>0</v>
      </c>
      <c r="D75" s="37">
        <f>COUNTIFS(astronauts!C:C, "Black", astronauts!B:B, "Male", astronauts!H:H, "1")</f>
        <v>0</v>
      </c>
      <c r="E75" s="37"/>
      <c r="F75" s="37"/>
      <c r="G75" s="37">
        <f>COUNTIFS(astronauts!C:C, "Black", astronauts!B:B, "Female", astronauts!H:H, "1")</f>
        <v>0</v>
      </c>
      <c r="H75" s="37"/>
      <c r="I75" s="37"/>
      <c r="J75" s="37">
        <f>COUNTIFS(astronauts!C:C, "Hispanic", astronauts!B:B, "Male", astronauts!H:H, "1")</f>
        <v>0</v>
      </c>
      <c r="K75" s="37"/>
      <c r="L75" s="37"/>
      <c r="M75" s="37">
        <f>COUNTIFS(astronauts!C:C, "Hispanic", astronauts!B:B, "Female", astronauts!H:H, "1")</f>
        <v>0</v>
      </c>
      <c r="N75" s="37">
        <f>COUNTIFS(astronauts!C:C,"Asian", astronauts!B:B, "Male", astronauts!H:H, "1")</f>
        <v>0</v>
      </c>
      <c r="O75" s="38">
        <f>COUNTIFS(astronauts!C:C,"Asian", astronauts!B:B, "Female", astronauts!H:H, "1")</f>
        <v>0</v>
      </c>
      <c r="P75" s="39">
        <f t="shared" ref="P75:P94" si="50">SUM(B75:O75)</f>
        <v>7</v>
      </c>
    </row>
    <row r="76" spans="1:16" ht="13">
      <c r="A76" s="1">
        <v>1962</v>
      </c>
      <c r="B76" s="36">
        <f>COUNTIFS(astronauts!B:B,"Male", astronauts!C:C, "White", astronauts!H:H, "2")</f>
        <v>9</v>
      </c>
      <c r="C76" s="36">
        <f>COUNTIFS(astronauts!B:B,"Female", astronauts!C:C, "White", astronauts!H:H, "2")</f>
        <v>0</v>
      </c>
      <c r="D76" s="37">
        <f>COUNTIFS(astronauts!C:C, "Black", astronauts!B:B, "Male", astronauts!H:H, "2")</f>
        <v>0</v>
      </c>
      <c r="E76" s="37"/>
      <c r="F76" s="37"/>
      <c r="G76" s="37">
        <f>COUNTIFS(astronauts!C:C, "Black", astronauts!B:B, "Female", astronauts!H:H, "2")</f>
        <v>0</v>
      </c>
      <c r="H76" s="37"/>
      <c r="I76" s="37"/>
      <c r="J76" s="37">
        <f>COUNTIFS(astronauts!C:C, "Hispanic", astronauts!B:B, "Male", astronauts!H:H, "2")</f>
        <v>0</v>
      </c>
      <c r="K76" s="37"/>
      <c r="L76" s="37"/>
      <c r="M76" s="37">
        <f>COUNTIFS(astronauts!C:C, "Hispanic", astronauts!B:B, "Female", astronauts!H:H, "2")</f>
        <v>0</v>
      </c>
      <c r="N76" s="37">
        <f>COUNTIFS(astronauts!C:C,"Asian", astronauts!B:B, "Male", astronauts!H:H, "2")</f>
        <v>0</v>
      </c>
      <c r="O76" s="38">
        <f>COUNTIFS(astronauts!C:C,"Asian", astronauts!B:B, "Female", astronauts!H:H, "2")</f>
        <v>0</v>
      </c>
      <c r="P76" s="39">
        <f t="shared" si="50"/>
        <v>9</v>
      </c>
    </row>
    <row r="77" spans="1:16" ht="13">
      <c r="A77" s="1">
        <v>1963</v>
      </c>
      <c r="B77" s="36">
        <f>COUNTIFS(astronauts!B:B,"Male", astronauts!C:C, "White", astronauts!H:H, "3")</f>
        <v>14</v>
      </c>
      <c r="C77" s="36">
        <f>COUNTIFS(astronauts!B:B,"Female", astronauts!C:C, "White", astronauts!H:H, "3")</f>
        <v>0</v>
      </c>
      <c r="D77" s="37">
        <f>COUNTIFS(astronauts!C:C, "Black", astronauts!B:B, "Male", astronauts!H:H, "3")</f>
        <v>0</v>
      </c>
      <c r="E77" s="37"/>
      <c r="F77" s="37"/>
      <c r="G77" s="37">
        <f>COUNTIFS(astronauts!C:C, "Black", astronauts!B:B, "Female", astronauts!H:H, "3")</f>
        <v>0</v>
      </c>
      <c r="H77" s="37"/>
      <c r="I77" s="37"/>
      <c r="J77" s="37">
        <f>COUNTIFS(astronauts!C:C, "Hispanic", astronauts!B:B, "Male", astronauts!H:H, "3")</f>
        <v>0</v>
      </c>
      <c r="K77" s="37"/>
      <c r="L77" s="37"/>
      <c r="M77" s="37">
        <f>COUNTIFS(astronauts!C:C, "Hispanic", astronauts!B:B, "Female", astronauts!H:H, "3")</f>
        <v>0</v>
      </c>
      <c r="N77" s="37">
        <f>COUNTIFS(astronauts!C:C,"Asian", astronauts!B:B, "Male", astronauts!H:H, "3")</f>
        <v>0</v>
      </c>
      <c r="O77" s="38">
        <f>COUNTIFS(astronauts!C:C,"Asian", astronauts!B:B, "Female", astronauts!H:H, "3")</f>
        <v>0</v>
      </c>
      <c r="P77" s="39">
        <f t="shared" si="50"/>
        <v>14</v>
      </c>
    </row>
    <row r="78" spans="1:16" ht="13">
      <c r="A78" s="1">
        <v>1965</v>
      </c>
      <c r="B78" s="36">
        <f>COUNTIFS(astronauts!B:B,"Male", astronauts!C:C, "White", astronauts!H:H, "4")</f>
        <v>6</v>
      </c>
      <c r="C78" s="36">
        <f>COUNTIFS(astronauts!B:B,"Female", astronauts!C:C, "White", astronauts!H:H, "4")</f>
        <v>0</v>
      </c>
      <c r="D78" s="37">
        <f>COUNTIFS(astronauts!C:C, "Black", astronauts!B:B, "Male", astronauts!H:H, "4")</f>
        <v>0</v>
      </c>
      <c r="E78" s="37"/>
      <c r="F78" s="37"/>
      <c r="G78" s="37">
        <f>COUNTIFS(astronauts!C:C, "Black", astronauts!B:B, "Female", astronauts!H:H, "4")</f>
        <v>0</v>
      </c>
      <c r="H78" s="37"/>
      <c r="I78" s="37"/>
      <c r="J78" s="37">
        <f>COUNTIFS(astronauts!C:C, "Hispanic", astronauts!B:B, "Male", astronauts!H:H, "4")</f>
        <v>0</v>
      </c>
      <c r="K78" s="37"/>
      <c r="L78" s="37"/>
      <c r="M78" s="37">
        <f>COUNTIFS(astronauts!C:C, "Hispanic", astronauts!B:B, "Female", astronauts!H:H, "4")</f>
        <v>0</v>
      </c>
      <c r="N78" s="37">
        <f>COUNTIFS(astronauts!C:C,"Asian", astronauts!B:B, "Male", astronauts!H:H, "4")</f>
        <v>0</v>
      </c>
      <c r="O78" s="38">
        <f>COUNTIFS(astronauts!C:C,"Asian", astronauts!B:B, "Female", astronauts!H:H, "4")</f>
        <v>0</v>
      </c>
      <c r="P78" s="39">
        <f t="shared" si="50"/>
        <v>6</v>
      </c>
    </row>
    <row r="79" spans="1:16" ht="13">
      <c r="A79" s="1">
        <v>1966</v>
      </c>
      <c r="B79" s="36">
        <f>COUNTIFS(astronauts!B:B,"Male", astronauts!C:C, "White", astronauts!H:H, "5")</f>
        <v>19</v>
      </c>
      <c r="C79" s="36">
        <f>COUNTIFS(astronauts!B:B,"Female", astronauts!C:C, "White", astronauts!H:H, "5")</f>
        <v>0</v>
      </c>
      <c r="D79" s="37">
        <f>COUNTIFS(astronauts!C:C, "Black", astronauts!B:B, "Male", astronauts!H:H, "5")</f>
        <v>0</v>
      </c>
      <c r="E79" s="37"/>
      <c r="F79" s="37"/>
      <c r="G79" s="37">
        <f>COUNTIFS(astronauts!C:C, "Black", astronauts!B:B, "Female", astronauts!H:H, "5")</f>
        <v>0</v>
      </c>
      <c r="H79" s="37"/>
      <c r="I79" s="37"/>
      <c r="J79" s="37">
        <f>COUNTIFS(astronauts!C:C, "Hispanic", astronauts!B:B, "Male", astronauts!H:H, "5")</f>
        <v>0</v>
      </c>
      <c r="K79" s="37"/>
      <c r="L79" s="37"/>
      <c r="M79" s="37">
        <f>COUNTIFS(astronauts!C:C, "Hispanic", astronauts!B:B, "Female", astronauts!H:H, "5")</f>
        <v>0</v>
      </c>
      <c r="N79" s="37">
        <f>COUNTIFS(astronauts!C:C,"Asian", astronauts!B:B, "Male", astronauts!H:H, "5")</f>
        <v>0</v>
      </c>
      <c r="O79" s="38">
        <f>COUNTIFS(astronauts!C:C,"Asian", astronauts!B:B, "Female", astronauts!H:H, "5")</f>
        <v>0</v>
      </c>
      <c r="P79" s="39">
        <f t="shared" si="50"/>
        <v>19</v>
      </c>
    </row>
    <row r="80" spans="1:16" ht="13">
      <c r="A80" s="1">
        <v>1967</v>
      </c>
      <c r="B80" s="36">
        <f>COUNTIFS(astronauts!B:B,"Male", astronauts!C:C, "White", astronauts!H:H, "6")</f>
        <v>11</v>
      </c>
      <c r="C80" s="36">
        <f>COUNTIFS(astronauts!B:B,"Female", astronauts!C:C, "White", astronauts!H:H, "6")</f>
        <v>0</v>
      </c>
      <c r="D80" s="37">
        <f>COUNTIFS(astronauts!C:C, "Black", astronauts!B:B, "Male", astronauts!H:H, "6")</f>
        <v>0</v>
      </c>
      <c r="E80" s="37"/>
      <c r="F80" s="37"/>
      <c r="G80" s="37">
        <f>COUNTIFS(astronauts!C:C, "Black", astronauts!B:B, "Female", astronauts!H:H, "6")</f>
        <v>0</v>
      </c>
      <c r="H80" s="37"/>
      <c r="I80" s="37"/>
      <c r="J80" s="37">
        <f>COUNTIFS(astronauts!C:C, "Hispanic", astronauts!B:B, "Male", astronauts!H:H, "6")</f>
        <v>0</v>
      </c>
      <c r="K80" s="37"/>
      <c r="L80" s="37"/>
      <c r="M80" s="37">
        <f>COUNTIFS(astronauts!C:C, "Hispanic", astronauts!B:B, "Female", astronauts!H:H, "6")</f>
        <v>0</v>
      </c>
      <c r="N80" s="37">
        <f>COUNTIFS(astronauts!C:C,"Asian", astronauts!B:B, "Male", astronauts!H:H, "6")</f>
        <v>0</v>
      </c>
      <c r="O80" s="38">
        <f>COUNTIFS(astronauts!C:C,"Asian", astronauts!B:B, "Female", astronauts!H:H, "6")</f>
        <v>0</v>
      </c>
      <c r="P80" s="39">
        <f t="shared" si="50"/>
        <v>11</v>
      </c>
    </row>
    <row r="81" spans="1:17" ht="13">
      <c r="A81" s="1">
        <v>1969</v>
      </c>
      <c r="B81" s="36">
        <f>COUNTIFS(astronauts!B:B,"Male", astronauts!C:C, "White", astronauts!H:H, "7")</f>
        <v>7</v>
      </c>
      <c r="C81" s="36">
        <f>COUNTIFS(astronauts!B:B,"Female", astronauts!C:C, "White", astronauts!H:H, "7")</f>
        <v>0</v>
      </c>
      <c r="D81" s="37">
        <f>COUNTIFS(astronauts!C:C, "Black", astronauts!B:B, "Male", astronauts!H:H, "7")</f>
        <v>0</v>
      </c>
      <c r="E81" s="37"/>
      <c r="F81" s="37"/>
      <c r="G81" s="37">
        <f>COUNTIFS(astronauts!C:C, "Black", astronauts!B:B, "Female", astronauts!H:H, "7")</f>
        <v>0</v>
      </c>
      <c r="H81" s="37"/>
      <c r="I81" s="37"/>
      <c r="J81" s="37">
        <f>COUNTIFS(astronauts!C:C, "Hispanic", astronauts!B:B, "Male", astronauts!H:H, "7")</f>
        <v>0</v>
      </c>
      <c r="K81" s="37"/>
      <c r="L81" s="37"/>
      <c r="M81" s="37">
        <f>COUNTIFS(astronauts!C:C, "Hispanic", astronauts!B:B, "Female", astronauts!H:H, "7")</f>
        <v>0</v>
      </c>
      <c r="N81" s="37">
        <f>COUNTIFS(astronauts!C:C,"Asian", astronauts!B:B, "Male", astronauts!H:H, "7")</f>
        <v>0</v>
      </c>
      <c r="O81" s="38">
        <f>COUNTIFS(astronauts!C:C,"Asian", astronauts!B:B, "Female", astronauts!H:H, "7")</f>
        <v>0</v>
      </c>
      <c r="P81" s="41">
        <f t="shared" si="50"/>
        <v>7</v>
      </c>
      <c r="Q81" s="1">
        <v>7</v>
      </c>
    </row>
    <row r="82" spans="1:17" ht="13">
      <c r="A82" s="1">
        <v>1978</v>
      </c>
      <c r="B82" s="36">
        <f>COUNTIFS(astronauts!B:B,"Male", astronauts!C:C, "White", astronauts!H:H, "8")</f>
        <v>26</v>
      </c>
      <c r="C82" s="36">
        <f>COUNTIFS(astronauts!B:B,"Female", astronauts!C:C, "White", astronauts!H:H, "8")</f>
        <v>6</v>
      </c>
      <c r="D82" s="37">
        <f>COUNTIFS(astronauts!C:C, "Black", astronauts!B:B, "Male", astronauts!H:H, "8")</f>
        <v>2</v>
      </c>
      <c r="E82" s="37"/>
      <c r="F82" s="37"/>
      <c r="G82" s="37">
        <f>COUNTIFS(astronauts!C:C, "Black", astronauts!B:B, "Female", astronauts!H:H, "8")</f>
        <v>0</v>
      </c>
      <c r="H82" s="37"/>
      <c r="I82" s="37"/>
      <c r="J82" s="37">
        <f>COUNTIFS(astronauts!C:C, "Hispanic", astronauts!B:B, "Male", astronauts!H:H, "8")</f>
        <v>0</v>
      </c>
      <c r="K82" s="37"/>
      <c r="L82" s="37"/>
      <c r="M82" s="37">
        <f>COUNTIFS(astronauts!C:C, "Hispanic", astronauts!B:B, "Female", astronauts!H:H, "8")</f>
        <v>0</v>
      </c>
      <c r="N82" s="37">
        <f>COUNTIFS(astronauts!C:C,"Asian", astronauts!B:B, "Male", astronauts!H:H, "8")</f>
        <v>1</v>
      </c>
      <c r="O82" s="38">
        <f>COUNTIFS(astronauts!C:C,"Asian", astronauts!B:B, "Female", astronauts!H:H, "8")</f>
        <v>0</v>
      </c>
      <c r="P82" s="39">
        <f t="shared" si="50"/>
        <v>35</v>
      </c>
    </row>
    <row r="83" spans="1:17" ht="13">
      <c r="A83" s="1">
        <v>1980</v>
      </c>
      <c r="B83" s="36">
        <f>COUNTIFS(astronauts!B:B,"Male", astronauts!C:C, "White", astronauts!H:H, "9")</f>
        <v>15</v>
      </c>
      <c r="C83" s="36">
        <f>COUNTIFS(astronauts!B:B,"Female", astronauts!C:C, "White", astronauts!H:H, "9")</f>
        <v>2</v>
      </c>
      <c r="D83" s="37">
        <f>COUNTIFS(astronauts!C:C, "Black", astronauts!B:B, "Male", astronauts!H:H, "9")</f>
        <v>1</v>
      </c>
      <c r="E83" s="37"/>
      <c r="F83" s="37"/>
      <c r="G83" s="37">
        <f>COUNTIFS(astronauts!C:C, "Black", astronauts!B:B, "Female", astronauts!H:H, "9")</f>
        <v>0</v>
      </c>
      <c r="H83" s="37"/>
      <c r="I83" s="37"/>
      <c r="J83" s="37">
        <f>COUNTIFS(astronauts!C:C, "Hispanic", astronauts!B:B, "Male", astronauts!H:H, "9")</f>
        <v>1</v>
      </c>
      <c r="K83" s="37"/>
      <c r="L83" s="37"/>
      <c r="M83" s="37">
        <f>COUNTIFS(astronauts!C:C, "Hispanic", astronauts!B:B, "Female", astronauts!H:H, "9")</f>
        <v>0</v>
      </c>
      <c r="N83" s="37">
        <f>COUNTIFS(astronauts!C:C,"Asian", astronauts!B:B, "Male", astronauts!H:H, "9")</f>
        <v>0</v>
      </c>
      <c r="O83" s="38">
        <f>COUNTIFS(astronauts!C:C,"Asian", astronauts!B:B, "Female", astronauts!H:H, "9")</f>
        <v>0</v>
      </c>
      <c r="P83" s="39">
        <f t="shared" si="50"/>
        <v>19</v>
      </c>
    </row>
    <row r="84" spans="1:17" ht="13">
      <c r="A84" s="1">
        <v>1984</v>
      </c>
      <c r="B84" s="36">
        <f>COUNTIFS(astronauts!B:B,"Male", astronauts!C:C, "White", astronauts!H:H, "10")</f>
        <v>13</v>
      </c>
      <c r="C84" s="36">
        <f>COUNTIFS(astronauts!B:B,"Female", astronauts!C:C, "White", astronauts!H:H, "10")</f>
        <v>3</v>
      </c>
      <c r="D84" s="37">
        <f>COUNTIFS(astronauts!C:C, "Black", astronauts!B:B, "Male", astronauts!H:H, "10")</f>
        <v>0</v>
      </c>
      <c r="E84" s="37"/>
      <c r="F84" s="37"/>
      <c r="G84" s="37">
        <f>COUNTIFS(astronauts!C:C, "Black", astronauts!B:B, "Female", astronauts!H:H, "10")</f>
        <v>0</v>
      </c>
      <c r="H84" s="37"/>
      <c r="I84" s="37"/>
      <c r="J84" s="37">
        <f>COUNTIFS(astronauts!C:C, "Hispanic", astronauts!B:B, "Male", astronauts!H:H, "10")</f>
        <v>1</v>
      </c>
      <c r="K84" s="37"/>
      <c r="L84" s="37"/>
      <c r="M84" s="37">
        <f>COUNTIFS(astronauts!C:C, "Hispanic", astronauts!B:B, "Female", astronauts!H:H, "10")</f>
        <v>0</v>
      </c>
      <c r="N84" s="37">
        <f>COUNTIFS(astronauts!C:C,"Asian", astronauts!B:B, "Male", astronauts!H:H, "10")</f>
        <v>0</v>
      </c>
      <c r="O84" s="38">
        <f>COUNTIFS(astronauts!C:C,"Asian", astronauts!B:B, "Female", astronauts!H:H, "10")</f>
        <v>0</v>
      </c>
      <c r="P84" s="39">
        <f t="shared" si="50"/>
        <v>17</v>
      </c>
    </row>
    <row r="85" spans="1:17" ht="13">
      <c r="A85" s="1">
        <v>1985</v>
      </c>
      <c r="B85" s="36">
        <f>COUNTIFS(astronauts!B:B,"Male", astronauts!C:C, "White", astronauts!H:H, "11")</f>
        <v>11</v>
      </c>
      <c r="C85" s="36">
        <f>COUNTIFS(astronauts!B:B,"Female", astronauts!C:C, "White", astronauts!H:H, "11")</f>
        <v>2</v>
      </c>
      <c r="D85" s="37">
        <f>COUNTIFS(astronauts!C:C, "Black", astronauts!B:B, "Male", astronauts!H:H, "11")</f>
        <v>0</v>
      </c>
      <c r="E85" s="37"/>
      <c r="F85" s="37"/>
      <c r="G85" s="37">
        <f>COUNTIFS(astronauts!C:C, "Black", astronauts!B:B, "Female", astronauts!H:H, "11")</f>
        <v>0</v>
      </c>
      <c r="H85" s="37"/>
      <c r="I85" s="37"/>
      <c r="J85" s="37">
        <f>COUNTIFS(astronauts!C:C, "Hispanic", astronauts!B:B, "Male", astronauts!H:H, "11")</f>
        <v>0</v>
      </c>
      <c r="K85" s="37"/>
      <c r="L85" s="37"/>
      <c r="M85" s="37">
        <f>COUNTIFS(astronauts!C:C, "Hispanic", astronauts!B:B, "Female", astronauts!H:H, "11")</f>
        <v>0</v>
      </c>
      <c r="N85" s="37">
        <f>COUNTIFS(astronauts!C:C,"Asian", astronauts!B:B, "Male", astronauts!H:H, "11")</f>
        <v>0</v>
      </c>
      <c r="O85" s="38">
        <f>COUNTIFS(astronauts!C:C,"Asian", astronauts!B:B, "Female", astronauts!H:H, "11")</f>
        <v>0</v>
      </c>
      <c r="P85" s="39">
        <f t="shared" si="50"/>
        <v>13</v>
      </c>
    </row>
    <row r="86" spans="1:17" ht="13">
      <c r="A86" s="1">
        <v>1987</v>
      </c>
      <c r="B86" s="36">
        <f>COUNTIFS(astronauts!B:B,"Male", astronauts!C:C, "White", astronauts!H:H, "12")</f>
        <v>13</v>
      </c>
      <c r="C86" s="36">
        <f>COUNTIFS(astronauts!B:B,"Female", astronauts!C:C, "White", astronauts!H:H, "12")</f>
        <v>1</v>
      </c>
      <c r="D86" s="37">
        <f>COUNTIFS(astronauts!C:C, "Black", astronauts!B:B, "Male", astronauts!H:H, "12")</f>
        <v>0</v>
      </c>
      <c r="E86" s="37"/>
      <c r="F86" s="37"/>
      <c r="G86" s="37">
        <f>COUNTIFS(astronauts!C:C, "Black", astronauts!B:B, "Female", astronauts!H:H, "12")</f>
        <v>1</v>
      </c>
      <c r="H86" s="37"/>
      <c r="I86" s="37"/>
      <c r="J86" s="37">
        <f>COUNTIFS(astronauts!C:C, "Hispanic", astronauts!B:B, "Male", astronauts!H:H, "12")</f>
        <v>0</v>
      </c>
      <c r="K86" s="37"/>
      <c r="L86" s="37"/>
      <c r="M86" s="37">
        <f>COUNTIFS(astronauts!C:C, "Hispanic", astronauts!B:B, "Female", astronauts!H:H, "12")</f>
        <v>0</v>
      </c>
      <c r="N86" s="37">
        <f>COUNTIFS(astronauts!C:C,"Asian", astronauts!B:B, "Male", astronauts!H:H, "12")</f>
        <v>0</v>
      </c>
      <c r="O86" s="38">
        <f>COUNTIFS(astronauts!C:C,"Asian", astronauts!B:B, "Female", astronauts!H:H, "12")</f>
        <v>0</v>
      </c>
      <c r="P86" s="39">
        <f t="shared" si="50"/>
        <v>15</v>
      </c>
    </row>
    <row r="87" spans="1:17" ht="13">
      <c r="A87" s="1">
        <v>1990</v>
      </c>
      <c r="B87" s="36">
        <f>COUNTIFS(astronauts!B:B,"Male", astronauts!C:C, "White", astronauts!H:H, "13")</f>
        <v>16</v>
      </c>
      <c r="C87" s="36">
        <f>COUNTIFS(astronauts!B:B,"Female", astronauts!C:C, "White", astronauts!H:H, "13")</f>
        <v>4</v>
      </c>
      <c r="D87" s="37">
        <f>COUNTIFS(astronauts!C:C, "Black", astronauts!B:B, "Male", astronauts!H:H, "13")</f>
        <v>1</v>
      </c>
      <c r="E87" s="37"/>
      <c r="F87" s="37"/>
      <c r="G87" s="37">
        <f>COUNTIFS(astronauts!C:C, "Black", astronauts!B:B, "Female", astronauts!H:H, "13")</f>
        <v>0</v>
      </c>
      <c r="H87" s="37"/>
      <c r="I87" s="37"/>
      <c r="J87" s="37">
        <f>COUNTIFS(astronauts!C:C, "Hispanic", astronauts!B:B, "Male", astronauts!H:H, "13")</f>
        <v>0</v>
      </c>
      <c r="K87" s="37"/>
      <c r="L87" s="37"/>
      <c r="M87" s="37">
        <f>COUNTIFS(astronauts!C:C, "Hispanic", astronauts!B:B, "Female", astronauts!H:H, "13")</f>
        <v>1</v>
      </c>
      <c r="N87" s="37">
        <f>COUNTIFS(astronauts!C:C,"Asian", astronauts!B:B, "Male", astronauts!H:H, "13")</f>
        <v>1</v>
      </c>
      <c r="O87" s="38">
        <f>COUNTIFS(astronauts!C:C,"Asian", astronauts!B:B, "Female", astronauts!H:H, "13")</f>
        <v>0</v>
      </c>
      <c r="P87" s="39">
        <f t="shared" si="50"/>
        <v>23</v>
      </c>
    </row>
    <row r="88" spans="1:17" ht="13">
      <c r="A88" s="1">
        <v>1992</v>
      </c>
      <c r="B88" s="36">
        <f>COUNTIFS(astronauts!B:B,"Male", astronauts!C:C, "White", astronauts!H:H, "14")</f>
        <v>14</v>
      </c>
      <c r="C88" s="36">
        <f>COUNTIFS(astronauts!B:B,"Female", astronauts!C:C, "White", astronauts!H:H, "14")</f>
        <v>3</v>
      </c>
      <c r="D88" s="37">
        <f>COUNTIFS(astronauts!C:C, "Black", astronauts!B:B, "Male", astronauts!H:H, "14")</f>
        <v>1</v>
      </c>
      <c r="E88" s="37"/>
      <c r="F88" s="37"/>
      <c r="G88" s="37">
        <f>COUNTIFS(astronauts!C:C, "Black", astronauts!B:B, "Female", astronauts!H:H, "14")</f>
        <v>0</v>
      </c>
      <c r="H88" s="37"/>
      <c r="I88" s="37"/>
      <c r="J88" s="37">
        <f>COUNTIFS(astronauts!C:C, "Hispanic", astronauts!B:B, "Male", astronauts!H:H, "14")</f>
        <v>1</v>
      </c>
      <c r="K88" s="37"/>
      <c r="L88" s="37"/>
      <c r="M88" s="37">
        <f>COUNTIFS(astronauts!C:C, "Hispanic", astronauts!B:B, "Female", astronauts!H:H, "14")</f>
        <v>0</v>
      </c>
      <c r="N88" s="37">
        <f>COUNTIFS(astronauts!C:C,"Asian", astronauts!B:B, "Male", astronauts!H:H, "14")</f>
        <v>0</v>
      </c>
      <c r="O88" s="38">
        <f>COUNTIFS(astronauts!C:C,"Asian", astronauts!B:B, "Female", astronauts!H:H, "14")</f>
        <v>0</v>
      </c>
      <c r="P88" s="39">
        <f t="shared" si="50"/>
        <v>19</v>
      </c>
    </row>
    <row r="89" spans="1:17" ht="13">
      <c r="A89" s="1">
        <v>1995</v>
      </c>
      <c r="B89" s="36">
        <f>COUNTIFS(astronauts!B:B,"Male", astronauts!C:C, "White", astronauts!H:H, "15")</f>
        <v>10</v>
      </c>
      <c r="C89" s="36">
        <f>COUNTIFS(astronauts!B:B,"Female", astronauts!C:C, "White", astronauts!H:H, "15")</f>
        <v>4</v>
      </c>
      <c r="D89" s="37">
        <f>COUNTIFS(astronauts!C:C, "Black", astronauts!B:B, "Male", astronauts!H:H, "15")</f>
        <v>2</v>
      </c>
      <c r="E89" s="37"/>
      <c r="F89" s="37"/>
      <c r="G89" s="37">
        <f>COUNTIFS(astronauts!C:C, "Black", astronauts!B:B, "Female", astronauts!H:H, "15")</f>
        <v>0</v>
      </c>
      <c r="H89" s="37"/>
      <c r="I89" s="37"/>
      <c r="J89" s="37">
        <f>COUNTIFS(astronauts!C:C, "Hispanic", astronauts!B:B, "Male", astronauts!H:H, "15")</f>
        <v>1</v>
      </c>
      <c r="K89" s="37"/>
      <c r="L89" s="37"/>
      <c r="M89" s="37">
        <f>COUNTIFS(astronauts!C:C, "Hispanic", astronauts!B:B, "Female", astronauts!H:H, "15")</f>
        <v>0</v>
      </c>
      <c r="N89" s="37">
        <f>COUNTIFS(astronauts!C:C,"Asian", astronauts!B:B, "Male", astronauts!H:H, "15")</f>
        <v>1</v>
      </c>
      <c r="O89" s="38">
        <f>COUNTIFS(astronauts!C:C,"Asian", astronauts!B:B, "Female", astronauts!H:H, "15")</f>
        <v>1</v>
      </c>
      <c r="P89" s="39">
        <f t="shared" si="50"/>
        <v>19</v>
      </c>
    </row>
    <row r="90" spans="1:17" ht="13">
      <c r="A90" s="1">
        <v>1996</v>
      </c>
      <c r="B90" s="36">
        <f>COUNTIFS(astronauts!B:B,"Male", astronauts!C:C, "White", astronauts!H:H, "16")</f>
        <v>24</v>
      </c>
      <c r="C90" s="36">
        <f>COUNTIFS(astronauts!B:B,"Female", astronauts!C:C, "White", astronauts!H:H, "16")</f>
        <v>5</v>
      </c>
      <c r="D90" s="37">
        <f>COUNTIFS(astronauts!C:C, "Black", astronauts!B:B, "Male", astronauts!H:H, "16")</f>
        <v>0</v>
      </c>
      <c r="E90" s="37"/>
      <c r="F90" s="37"/>
      <c r="G90" s="37">
        <f>COUNTIFS(astronauts!C:C, "Black", astronauts!B:B, "Female", astronauts!H:H, "16")</f>
        <v>3</v>
      </c>
      <c r="H90" s="37"/>
      <c r="I90" s="37"/>
      <c r="J90" s="37">
        <f>COUNTIFS(astronauts!C:C, "Hispanic", astronauts!B:B, "Male", astronauts!H:H, "16")</f>
        <v>2</v>
      </c>
      <c r="K90" s="37"/>
      <c r="L90" s="37"/>
      <c r="M90" s="37">
        <f>COUNTIFS(astronauts!C:C, "Hispanic", astronauts!B:B, "Female", astronauts!H:H, "16")</f>
        <v>0</v>
      </c>
      <c r="N90" s="37">
        <f>COUNTIFS(astronauts!C:C,"Asian", astronauts!B:B, "Male", astronauts!H:H, "16")</f>
        <v>1</v>
      </c>
      <c r="O90" s="38">
        <f>COUNTIFS(astronauts!C:C,"Asian", astronauts!B:B, "Female", astronauts!H:H, "16")</f>
        <v>0</v>
      </c>
      <c r="P90" s="39">
        <f t="shared" si="50"/>
        <v>35</v>
      </c>
    </row>
    <row r="91" spans="1:17" ht="13">
      <c r="A91" s="1">
        <v>1998</v>
      </c>
      <c r="B91" s="36">
        <f>COUNTIFS(astronauts!B:B,"Male", astronauts!C:C, "White", astronauts!H:H, "17")</f>
        <v>18</v>
      </c>
      <c r="C91" s="36">
        <f>COUNTIFS(astronauts!B:B,"Female", astronauts!C:C, "White", astronauts!H:H, "17")</f>
        <v>3</v>
      </c>
      <c r="D91" s="37">
        <f>COUNTIFS(astronauts!C:C, "Black", astronauts!B:B, "Male", astronauts!H:H, "17")</f>
        <v>1</v>
      </c>
      <c r="E91" s="37"/>
      <c r="F91" s="37"/>
      <c r="G91" s="37">
        <f>COUNTIFS(astronauts!C:C, "Black", astronauts!B:B, "Female", astronauts!H:H, "17")</f>
        <v>0</v>
      </c>
      <c r="H91" s="37"/>
      <c r="I91" s="37"/>
      <c r="J91" s="37">
        <f>COUNTIFS(astronauts!C:C, "Hispanic", astronauts!B:B, "Male", astronauts!H:H, "17")</f>
        <v>2</v>
      </c>
      <c r="K91" s="37"/>
      <c r="L91" s="37"/>
      <c r="M91" s="37">
        <f>COUNTIFS(astronauts!C:C, "Hispanic", astronauts!B:B, "Female", astronauts!H:H, "17")</f>
        <v>0</v>
      </c>
      <c r="N91" s="37">
        <f>COUNTIFS(astronauts!C:C,"Asian", astronauts!B:B, "Male", astronauts!H:H, "17")</f>
        <v>0</v>
      </c>
      <c r="O91" s="38">
        <f>COUNTIFS(astronauts!C:C,"Asian", astronauts!B:B, "Female", astronauts!H:H, "17")</f>
        <v>1</v>
      </c>
      <c r="P91" s="39">
        <f t="shared" si="50"/>
        <v>25</v>
      </c>
    </row>
    <row r="92" spans="1:17" ht="13">
      <c r="A92" s="1">
        <v>2000</v>
      </c>
      <c r="B92" s="36">
        <f>COUNTIFS(astronauts!B:B,"Male", astronauts!C:C, "White", astronauts!H:H, "18")</f>
        <v>13</v>
      </c>
      <c r="C92" s="36">
        <f>COUNTIFS(astronauts!B:B,"Female", astronauts!C:C, "White", astronauts!H:H, "18")</f>
        <v>3</v>
      </c>
      <c r="D92" s="37">
        <f>COUNTIFS(astronauts!C:C, "Black", astronauts!B:B, "Male", astronauts!H:H, "18")</f>
        <v>1</v>
      </c>
      <c r="E92" s="37"/>
      <c r="F92" s="37"/>
      <c r="G92" s="37">
        <f>COUNTIFS(astronauts!C:C, "Black", astronauts!B:B, "Female", astronauts!H:H, "18")</f>
        <v>0</v>
      </c>
      <c r="H92" s="37"/>
      <c r="I92" s="37"/>
      <c r="J92" s="37">
        <f>COUNTIFS(astronauts!C:C, "Hispanic", astronauts!B:B, "Male", astronauts!H:H, "18")</f>
        <v>0</v>
      </c>
      <c r="K92" s="37"/>
      <c r="L92" s="37"/>
      <c r="M92" s="37">
        <f>COUNTIFS(astronauts!C:C, "Hispanic", astronauts!B:B, "Female", astronauts!H:H, "18")</f>
        <v>0</v>
      </c>
      <c r="N92" s="37">
        <f>COUNTIFS(astronauts!C:C,"Asian", astronauts!B:B, "Male", astronauts!H:H, "18")</f>
        <v>0</v>
      </c>
      <c r="O92" s="38">
        <f>COUNTIFS(astronauts!C:C,"Asian", astronauts!B:B, "Female", astronauts!H:H, "18")</f>
        <v>0</v>
      </c>
      <c r="P92" s="39">
        <f t="shared" si="50"/>
        <v>17</v>
      </c>
    </row>
    <row r="93" spans="1:17" ht="13">
      <c r="A93" s="1">
        <v>2004</v>
      </c>
      <c r="B93" s="36">
        <f>COUNTIFS(astronauts!B:B,"Male", astronauts!C:C, "White", astronauts!H:H, "19")</f>
        <v>6</v>
      </c>
      <c r="C93" s="36">
        <f>COUNTIFS(astronauts!B:B,"Female", astronauts!C:C, "White", astronauts!H:H, "19")</f>
        <v>2</v>
      </c>
      <c r="D93" s="37">
        <f>COUNTIFS(astronauts!C:C, "Black", astronauts!B:B, "Male", astronauts!H:H, "19")</f>
        <v>1</v>
      </c>
      <c r="E93" s="37"/>
      <c r="F93" s="37"/>
      <c r="G93" s="37">
        <f>COUNTIFS(astronauts!C:C, "Black", astronauts!B:B, "Female", astronauts!H:H, "19")</f>
        <v>0</v>
      </c>
      <c r="H93" s="37"/>
      <c r="I93" s="37"/>
      <c r="J93" s="37">
        <f>COUNTIFS(astronauts!C:C, "Hispanic", astronauts!B:B, "Male", astronauts!H:H, "19")</f>
        <v>2</v>
      </c>
      <c r="K93" s="37"/>
      <c r="L93" s="37"/>
      <c r="M93" s="37">
        <f>COUNTIFS(astronauts!C:C, "Hispanic", astronauts!B:B, "Female", astronauts!H:H, "19")</f>
        <v>0</v>
      </c>
      <c r="N93" s="37">
        <f>COUNTIFS(astronauts!C:C,"Asian", astronauts!B:B, "Male", astronauts!H:H, "19")</f>
        <v>0</v>
      </c>
      <c r="O93" s="38">
        <f>COUNTIFS(astronauts!C:C,"Asian", astronauts!B:B, "Female", astronauts!H:H, "19")</f>
        <v>0</v>
      </c>
      <c r="P93" s="39">
        <f t="shared" si="50"/>
        <v>11</v>
      </c>
    </row>
    <row r="94" spans="1:17" ht="13">
      <c r="A94" s="1">
        <v>2009</v>
      </c>
      <c r="B94" s="36">
        <f>COUNTIFS(astronauts!B:B,"Male", astronauts!C:C, "White", astronauts!H:H, "20")</f>
        <v>5</v>
      </c>
      <c r="C94" s="36">
        <f>COUNTIFS(astronauts!B:B,"Female", astronauts!C:C, "White", astronauts!H:H, "20")</f>
        <v>1</v>
      </c>
      <c r="D94" s="37">
        <f>COUNTIFS(astronauts!C:C, "Black", astronauts!B:B, "Male", astronauts!H:H, "20")</f>
        <v>0</v>
      </c>
      <c r="E94" s="37"/>
      <c r="F94" s="37"/>
      <c r="G94" s="37">
        <f>COUNTIFS(astronauts!C:C, "Black", astronauts!B:B, "Female", astronauts!H:H, "20")</f>
        <v>1</v>
      </c>
      <c r="H94" s="37"/>
      <c r="I94" s="37"/>
      <c r="J94" s="37">
        <f>COUNTIFS(astronauts!C:C, "Hispanic", astronauts!B:B, "Male", astronauts!H:H, "20")</f>
        <v>0</v>
      </c>
      <c r="K94" s="37"/>
      <c r="L94" s="37"/>
      <c r="M94" s="37">
        <f>COUNTIFS(astronauts!C:C, "Hispanic", astronauts!B:B, "Female", astronauts!H:H, "20")</f>
        <v>1</v>
      </c>
      <c r="N94" s="37">
        <f>COUNTIFS(astronauts!C:C,"Asian", astronauts!B:B, "Male", astronauts!H:H, "20")</f>
        <v>1</v>
      </c>
      <c r="O94" s="38">
        <f>COUNTIFS(astronauts!C:C,"Asian", astronauts!B:B, "Female", astronauts!H:H, "20")</f>
        <v>0</v>
      </c>
      <c r="P94" s="39">
        <f t="shared" si="50"/>
        <v>9</v>
      </c>
    </row>
    <row r="95" spans="1:17" ht="13">
      <c r="A95" s="1">
        <v>2013</v>
      </c>
      <c r="B95" s="36">
        <f>COUNTIFS(astronauts!B:B,"Male", astronauts!C:C, "White", astronauts!H:H, "21")</f>
        <v>3</v>
      </c>
      <c r="C95" s="36">
        <f>COUNTIFS(astronauts!B:B,"Female", astronauts!C:C, "White", astronauts!H:H, "21")</f>
        <v>3</v>
      </c>
      <c r="D95" s="37">
        <f>COUNTIFS(astronauts!C:C, "Black", astronauts!B:B, "Male", astronauts!H:H, "21")</f>
        <v>1</v>
      </c>
      <c r="E95" s="37"/>
      <c r="F95" s="37"/>
      <c r="G95" s="37">
        <f>COUNTIFS(astronauts!C:C, "Black", astronauts!B:B, "Female", astronauts!H:H, "21")</f>
        <v>0</v>
      </c>
      <c r="H95" s="37"/>
      <c r="I95" s="37"/>
      <c r="J95" s="37">
        <f>COUNTIFS(astronauts!C:C, "Hispanic", astronauts!B:B, "Male", astronauts!H:H, "21")</f>
        <v>0</v>
      </c>
      <c r="K95" s="37"/>
      <c r="L95" s="37"/>
      <c r="M95" s="37">
        <f>COUNTIFS(astronauts!C:C, "Hispanic", astronauts!B:B, "Female", astronauts!H:H, "21")</f>
        <v>0</v>
      </c>
      <c r="N95" s="37">
        <f>COUNTIFS(astronauts!C:C,"Asian", astronauts!B:B, "Male", astronauts!H:H, "21")</f>
        <v>0</v>
      </c>
      <c r="O95" s="38">
        <f>COUNTIFS(astronauts!C:C,"Asian", astronauts!B:B, "Female", astronauts!H:H, "21")</f>
        <v>0</v>
      </c>
      <c r="P95" s="1">
        <v>8</v>
      </c>
    </row>
    <row r="96" spans="1:17" ht="13">
      <c r="A96" s="1">
        <v>2017</v>
      </c>
      <c r="B96" s="36">
        <f>COUNTIFS(astronauts!B:B,"Male", astronauts!C:C, "White", astronauts!H:H, "22")</f>
        <v>4</v>
      </c>
      <c r="C96" s="36">
        <f>COUNTIFS(astronauts!B:B,"Female", astronauts!C:C, "White", astronauts!H:H, "22")</f>
        <v>4</v>
      </c>
      <c r="D96" s="37">
        <f>COUNTIFS(astronauts!C:C, "Black", astronauts!B:B, "Male", astronauts!H:H, "22")</f>
        <v>0</v>
      </c>
      <c r="E96" s="37"/>
      <c r="F96" s="37"/>
      <c r="G96" s="37">
        <f>COUNTIFS(astronauts!C:C, "Black", astronauts!B:B, "Female", astronauts!H:H, "22")</f>
        <v>1</v>
      </c>
      <c r="H96" s="37"/>
      <c r="I96" s="37"/>
      <c r="J96" s="37">
        <f>COUNTIFS(astronauts!C:C, "Hispanic", astronauts!B:B, "Male", astronauts!H:H, "22")</f>
        <v>1</v>
      </c>
      <c r="K96" s="37"/>
      <c r="L96" s="37"/>
      <c r="M96" s="37">
        <f>COUNTIFS(astronauts!C:C, "Hispanic", astronauts!B:B, "Female", astronauts!H:H, "22")</f>
        <v>0</v>
      </c>
      <c r="N96" s="37">
        <f>COUNTIFS(astronauts!C:C,"Asian", astronauts!B:B, "Male", astronauts!H:H, "22")</f>
        <v>2</v>
      </c>
      <c r="O96" s="38">
        <f>COUNTIFS(astronauts!C:C,"Asian", astronauts!B:B, "Female", astronauts!H:H, "22")</f>
        <v>0</v>
      </c>
      <c r="P96" s="39">
        <f t="shared" ref="P96:P97" si="51">SUM(B96:O96)</f>
        <v>12</v>
      </c>
      <c r="Q96" s="1">
        <v>12</v>
      </c>
    </row>
    <row r="97" spans="1:16" ht="13">
      <c r="A97" s="1">
        <v>2021</v>
      </c>
      <c r="B97" s="36">
        <f>COUNTIFS(astronauts!B:B,"Male", astronauts!C:C, "White", astronauts!H:H, "23")</f>
        <v>2</v>
      </c>
      <c r="C97" s="36">
        <f>COUNTIFS(astronauts!B:B,"Female", astronauts!C:C, "White", astronauts!H:H, "23")</f>
        <v>4</v>
      </c>
      <c r="D97" s="37">
        <f>COUNTIFS(astronauts!C:C, "Black", astronauts!B:B, "Male", astronauts!H:H, "23")</f>
        <v>2</v>
      </c>
      <c r="E97" s="37"/>
      <c r="F97" s="37"/>
      <c r="G97" s="37">
        <f>COUNTIFS(astronauts!C:C, "Black", astronauts!B:B, "Female", astronauts!H:H, "23")</f>
        <v>0</v>
      </c>
      <c r="H97" s="37"/>
      <c r="I97" s="37"/>
      <c r="J97" s="37">
        <f>COUNTIFS(astronauts!C:C, "Hispanic", astronauts!B:B, "Male", astronauts!H:H, "23")</f>
        <v>1</v>
      </c>
      <c r="K97" s="37"/>
      <c r="L97" s="37"/>
      <c r="M97" s="37">
        <f>COUNTIFS(astronauts!C:C, "Hispanic", astronauts!B:B, "Female", astronauts!H:H, "23")</f>
        <v>0</v>
      </c>
      <c r="N97" s="37">
        <f>COUNTIFS(astronauts!C:C,"Asian", astronauts!B:B, "Male", astronauts!H:H, "23")</f>
        <v>1</v>
      </c>
      <c r="O97" s="38">
        <f>COUNTIFS(astronauts!C:C,"Asian", astronauts!B:B, "Female", astronauts!H:H, "23")</f>
        <v>0</v>
      </c>
      <c r="P97" s="39">
        <f t="shared" si="51"/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M33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sheetData>
    <row r="1" spans="1:39" ht="13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42" t="s">
        <v>7</v>
      </c>
      <c r="I1" s="43" t="s">
        <v>8</v>
      </c>
      <c r="J1" s="43" t="s">
        <v>9</v>
      </c>
      <c r="K1" s="44" t="s">
        <v>10</v>
      </c>
      <c r="L1" s="45" t="s">
        <v>11</v>
      </c>
      <c r="M1" s="45" t="s">
        <v>12</v>
      </c>
      <c r="N1" s="46" t="s">
        <v>13</v>
      </c>
      <c r="O1" s="42" t="s">
        <v>14</v>
      </c>
      <c r="P1" s="42" t="s">
        <v>15</v>
      </c>
      <c r="Q1" s="42" t="s">
        <v>16</v>
      </c>
      <c r="R1" s="42" t="s">
        <v>17</v>
      </c>
      <c r="S1" s="42" t="s">
        <v>18</v>
      </c>
      <c r="T1" s="42" t="s">
        <v>19</v>
      </c>
      <c r="U1" s="42" t="s">
        <v>20</v>
      </c>
      <c r="V1" s="42" t="s">
        <v>21</v>
      </c>
      <c r="W1" s="42" t="s">
        <v>22</v>
      </c>
      <c r="X1" s="42" t="s">
        <v>23</v>
      </c>
      <c r="Y1" s="43" t="s">
        <v>24</v>
      </c>
      <c r="Z1" s="43" t="s">
        <v>25</v>
      </c>
      <c r="AA1" s="42" t="s">
        <v>26</v>
      </c>
      <c r="AB1" s="42" t="s">
        <v>27</v>
      </c>
      <c r="AC1" s="42" t="s">
        <v>28</v>
      </c>
      <c r="AD1" s="42" t="s">
        <v>29</v>
      </c>
      <c r="AE1" s="42" t="s">
        <v>30</v>
      </c>
      <c r="AF1" s="42" t="s">
        <v>31</v>
      </c>
      <c r="AG1" s="42" t="s">
        <v>32</v>
      </c>
      <c r="AH1" s="47"/>
      <c r="AI1" s="47"/>
      <c r="AJ1" s="47"/>
      <c r="AK1" s="47"/>
      <c r="AL1" s="47"/>
      <c r="AM1" s="47"/>
    </row>
    <row r="2" spans="1:39" ht="13">
      <c r="A2" s="1" t="s">
        <v>360</v>
      </c>
      <c r="B2" s="1" t="s">
        <v>34</v>
      </c>
      <c r="C2" s="1" t="s">
        <v>361</v>
      </c>
      <c r="D2" s="1"/>
      <c r="E2" s="6">
        <v>15667</v>
      </c>
      <c r="F2" s="1" t="s">
        <v>124</v>
      </c>
      <c r="G2" s="1">
        <v>1978</v>
      </c>
      <c r="H2" s="1">
        <v>8</v>
      </c>
      <c r="I2" s="7">
        <v>28506</v>
      </c>
      <c r="J2" s="7">
        <v>34165</v>
      </c>
      <c r="K2" s="8" t="s">
        <v>37</v>
      </c>
      <c r="L2" s="9" t="e">
        <f t="shared" ref="L2:L46" ca="1" si="0">_xludf.DAYS(J2,I2)/365</f>
        <v>#NAME?</v>
      </c>
      <c r="M2" s="9" t="e">
        <f t="shared" ref="M2:M46" ca="1" si="1">IF(AND(Y2="",OR(K2="A", K2="M")), _xludf.DAYS(J2,I2)/365, IF(AND(Y2="",OR(K2="D", K2="R", K2="RG", K2="I")),"N/A", _xludf.DAYS(Y2,I2)/365))</f>
        <v>#NAME?</v>
      </c>
      <c r="N2" s="10" t="e">
        <f t="shared" ref="N2:N46" ca="1" si="2">IF(AND(Y2="",OR(K2="A", K2="M", K2="I")), "N/A", IF(AND(Y2="",OR(K2="D", K2="R", K2="RG")),"N/A", _xludf.DAYS(J2,Z2)/365))</f>
        <v>#NAME?</v>
      </c>
      <c r="O2" s="1" t="s">
        <v>38</v>
      </c>
      <c r="P2" s="1"/>
      <c r="Q2" s="1" t="s">
        <v>90</v>
      </c>
      <c r="R2" s="1" t="s">
        <v>95</v>
      </c>
      <c r="S2" s="1" t="s">
        <v>362</v>
      </c>
      <c r="T2" s="1" t="s">
        <v>87</v>
      </c>
      <c r="U2" s="1" t="s">
        <v>363</v>
      </c>
      <c r="V2" s="1" t="s">
        <v>49</v>
      </c>
      <c r="W2" s="1" t="s">
        <v>50</v>
      </c>
      <c r="X2" s="1">
        <v>4</v>
      </c>
      <c r="Y2" s="7">
        <v>30558</v>
      </c>
      <c r="Z2" s="7">
        <v>33940</v>
      </c>
      <c r="AA2" s="1">
        <v>689</v>
      </c>
      <c r="AB2" s="1">
        <v>0</v>
      </c>
      <c r="AC2" s="1">
        <v>0</v>
      </c>
      <c r="AD2" s="1" t="s">
        <v>364</v>
      </c>
    </row>
    <row r="3" spans="1:39" ht="13">
      <c r="A3" s="1" t="s">
        <v>440</v>
      </c>
      <c r="B3" s="1" t="s">
        <v>34</v>
      </c>
      <c r="C3" s="1" t="s">
        <v>361</v>
      </c>
      <c r="D3" s="1"/>
      <c r="E3" s="6">
        <v>18557</v>
      </c>
      <c r="F3" s="1" t="s">
        <v>124</v>
      </c>
      <c r="G3" s="1">
        <v>1978</v>
      </c>
      <c r="H3" s="1">
        <v>8</v>
      </c>
      <c r="I3" s="7">
        <v>28506</v>
      </c>
      <c r="J3" s="12">
        <v>31440</v>
      </c>
      <c r="K3" s="13" t="s">
        <v>59</v>
      </c>
      <c r="L3" s="9" t="e">
        <f t="shared" ca="1" si="0"/>
        <v>#NAME?</v>
      </c>
      <c r="M3" s="9" t="e">
        <f t="shared" ca="1" si="1"/>
        <v>#NAME?</v>
      </c>
      <c r="N3" s="10" t="e">
        <f t="shared" ca="1" si="2"/>
        <v>#NAME?</v>
      </c>
      <c r="O3" s="1" t="s">
        <v>38</v>
      </c>
      <c r="P3" s="1"/>
      <c r="Q3" s="1" t="s">
        <v>39</v>
      </c>
      <c r="R3" s="1" t="s">
        <v>441</v>
      </c>
      <c r="S3" s="1" t="s">
        <v>442</v>
      </c>
      <c r="T3" s="1" t="s">
        <v>158</v>
      </c>
      <c r="U3" s="1" t="s">
        <v>158</v>
      </c>
      <c r="X3" s="1">
        <v>2</v>
      </c>
      <c r="Y3" s="7">
        <v>30715</v>
      </c>
      <c r="Z3" s="7">
        <v>31440</v>
      </c>
      <c r="AA3" s="1">
        <v>191</v>
      </c>
      <c r="AB3" s="1">
        <v>0</v>
      </c>
      <c r="AC3" s="1">
        <v>0</v>
      </c>
      <c r="AD3" s="1" t="s">
        <v>443</v>
      </c>
      <c r="AE3" s="6">
        <v>31440</v>
      </c>
      <c r="AF3" s="1" t="s">
        <v>444</v>
      </c>
    </row>
    <row r="4" spans="1:39" ht="13">
      <c r="A4" s="1" t="s">
        <v>458</v>
      </c>
      <c r="B4" s="1" t="s">
        <v>34</v>
      </c>
      <c r="C4" s="1" t="s">
        <v>459</v>
      </c>
      <c r="D4" s="1" t="s">
        <v>460</v>
      </c>
      <c r="E4" s="6">
        <v>16977</v>
      </c>
      <c r="F4" s="1" t="s">
        <v>84</v>
      </c>
      <c r="G4" s="1">
        <v>1978</v>
      </c>
      <c r="H4" s="1">
        <v>8</v>
      </c>
      <c r="I4" s="7">
        <v>28506</v>
      </c>
      <c r="J4" s="12">
        <v>31440</v>
      </c>
      <c r="K4" s="13" t="s">
        <v>59</v>
      </c>
      <c r="L4" s="9" t="e">
        <f t="shared" ca="1" si="0"/>
        <v>#NAME?</v>
      </c>
      <c r="M4" s="9" t="e">
        <f t="shared" ca="1" si="1"/>
        <v>#NAME?</v>
      </c>
      <c r="N4" s="10" t="e">
        <f t="shared" ca="1" si="2"/>
        <v>#NAME?</v>
      </c>
      <c r="O4" s="1" t="s">
        <v>38</v>
      </c>
      <c r="P4" s="1"/>
      <c r="Q4" s="1" t="s">
        <v>39</v>
      </c>
      <c r="R4" s="1" t="s">
        <v>461</v>
      </c>
      <c r="S4" s="1" t="s">
        <v>41</v>
      </c>
      <c r="T4" s="1" t="s">
        <v>87</v>
      </c>
      <c r="U4" s="1" t="s">
        <v>87</v>
      </c>
      <c r="V4" s="1" t="s">
        <v>63</v>
      </c>
      <c r="W4" s="1" t="s">
        <v>64</v>
      </c>
      <c r="X4" s="1">
        <v>2</v>
      </c>
      <c r="Y4" s="7">
        <v>31071</v>
      </c>
      <c r="Z4" s="7">
        <v>31440</v>
      </c>
      <c r="AA4" s="1">
        <v>73</v>
      </c>
      <c r="AB4" s="1">
        <v>0</v>
      </c>
      <c r="AC4" s="1">
        <v>0</v>
      </c>
      <c r="AD4" s="1" t="s">
        <v>462</v>
      </c>
      <c r="AE4" s="6">
        <v>31440</v>
      </c>
      <c r="AF4" s="1" t="s">
        <v>444</v>
      </c>
    </row>
    <row r="5" spans="1:39" ht="13">
      <c r="A5" s="1" t="s">
        <v>520</v>
      </c>
      <c r="B5" s="1" t="s">
        <v>34</v>
      </c>
      <c r="C5" s="1" t="s">
        <v>361</v>
      </c>
      <c r="D5" s="1"/>
      <c r="E5" s="6">
        <v>17033</v>
      </c>
      <c r="F5" s="1" t="s">
        <v>36</v>
      </c>
      <c r="G5" s="1">
        <v>1980</v>
      </c>
      <c r="H5" s="1">
        <v>9</v>
      </c>
      <c r="I5" s="19">
        <v>29360</v>
      </c>
      <c r="J5" s="19">
        <v>34512</v>
      </c>
      <c r="K5" s="8" t="s">
        <v>37</v>
      </c>
      <c r="L5" s="9" t="e">
        <f t="shared" ca="1" si="0"/>
        <v>#NAME?</v>
      </c>
      <c r="M5" s="9" t="e">
        <f t="shared" ca="1" si="1"/>
        <v>#NAME?</v>
      </c>
      <c r="N5" s="10" t="e">
        <f t="shared" ca="1" si="2"/>
        <v>#NAME?</v>
      </c>
      <c r="O5" s="1" t="s">
        <v>38</v>
      </c>
      <c r="P5" s="1"/>
      <c r="Q5" s="1" t="s">
        <v>521</v>
      </c>
      <c r="R5" s="1" t="s">
        <v>522</v>
      </c>
      <c r="S5" s="1" t="s">
        <v>523</v>
      </c>
      <c r="T5" s="1" t="s">
        <v>524</v>
      </c>
      <c r="U5" s="1" t="s">
        <v>525</v>
      </c>
      <c r="V5" s="1" t="s">
        <v>133</v>
      </c>
      <c r="W5" s="1" t="s">
        <v>56</v>
      </c>
      <c r="X5" s="1">
        <v>4</v>
      </c>
      <c r="Y5" s="19">
        <v>31424</v>
      </c>
      <c r="Z5" s="19">
        <v>34368</v>
      </c>
      <c r="AA5" s="1">
        <v>680</v>
      </c>
      <c r="AB5" s="1">
        <v>0</v>
      </c>
      <c r="AC5" s="1">
        <v>0</v>
      </c>
      <c r="AD5" s="1" t="s">
        <v>526</v>
      </c>
    </row>
    <row r="6" spans="1:39" ht="13">
      <c r="A6" s="1" t="s">
        <v>529</v>
      </c>
      <c r="B6" s="1" t="s">
        <v>34</v>
      </c>
      <c r="C6" s="1" t="s">
        <v>530</v>
      </c>
      <c r="D6" s="1" t="s">
        <v>531</v>
      </c>
      <c r="E6" s="6">
        <v>18358</v>
      </c>
      <c r="F6" s="1" t="s">
        <v>124</v>
      </c>
      <c r="G6" s="1">
        <v>1980</v>
      </c>
      <c r="H6" s="1">
        <v>9</v>
      </c>
      <c r="I6" s="7">
        <v>29370</v>
      </c>
      <c r="J6" s="7">
        <v>38548</v>
      </c>
      <c r="K6" s="8" t="s">
        <v>37</v>
      </c>
      <c r="L6" s="9" t="e">
        <f t="shared" ca="1" si="0"/>
        <v>#NAME?</v>
      </c>
      <c r="M6" s="9" t="e">
        <f t="shared" ca="1" si="1"/>
        <v>#NAME?</v>
      </c>
      <c r="N6" s="10" t="e">
        <f t="shared" ca="1" si="2"/>
        <v>#NAME?</v>
      </c>
      <c r="O6" s="1" t="s">
        <v>38</v>
      </c>
      <c r="P6" s="1"/>
      <c r="Q6" s="1" t="s">
        <v>90</v>
      </c>
      <c r="R6" s="1" t="s">
        <v>532</v>
      </c>
      <c r="S6" s="1" t="s">
        <v>533</v>
      </c>
      <c r="T6" s="1" t="s">
        <v>62</v>
      </c>
      <c r="U6" s="1" t="s">
        <v>534</v>
      </c>
      <c r="X6" s="1">
        <v>7</v>
      </c>
      <c r="Y6" s="7">
        <v>31424</v>
      </c>
      <c r="Z6" s="7">
        <v>37412</v>
      </c>
      <c r="AA6" s="1">
        <v>1602</v>
      </c>
      <c r="AB6" s="1">
        <v>3</v>
      </c>
      <c r="AC6" s="1">
        <v>19</v>
      </c>
      <c r="AD6" s="1" t="s">
        <v>535</v>
      </c>
    </row>
    <row r="7" spans="1:39" ht="13">
      <c r="A7" s="1" t="s">
        <v>621</v>
      </c>
      <c r="B7" s="1" t="s">
        <v>34</v>
      </c>
      <c r="C7" s="1" t="s">
        <v>530</v>
      </c>
      <c r="D7" s="1"/>
      <c r="E7" s="6">
        <v>18806</v>
      </c>
      <c r="F7" s="1" t="s">
        <v>84</v>
      </c>
      <c r="G7" s="1">
        <v>1984</v>
      </c>
      <c r="H7" s="1">
        <v>10</v>
      </c>
      <c r="I7" s="7">
        <v>30825</v>
      </c>
      <c r="J7" s="7">
        <v>34592</v>
      </c>
      <c r="K7" s="8" t="s">
        <v>37</v>
      </c>
      <c r="L7" s="9" t="e">
        <f t="shared" ca="1" si="0"/>
        <v>#NAME?</v>
      </c>
      <c r="M7" s="9" t="e">
        <f t="shared" ca="1" si="1"/>
        <v>#NAME?</v>
      </c>
      <c r="N7" s="10" t="e">
        <f t="shared" ca="1" si="2"/>
        <v>#NAME?</v>
      </c>
      <c r="O7" s="1" t="s">
        <v>38</v>
      </c>
      <c r="P7" s="1"/>
      <c r="Q7" s="1" t="s">
        <v>90</v>
      </c>
      <c r="R7" s="1" t="s">
        <v>622</v>
      </c>
      <c r="S7" s="1" t="s">
        <v>623</v>
      </c>
      <c r="T7" s="1" t="s">
        <v>42</v>
      </c>
      <c r="U7" s="1" t="s">
        <v>624</v>
      </c>
      <c r="V7" s="1" t="s">
        <v>49</v>
      </c>
      <c r="W7" s="1" t="s">
        <v>50</v>
      </c>
      <c r="X7" s="1">
        <v>2</v>
      </c>
      <c r="Y7" s="7">
        <v>33394</v>
      </c>
      <c r="Z7" s="7">
        <v>34433</v>
      </c>
      <c r="AA7" s="1">
        <v>488</v>
      </c>
      <c r="AB7" s="1">
        <v>0</v>
      </c>
      <c r="AC7" s="1">
        <v>0</v>
      </c>
      <c r="AD7" s="1" t="s">
        <v>625</v>
      </c>
    </row>
    <row r="8" spans="1:39" ht="13">
      <c r="A8" s="1" t="s">
        <v>738</v>
      </c>
      <c r="B8" s="1" t="s">
        <v>394</v>
      </c>
      <c r="C8" s="1" t="s">
        <v>361</v>
      </c>
      <c r="D8" s="1"/>
      <c r="E8" s="6">
        <v>20745</v>
      </c>
      <c r="F8" s="1" t="s">
        <v>124</v>
      </c>
      <c r="G8" s="1">
        <v>1987</v>
      </c>
      <c r="H8" s="1">
        <v>12</v>
      </c>
      <c r="I8" s="7">
        <v>31933</v>
      </c>
      <c r="J8" s="7">
        <v>34043</v>
      </c>
      <c r="K8" s="8" t="s">
        <v>37</v>
      </c>
      <c r="L8" s="9" t="e">
        <f t="shared" ca="1" si="0"/>
        <v>#NAME?</v>
      </c>
      <c r="M8" s="9" t="e">
        <f t="shared" ca="1" si="1"/>
        <v>#NAME?</v>
      </c>
      <c r="N8" s="10" t="e">
        <f t="shared" ca="1" si="2"/>
        <v>#NAME?</v>
      </c>
      <c r="O8" s="1" t="s">
        <v>38</v>
      </c>
      <c r="P8" s="1"/>
      <c r="Q8" s="1" t="s">
        <v>90</v>
      </c>
      <c r="R8" s="1" t="s">
        <v>739</v>
      </c>
      <c r="S8" s="1" t="s">
        <v>740</v>
      </c>
      <c r="T8" s="1" t="s">
        <v>579</v>
      </c>
      <c r="U8" s="1" t="s">
        <v>201</v>
      </c>
      <c r="X8" s="1">
        <v>1</v>
      </c>
      <c r="Y8" s="7">
        <v>33859</v>
      </c>
      <c r="Z8" s="7">
        <v>33859</v>
      </c>
      <c r="AA8" s="1">
        <v>190</v>
      </c>
      <c r="AB8" s="1">
        <v>0</v>
      </c>
      <c r="AC8" s="1">
        <v>0</v>
      </c>
      <c r="AD8" s="1" t="s">
        <v>741</v>
      </c>
    </row>
    <row r="9" spans="1:39" ht="13">
      <c r="A9" s="1" t="s">
        <v>772</v>
      </c>
      <c r="B9" s="1" t="s">
        <v>34</v>
      </c>
      <c r="C9" s="1" t="s">
        <v>459</v>
      </c>
      <c r="D9" s="1" t="s">
        <v>773</v>
      </c>
      <c r="E9" s="6">
        <v>22156</v>
      </c>
      <c r="F9" s="1" t="s">
        <v>124</v>
      </c>
      <c r="G9" s="1">
        <v>1990</v>
      </c>
      <c r="H9" s="1">
        <v>13</v>
      </c>
      <c r="I9" s="7">
        <v>32890</v>
      </c>
      <c r="J9" s="7">
        <v>38691</v>
      </c>
      <c r="K9" s="8" t="s">
        <v>37</v>
      </c>
      <c r="L9" s="9" t="e">
        <f t="shared" ca="1" si="0"/>
        <v>#NAME?</v>
      </c>
      <c r="M9" s="9" t="e">
        <f t="shared" ca="1" si="1"/>
        <v>#NAME?</v>
      </c>
      <c r="N9" s="10" t="e">
        <f t="shared" ca="1" si="2"/>
        <v>#NAME?</v>
      </c>
      <c r="O9" s="1" t="s">
        <v>38</v>
      </c>
      <c r="P9" s="1"/>
      <c r="Q9" s="1" t="s">
        <v>90</v>
      </c>
      <c r="R9" s="1" t="s">
        <v>774</v>
      </c>
      <c r="S9" s="1" t="s">
        <v>775</v>
      </c>
      <c r="T9" s="1" t="s">
        <v>579</v>
      </c>
      <c r="U9" s="1" t="s">
        <v>579</v>
      </c>
      <c r="X9" s="1">
        <v>4</v>
      </c>
      <c r="Y9" s="7">
        <v>34523</v>
      </c>
      <c r="Z9" s="7">
        <v>38269</v>
      </c>
      <c r="AA9" s="1">
        <v>5503</v>
      </c>
      <c r="AB9" s="1">
        <v>6</v>
      </c>
      <c r="AC9" s="1">
        <v>36</v>
      </c>
      <c r="AD9" s="1" t="s">
        <v>776</v>
      </c>
    </row>
    <row r="10" spans="1:39" ht="13">
      <c r="A10" s="1" t="s">
        <v>807</v>
      </c>
      <c r="B10" s="1" t="s">
        <v>34</v>
      </c>
      <c r="C10" s="1" t="s">
        <v>361</v>
      </c>
      <c r="D10" s="1"/>
      <c r="E10" s="6">
        <v>20632</v>
      </c>
      <c r="F10" s="1" t="s">
        <v>124</v>
      </c>
      <c r="G10" s="1">
        <v>1990</v>
      </c>
      <c r="H10" s="1">
        <v>13</v>
      </c>
      <c r="I10" s="7">
        <v>32890</v>
      </c>
      <c r="J10" s="7">
        <v>35170</v>
      </c>
      <c r="K10" s="8" t="s">
        <v>37</v>
      </c>
      <c r="L10" s="9" t="e">
        <f t="shared" ca="1" si="0"/>
        <v>#NAME?</v>
      </c>
      <c r="M10" s="9" t="e">
        <f t="shared" ca="1" si="1"/>
        <v>#NAME?</v>
      </c>
      <c r="N10" s="10" t="e">
        <f t="shared" ca="1" si="2"/>
        <v>#NAME?</v>
      </c>
      <c r="O10" s="1" t="s">
        <v>38</v>
      </c>
      <c r="P10" s="1"/>
      <c r="Q10" s="1" t="s">
        <v>90</v>
      </c>
      <c r="R10" s="1" t="s">
        <v>808</v>
      </c>
      <c r="S10" s="1" t="s">
        <v>809</v>
      </c>
      <c r="T10" s="1" t="s">
        <v>810</v>
      </c>
      <c r="U10" s="1" t="s">
        <v>201</v>
      </c>
      <c r="X10" s="1">
        <v>2</v>
      </c>
      <c r="Y10" s="7">
        <v>34085</v>
      </c>
      <c r="Z10" s="7">
        <v>34732</v>
      </c>
      <c r="AA10" s="1">
        <v>438</v>
      </c>
      <c r="AB10" s="1">
        <v>1</v>
      </c>
      <c r="AC10" s="1">
        <v>5</v>
      </c>
      <c r="AD10" s="1" t="s">
        <v>811</v>
      </c>
    </row>
    <row r="11" spans="1:39" ht="13">
      <c r="A11" s="1" t="s">
        <v>826</v>
      </c>
      <c r="B11" s="1" t="s">
        <v>394</v>
      </c>
      <c r="C11" s="1" t="s">
        <v>530</v>
      </c>
      <c r="D11" s="1" t="s">
        <v>827</v>
      </c>
      <c r="E11" s="6">
        <v>21315</v>
      </c>
      <c r="F11" s="1" t="s">
        <v>124</v>
      </c>
      <c r="G11" s="1">
        <v>1990</v>
      </c>
      <c r="H11" s="1">
        <v>13</v>
      </c>
      <c r="I11" s="7">
        <v>32890</v>
      </c>
      <c r="J11" s="20">
        <v>43245</v>
      </c>
      <c r="K11" s="8" t="s">
        <v>37</v>
      </c>
      <c r="L11" s="9" t="e">
        <f t="shared" ca="1" si="0"/>
        <v>#NAME?</v>
      </c>
      <c r="M11" s="9" t="e">
        <f t="shared" ca="1" si="1"/>
        <v>#NAME?</v>
      </c>
      <c r="N11" s="10" t="e">
        <f t="shared" ca="1" si="2"/>
        <v>#NAME?</v>
      </c>
      <c r="O11" s="1" t="s">
        <v>38</v>
      </c>
      <c r="P11" s="1"/>
      <c r="Q11" s="1" t="s">
        <v>521</v>
      </c>
      <c r="R11" s="1" t="s">
        <v>468</v>
      </c>
      <c r="S11" s="1" t="s">
        <v>828</v>
      </c>
      <c r="T11" s="1" t="s">
        <v>158</v>
      </c>
      <c r="U11" s="1" t="s">
        <v>139</v>
      </c>
      <c r="X11" s="1">
        <v>4</v>
      </c>
      <c r="Y11" s="7">
        <v>34067</v>
      </c>
      <c r="Z11" s="7">
        <v>37354</v>
      </c>
      <c r="AA11" s="1">
        <v>979</v>
      </c>
      <c r="AB11" s="1">
        <v>0</v>
      </c>
      <c r="AC11" s="1">
        <v>0</v>
      </c>
      <c r="AD11" s="1" t="s">
        <v>829</v>
      </c>
    </row>
    <row r="12" spans="1:39" ht="13">
      <c r="A12" s="1" t="s">
        <v>913</v>
      </c>
      <c r="B12" s="1" t="s">
        <v>34</v>
      </c>
      <c r="C12" s="1" t="s">
        <v>530</v>
      </c>
      <c r="D12" s="1" t="s">
        <v>914</v>
      </c>
      <c r="E12" s="6">
        <v>21335</v>
      </c>
      <c r="F12" s="1" t="s">
        <v>84</v>
      </c>
      <c r="G12" s="1">
        <v>1992</v>
      </c>
      <c r="H12" s="1">
        <v>14</v>
      </c>
      <c r="I12" s="7">
        <v>33694</v>
      </c>
      <c r="J12" s="7">
        <v>40980</v>
      </c>
      <c r="K12" s="8" t="s">
        <v>37</v>
      </c>
      <c r="L12" s="9" t="e">
        <f t="shared" ca="1" si="0"/>
        <v>#NAME?</v>
      </c>
      <c r="M12" s="9" t="e">
        <f t="shared" ca="1" si="1"/>
        <v>#NAME?</v>
      </c>
      <c r="N12" s="10" t="e">
        <f t="shared" ca="1" si="2"/>
        <v>#NAME?</v>
      </c>
      <c r="O12" s="1" t="s">
        <v>38</v>
      </c>
      <c r="P12" s="1" t="s">
        <v>915</v>
      </c>
      <c r="Q12" s="1" t="s">
        <v>90</v>
      </c>
      <c r="R12" s="1" t="s">
        <v>916</v>
      </c>
      <c r="S12" s="1" t="s">
        <v>565</v>
      </c>
      <c r="T12" s="1" t="s">
        <v>917</v>
      </c>
      <c r="U12" s="1" t="s">
        <v>42</v>
      </c>
      <c r="V12" s="1" t="s">
        <v>71</v>
      </c>
      <c r="W12" s="1" t="s">
        <v>44</v>
      </c>
      <c r="X12" s="1">
        <v>3</v>
      </c>
      <c r="Y12" s="7">
        <v>34992</v>
      </c>
      <c r="Z12" s="7">
        <v>38978</v>
      </c>
      <c r="AA12" s="1">
        <v>6190</v>
      </c>
      <c r="AB12" s="1">
        <v>10</v>
      </c>
      <c r="AC12" s="1">
        <v>67</v>
      </c>
      <c r="AD12" s="1" t="s">
        <v>918</v>
      </c>
    </row>
    <row r="13" spans="1:39" ht="13">
      <c r="A13" s="1" t="s">
        <v>926</v>
      </c>
      <c r="B13" s="1" t="s">
        <v>34</v>
      </c>
      <c r="C13" s="1" t="s">
        <v>361</v>
      </c>
      <c r="D13" s="1"/>
      <c r="E13" s="6">
        <v>18481</v>
      </c>
      <c r="F13" s="1" t="s">
        <v>84</v>
      </c>
      <c r="G13" s="1">
        <v>1992</v>
      </c>
      <c r="H13" s="1">
        <v>14</v>
      </c>
      <c r="I13" s="7">
        <v>33694</v>
      </c>
      <c r="J13" s="7">
        <v>36372</v>
      </c>
      <c r="K13" s="8" t="s">
        <v>37</v>
      </c>
      <c r="L13" s="9" t="e">
        <f t="shared" ca="1" si="0"/>
        <v>#NAME?</v>
      </c>
      <c r="M13" s="9" t="e">
        <f t="shared" ca="1" si="1"/>
        <v>#NAME?</v>
      </c>
      <c r="N13" s="10" t="e">
        <f t="shared" ca="1" si="2"/>
        <v>#NAME?</v>
      </c>
      <c r="O13" s="1" t="s">
        <v>38</v>
      </c>
      <c r="P13" s="1"/>
      <c r="Q13" s="1" t="s">
        <v>90</v>
      </c>
      <c r="R13" s="1" t="s">
        <v>311</v>
      </c>
      <c r="S13" s="1" t="s">
        <v>927</v>
      </c>
      <c r="T13" s="1" t="s">
        <v>928</v>
      </c>
      <c r="U13" s="1" t="s">
        <v>42</v>
      </c>
      <c r="V13" s="1" t="s">
        <v>71</v>
      </c>
      <c r="W13" s="1" t="s">
        <v>44</v>
      </c>
      <c r="X13" s="1">
        <v>2</v>
      </c>
      <c r="Y13" s="7">
        <v>35075</v>
      </c>
      <c r="Z13" s="7">
        <v>35753</v>
      </c>
      <c r="AA13" s="1">
        <v>590</v>
      </c>
      <c r="AB13" s="1">
        <v>3</v>
      </c>
      <c r="AC13" s="1">
        <v>19</v>
      </c>
      <c r="AD13" s="1" t="s">
        <v>929</v>
      </c>
    </row>
    <row r="14" spans="1:39" ht="13">
      <c r="A14" s="1" t="s">
        <v>948</v>
      </c>
      <c r="B14" s="1" t="s">
        <v>34</v>
      </c>
      <c r="C14" s="1" t="s">
        <v>361</v>
      </c>
      <c r="D14" s="1"/>
      <c r="E14" s="6">
        <v>21909</v>
      </c>
      <c r="F14" s="1" t="s">
        <v>84</v>
      </c>
      <c r="G14" s="1">
        <v>1995</v>
      </c>
      <c r="H14" s="1">
        <v>15</v>
      </c>
      <c r="I14" s="7">
        <v>34680</v>
      </c>
      <c r="J14" s="12">
        <v>37653</v>
      </c>
      <c r="K14" s="13" t="s">
        <v>59</v>
      </c>
      <c r="L14" s="9" t="e">
        <f t="shared" ca="1" si="0"/>
        <v>#NAME?</v>
      </c>
      <c r="M14" s="9" t="e">
        <f t="shared" ca="1" si="1"/>
        <v>#NAME?</v>
      </c>
      <c r="N14" s="10" t="e">
        <f t="shared" ca="1" si="2"/>
        <v>#NAME?</v>
      </c>
      <c r="O14" s="1" t="s">
        <v>38</v>
      </c>
      <c r="P14" s="1"/>
      <c r="Q14" s="1" t="s">
        <v>39</v>
      </c>
      <c r="R14" s="1" t="s">
        <v>949</v>
      </c>
      <c r="S14" s="1" t="s">
        <v>950</v>
      </c>
      <c r="T14" s="1" t="s">
        <v>328</v>
      </c>
      <c r="U14" s="1" t="s">
        <v>158</v>
      </c>
      <c r="V14" s="1" t="s">
        <v>63</v>
      </c>
      <c r="W14" s="1" t="s">
        <v>64</v>
      </c>
      <c r="X14" s="1">
        <v>2</v>
      </c>
      <c r="Y14" s="7">
        <v>35817</v>
      </c>
      <c r="Z14" s="7">
        <v>37637</v>
      </c>
      <c r="AA14" s="1">
        <v>594</v>
      </c>
      <c r="AB14" s="1">
        <v>0</v>
      </c>
      <c r="AC14" s="1">
        <v>0</v>
      </c>
      <c r="AD14" s="1" t="s">
        <v>951</v>
      </c>
      <c r="AE14" s="6">
        <v>37653</v>
      </c>
      <c r="AF14" s="1" t="s">
        <v>952</v>
      </c>
    </row>
    <row r="15" spans="1:39" ht="13">
      <c r="A15" s="1" t="s">
        <v>960</v>
      </c>
      <c r="B15" s="1" t="s">
        <v>394</v>
      </c>
      <c r="C15" s="1" t="s">
        <v>459</v>
      </c>
      <c r="D15" s="1" t="s">
        <v>961</v>
      </c>
      <c r="E15" s="6">
        <v>22433</v>
      </c>
      <c r="F15" s="1" t="s">
        <v>124</v>
      </c>
      <c r="G15" s="1">
        <v>1995</v>
      </c>
      <c r="H15" s="1">
        <v>15</v>
      </c>
      <c r="I15" s="7">
        <v>34680</v>
      </c>
      <c r="J15" s="12">
        <v>37653</v>
      </c>
      <c r="K15" s="13" t="s">
        <v>59</v>
      </c>
      <c r="L15" s="9" t="e">
        <f t="shared" ca="1" si="0"/>
        <v>#NAME?</v>
      </c>
      <c r="M15" s="9" t="e">
        <f t="shared" ca="1" si="1"/>
        <v>#NAME?</v>
      </c>
      <c r="N15" s="10" t="e">
        <f t="shared" ca="1" si="2"/>
        <v>#NAME?</v>
      </c>
      <c r="O15" s="1" t="s">
        <v>38</v>
      </c>
      <c r="P15" s="1"/>
      <c r="Q15" s="1" t="s">
        <v>39</v>
      </c>
      <c r="R15" s="1" t="s">
        <v>962</v>
      </c>
      <c r="S15" s="1" t="s">
        <v>963</v>
      </c>
      <c r="T15" s="1" t="s">
        <v>42</v>
      </c>
      <c r="U15" s="1" t="s">
        <v>87</v>
      </c>
      <c r="X15" s="1">
        <v>2</v>
      </c>
      <c r="Y15" s="7">
        <v>35753</v>
      </c>
      <c r="Z15" s="7">
        <v>37637</v>
      </c>
      <c r="AA15" s="1">
        <v>734</v>
      </c>
      <c r="AB15" s="1">
        <v>0</v>
      </c>
      <c r="AC15" s="1">
        <v>0</v>
      </c>
      <c r="AD15" s="1" t="s">
        <v>964</v>
      </c>
      <c r="AE15" s="6">
        <v>37653</v>
      </c>
      <c r="AF15" s="1" t="s">
        <v>952</v>
      </c>
    </row>
    <row r="16" spans="1:39" ht="13">
      <c r="A16" s="1" t="s">
        <v>965</v>
      </c>
      <c r="B16" s="1" t="s">
        <v>34</v>
      </c>
      <c r="C16" s="1" t="s">
        <v>361</v>
      </c>
      <c r="D16" s="1"/>
      <c r="E16" s="6">
        <v>22710</v>
      </c>
      <c r="F16" s="1" t="s">
        <v>84</v>
      </c>
      <c r="G16" s="1">
        <v>1995</v>
      </c>
      <c r="H16" s="1">
        <v>15</v>
      </c>
      <c r="I16" s="7">
        <v>34680</v>
      </c>
      <c r="J16" s="7">
        <v>39401</v>
      </c>
      <c r="K16" s="8" t="s">
        <v>37</v>
      </c>
      <c r="L16" s="9" t="e">
        <f t="shared" ca="1" si="0"/>
        <v>#NAME?</v>
      </c>
      <c r="M16" s="9" t="e">
        <f t="shared" ca="1" si="1"/>
        <v>#NAME?</v>
      </c>
      <c r="N16" s="10" t="e">
        <f t="shared" ca="1" si="2"/>
        <v>#NAME?</v>
      </c>
      <c r="O16" s="1" t="s">
        <v>38</v>
      </c>
      <c r="P16" s="1"/>
      <c r="Q16" s="1" t="s">
        <v>90</v>
      </c>
      <c r="R16" s="1" t="s">
        <v>631</v>
      </c>
      <c r="S16" s="1" t="s">
        <v>565</v>
      </c>
      <c r="T16" s="1" t="s">
        <v>87</v>
      </c>
      <c r="U16" s="1" t="s">
        <v>966</v>
      </c>
      <c r="V16" s="1" t="s">
        <v>71</v>
      </c>
      <c r="W16" s="1" t="s">
        <v>44</v>
      </c>
      <c r="X16" s="1">
        <v>3</v>
      </c>
      <c r="Y16" s="7">
        <v>35649</v>
      </c>
      <c r="Z16" s="7">
        <v>39060</v>
      </c>
      <c r="AA16" s="1">
        <v>902</v>
      </c>
      <c r="AB16" s="1">
        <v>7</v>
      </c>
      <c r="AC16" s="1">
        <v>45</v>
      </c>
      <c r="AD16" s="1" t="s">
        <v>967</v>
      </c>
    </row>
    <row r="17" spans="1:39" ht="13">
      <c r="A17" s="1" t="s">
        <v>996</v>
      </c>
      <c r="B17" s="1" t="s">
        <v>34</v>
      </c>
      <c r="C17" s="1" t="s">
        <v>459</v>
      </c>
      <c r="D17" s="1" t="s">
        <v>773</v>
      </c>
      <c r="E17" s="6">
        <v>23193</v>
      </c>
      <c r="F17" s="1" t="s">
        <v>124</v>
      </c>
      <c r="G17" s="1">
        <v>1995</v>
      </c>
      <c r="H17" s="1">
        <v>15</v>
      </c>
      <c r="I17" s="7">
        <v>34680</v>
      </c>
      <c r="J17" s="7">
        <v>39309</v>
      </c>
      <c r="K17" s="8" t="s">
        <v>37</v>
      </c>
      <c r="L17" s="9" t="e">
        <f t="shared" ca="1" si="0"/>
        <v>#NAME?</v>
      </c>
      <c r="M17" s="9" t="e">
        <f t="shared" ca="1" si="1"/>
        <v>#NAME?</v>
      </c>
      <c r="N17" s="10" t="e">
        <f t="shared" ca="1" si="2"/>
        <v>#NAME?</v>
      </c>
      <c r="O17" s="1" t="s">
        <v>38</v>
      </c>
      <c r="P17" s="1"/>
      <c r="Q17" s="1" t="s">
        <v>90</v>
      </c>
      <c r="R17" s="1" t="s">
        <v>661</v>
      </c>
      <c r="S17" s="1" t="s">
        <v>997</v>
      </c>
      <c r="T17" s="1" t="s">
        <v>139</v>
      </c>
      <c r="U17" s="1" t="s">
        <v>863</v>
      </c>
      <c r="X17" s="1">
        <v>3</v>
      </c>
      <c r="Y17" s="7">
        <v>35565</v>
      </c>
      <c r="Z17" s="7">
        <v>37736</v>
      </c>
      <c r="AA17" s="1">
        <v>4962</v>
      </c>
      <c r="AB17" s="1">
        <v>1</v>
      </c>
      <c r="AC17" s="1">
        <v>6</v>
      </c>
      <c r="AD17" s="1" t="s">
        <v>998</v>
      </c>
    </row>
    <row r="18" spans="1:39" ht="13">
      <c r="A18" s="1" t="s">
        <v>1004</v>
      </c>
      <c r="B18" s="1" t="s">
        <v>34</v>
      </c>
      <c r="C18" s="1" t="s">
        <v>530</v>
      </c>
      <c r="D18" s="1" t="s">
        <v>1005</v>
      </c>
      <c r="E18" s="6">
        <v>21831</v>
      </c>
      <c r="F18" s="1" t="s">
        <v>84</v>
      </c>
      <c r="G18" s="1">
        <v>1995</v>
      </c>
      <c r="H18" s="1">
        <v>15</v>
      </c>
      <c r="I18" s="7">
        <v>34680</v>
      </c>
      <c r="J18" s="20">
        <v>38353</v>
      </c>
      <c r="K18" s="8" t="s">
        <v>37</v>
      </c>
      <c r="L18" s="9" t="e">
        <f t="shared" ca="1" si="0"/>
        <v>#NAME?</v>
      </c>
      <c r="M18" s="9" t="e">
        <f t="shared" ca="1" si="1"/>
        <v>#NAME?</v>
      </c>
      <c r="N18" s="10" t="e">
        <f t="shared" ca="1" si="2"/>
        <v>#NAME?</v>
      </c>
      <c r="O18" s="1" t="s">
        <v>38</v>
      </c>
      <c r="P18" s="1"/>
      <c r="Q18" s="1" t="s">
        <v>90</v>
      </c>
      <c r="R18" s="1" t="s">
        <v>1006</v>
      </c>
      <c r="S18" s="1" t="s">
        <v>1007</v>
      </c>
      <c r="T18" s="1" t="s">
        <v>1008</v>
      </c>
      <c r="U18" s="1" t="s">
        <v>1009</v>
      </c>
      <c r="V18" s="1" t="s">
        <v>63</v>
      </c>
      <c r="W18" s="1" t="s">
        <v>56</v>
      </c>
      <c r="X18" s="1">
        <v>2</v>
      </c>
      <c r="Y18" s="7">
        <v>35565</v>
      </c>
      <c r="Z18" s="7">
        <v>36860</v>
      </c>
      <c r="AA18" s="1">
        <v>481</v>
      </c>
      <c r="AB18" s="1">
        <v>3</v>
      </c>
      <c r="AC18" s="1">
        <v>19</v>
      </c>
      <c r="AD18" s="1" t="s">
        <v>1010</v>
      </c>
    </row>
    <row r="19" spans="1:39" ht="13">
      <c r="A19" s="1" t="s">
        <v>1032</v>
      </c>
      <c r="B19" s="1" t="s">
        <v>394</v>
      </c>
      <c r="C19" s="1" t="s">
        <v>361</v>
      </c>
      <c r="D19" s="1"/>
      <c r="E19" s="6">
        <v>21664</v>
      </c>
      <c r="F19" s="1" t="s">
        <v>124</v>
      </c>
      <c r="G19" s="1">
        <v>1996</v>
      </c>
      <c r="H19" s="1">
        <v>16</v>
      </c>
      <c r="I19" s="7">
        <v>35186</v>
      </c>
      <c r="J19" s="7">
        <f ca="1">TODAY()</f>
        <v>44606</v>
      </c>
      <c r="K19" s="8" t="s">
        <v>667</v>
      </c>
      <c r="L19" s="9" t="e">
        <f t="shared" ca="1" si="0"/>
        <v>#NAME?</v>
      </c>
      <c r="M19" s="9" t="e">
        <f t="shared" ca="1" si="1"/>
        <v>#NAME?</v>
      </c>
      <c r="N19" s="10" t="str">
        <f t="shared" si="2"/>
        <v>N/A</v>
      </c>
      <c r="O19" s="1" t="s">
        <v>38</v>
      </c>
      <c r="P19" s="1"/>
      <c r="Q19" s="1" t="s">
        <v>521</v>
      </c>
      <c r="R19" s="1" t="s">
        <v>1033</v>
      </c>
      <c r="S19" s="1" t="s">
        <v>1034</v>
      </c>
      <c r="T19" s="1" t="s">
        <v>434</v>
      </c>
      <c r="V19" s="1" t="s">
        <v>49</v>
      </c>
      <c r="W19" s="1" t="s">
        <v>64</v>
      </c>
      <c r="X19" s="1">
        <v>0</v>
      </c>
      <c r="Y19" s="7"/>
      <c r="Z19" s="7"/>
      <c r="AA19" s="1">
        <v>0</v>
      </c>
      <c r="AB19" s="1">
        <v>0</v>
      </c>
      <c r="AC19" s="1">
        <v>0</v>
      </c>
      <c r="AG19" s="1" t="s">
        <v>1035</v>
      </c>
      <c r="AH19" s="1"/>
      <c r="AI19" s="1"/>
      <c r="AJ19" s="1"/>
      <c r="AK19" s="1"/>
      <c r="AL19" s="1"/>
      <c r="AM19" s="1"/>
    </row>
    <row r="20" spans="1:39" ht="13">
      <c r="A20" s="1" t="s">
        <v>1036</v>
      </c>
      <c r="B20" s="1" t="s">
        <v>34</v>
      </c>
      <c r="C20" s="1" t="s">
        <v>530</v>
      </c>
      <c r="D20" s="1" t="s">
        <v>1037</v>
      </c>
      <c r="E20" s="6">
        <v>21348</v>
      </c>
      <c r="F20" s="1" t="s">
        <v>84</v>
      </c>
      <c r="G20" s="1">
        <v>1996</v>
      </c>
      <c r="H20" s="1">
        <v>16</v>
      </c>
      <c r="I20" s="7">
        <v>35186</v>
      </c>
      <c r="J20" s="12">
        <v>40089</v>
      </c>
      <c r="K20" s="13" t="s">
        <v>59</v>
      </c>
      <c r="L20" s="9" t="e">
        <f t="shared" ca="1" si="0"/>
        <v>#NAME?</v>
      </c>
      <c r="M20" s="9" t="str">
        <f t="shared" si="1"/>
        <v>N/A</v>
      </c>
      <c r="N20" s="10" t="str">
        <f t="shared" si="2"/>
        <v>N/A</v>
      </c>
      <c r="O20" s="1" t="s">
        <v>38</v>
      </c>
      <c r="P20" s="1"/>
      <c r="Q20" s="1" t="s">
        <v>39</v>
      </c>
      <c r="R20" s="1" t="s">
        <v>1038</v>
      </c>
      <c r="S20" s="1" t="s">
        <v>1039</v>
      </c>
      <c r="T20" s="1" t="s">
        <v>62</v>
      </c>
      <c r="U20" s="1" t="s">
        <v>654</v>
      </c>
      <c r="X20" s="1">
        <v>0</v>
      </c>
      <c r="Y20" s="7"/>
      <c r="Z20" s="7"/>
      <c r="AA20" s="1">
        <v>0</v>
      </c>
      <c r="AB20" s="1">
        <v>0</v>
      </c>
      <c r="AC20" s="1">
        <v>0</v>
      </c>
      <c r="AE20" s="6">
        <v>40089</v>
      </c>
      <c r="AG20" s="1" t="s">
        <v>1040</v>
      </c>
      <c r="AH20" s="1"/>
      <c r="AI20" s="1"/>
      <c r="AJ20" s="1"/>
      <c r="AK20" s="1"/>
      <c r="AL20" s="1"/>
      <c r="AM20" s="1"/>
    </row>
    <row r="21" spans="1:39" ht="13">
      <c r="A21" s="1" t="s">
        <v>1073</v>
      </c>
      <c r="B21" s="1" t="s">
        <v>394</v>
      </c>
      <c r="C21" s="1" t="s">
        <v>361</v>
      </c>
      <c r="D21" s="1"/>
      <c r="E21" s="6">
        <v>23592</v>
      </c>
      <c r="F21" s="1" t="s">
        <v>84</v>
      </c>
      <c r="G21" s="1">
        <v>1996</v>
      </c>
      <c r="H21" s="1">
        <v>16</v>
      </c>
      <c r="I21" s="7">
        <v>35186</v>
      </c>
      <c r="J21" s="7">
        <v>39401</v>
      </c>
      <c r="K21" s="8" t="s">
        <v>37</v>
      </c>
      <c r="L21" s="9" t="e">
        <f t="shared" ca="1" si="0"/>
        <v>#NAME?</v>
      </c>
      <c r="M21" s="9" t="e">
        <f t="shared" ca="1" si="1"/>
        <v>#NAME?</v>
      </c>
      <c r="N21" s="10" t="e">
        <f t="shared" ca="1" si="2"/>
        <v>#NAME?</v>
      </c>
      <c r="O21" s="1" t="s">
        <v>38</v>
      </c>
      <c r="P21" s="1"/>
      <c r="Q21" s="1" t="s">
        <v>90</v>
      </c>
      <c r="R21" s="1" t="s">
        <v>102</v>
      </c>
      <c r="S21" s="1" t="s">
        <v>1074</v>
      </c>
      <c r="T21" s="1" t="s">
        <v>139</v>
      </c>
      <c r="U21" s="1" t="s">
        <v>1075</v>
      </c>
      <c r="X21" s="1">
        <v>1</v>
      </c>
      <c r="Y21" s="7">
        <v>39060</v>
      </c>
      <c r="Z21" s="7">
        <v>39060</v>
      </c>
      <c r="AA21" s="1">
        <v>308</v>
      </c>
      <c r="AB21" s="1">
        <v>0</v>
      </c>
      <c r="AC21" s="1">
        <v>0</v>
      </c>
      <c r="AD21" s="1" t="s">
        <v>1076</v>
      </c>
    </row>
    <row r="22" spans="1:39" ht="13">
      <c r="A22" s="1" t="s">
        <v>1095</v>
      </c>
      <c r="B22" s="1" t="s">
        <v>34</v>
      </c>
      <c r="C22" s="1" t="s">
        <v>530</v>
      </c>
      <c r="D22" s="1"/>
      <c r="E22" s="6">
        <v>22106</v>
      </c>
      <c r="F22" s="1" t="s">
        <v>84</v>
      </c>
      <c r="G22" s="1">
        <v>1996</v>
      </c>
      <c r="H22" s="1">
        <v>16</v>
      </c>
      <c r="I22" s="7">
        <v>35186</v>
      </c>
      <c r="J22" s="7">
        <v>38398</v>
      </c>
      <c r="K22" s="8" t="s">
        <v>37</v>
      </c>
      <c r="L22" s="9" t="e">
        <f t="shared" ca="1" si="0"/>
        <v>#NAME?</v>
      </c>
      <c r="M22" s="9" t="str">
        <f t="shared" si="1"/>
        <v>N/A</v>
      </c>
      <c r="N22" s="10" t="str">
        <f t="shared" si="2"/>
        <v>N/A</v>
      </c>
      <c r="O22" s="1" t="s">
        <v>38</v>
      </c>
      <c r="P22" s="1"/>
      <c r="Q22" s="1" t="s">
        <v>90</v>
      </c>
      <c r="R22" s="1" t="s">
        <v>1096</v>
      </c>
      <c r="S22" s="1" t="s">
        <v>1097</v>
      </c>
      <c r="T22" s="1" t="s">
        <v>55</v>
      </c>
      <c r="U22" s="1" t="s">
        <v>683</v>
      </c>
      <c r="V22" s="1" t="s">
        <v>49</v>
      </c>
      <c r="W22" s="1" t="s">
        <v>56</v>
      </c>
      <c r="X22" s="1">
        <v>0</v>
      </c>
      <c r="Y22" s="7"/>
      <c r="Z22" s="7"/>
      <c r="AA22" s="1">
        <v>0</v>
      </c>
      <c r="AB22" s="1">
        <v>0</v>
      </c>
      <c r="AC22" s="1">
        <v>0</v>
      </c>
      <c r="AG22" s="1" t="s">
        <v>1098</v>
      </c>
      <c r="AH22" s="1"/>
      <c r="AI22" s="1"/>
      <c r="AJ22" s="1"/>
      <c r="AK22" s="1"/>
      <c r="AL22" s="1"/>
      <c r="AM22" s="1"/>
    </row>
    <row r="23" spans="1:39" ht="13">
      <c r="A23" s="1" t="s">
        <v>1155</v>
      </c>
      <c r="B23" s="1" t="s">
        <v>34</v>
      </c>
      <c r="C23" s="1" t="s">
        <v>459</v>
      </c>
      <c r="D23" s="1" t="s">
        <v>460</v>
      </c>
      <c r="E23" s="6">
        <v>22313</v>
      </c>
      <c r="F23" s="1" t="s">
        <v>84</v>
      </c>
      <c r="G23" s="1">
        <v>1996</v>
      </c>
      <c r="H23" s="1">
        <v>16</v>
      </c>
      <c r="I23" s="7">
        <v>35186</v>
      </c>
      <c r="J23" s="7">
        <v>41136</v>
      </c>
      <c r="K23" s="8" t="s">
        <v>37</v>
      </c>
      <c r="L23" s="9" t="e">
        <f t="shared" ca="1" si="0"/>
        <v>#NAME?</v>
      </c>
      <c r="M23" s="9" t="e">
        <f t="shared" ca="1" si="1"/>
        <v>#NAME?</v>
      </c>
      <c r="N23" s="10" t="e">
        <f t="shared" ca="1" si="2"/>
        <v>#NAME?</v>
      </c>
      <c r="O23" s="1" t="s">
        <v>38</v>
      </c>
      <c r="P23" s="1"/>
      <c r="Q23" s="1" t="s">
        <v>90</v>
      </c>
      <c r="R23" s="1" t="s">
        <v>1156</v>
      </c>
      <c r="S23" s="1" t="s">
        <v>174</v>
      </c>
      <c r="T23" s="1" t="s">
        <v>62</v>
      </c>
      <c r="U23" s="1" t="s">
        <v>62</v>
      </c>
      <c r="X23" s="1">
        <v>2</v>
      </c>
      <c r="Y23" s="7">
        <v>37230</v>
      </c>
      <c r="Z23" s="7">
        <v>39378</v>
      </c>
      <c r="AA23" s="1">
        <v>3162</v>
      </c>
      <c r="AB23" s="1">
        <v>6</v>
      </c>
      <c r="AC23" s="1">
        <v>39</v>
      </c>
      <c r="AD23" s="1" t="s">
        <v>1157</v>
      </c>
    </row>
    <row r="24" spans="1:39" ht="13">
      <c r="A24" s="1" t="s">
        <v>1172</v>
      </c>
      <c r="B24" s="1" t="s">
        <v>394</v>
      </c>
      <c r="C24" s="1" t="s">
        <v>361</v>
      </c>
      <c r="D24" s="1"/>
      <c r="E24" s="6">
        <v>24377</v>
      </c>
      <c r="F24" s="1" t="s">
        <v>84</v>
      </c>
      <c r="G24" s="1">
        <v>1996</v>
      </c>
      <c r="H24" s="1">
        <v>16</v>
      </c>
      <c r="I24" s="7">
        <v>35186</v>
      </c>
      <c r="J24" s="7">
        <f ca="1">TODAY()</f>
        <v>44606</v>
      </c>
      <c r="K24" s="8" t="s">
        <v>1056</v>
      </c>
      <c r="L24" s="9" t="e">
        <f t="shared" ca="1" si="0"/>
        <v>#NAME?</v>
      </c>
      <c r="M24" s="9" t="e">
        <f t="shared" ca="1" si="1"/>
        <v>#NAME?</v>
      </c>
      <c r="N24" s="10" t="e">
        <f t="shared" ca="1" si="2"/>
        <v>#NAME?</v>
      </c>
      <c r="O24" s="1" t="s">
        <v>38</v>
      </c>
      <c r="P24" s="1"/>
      <c r="Q24" s="1" t="s">
        <v>1057</v>
      </c>
      <c r="R24" s="1" t="s">
        <v>258</v>
      </c>
      <c r="S24" s="1" t="s">
        <v>1173</v>
      </c>
      <c r="T24" s="1" t="s">
        <v>346</v>
      </c>
      <c r="U24" s="1" t="s">
        <v>87</v>
      </c>
      <c r="X24" s="1">
        <v>3</v>
      </c>
      <c r="Y24" s="7">
        <v>38902</v>
      </c>
      <c r="Z24" s="7">
        <v>40273</v>
      </c>
      <c r="AA24" s="1">
        <v>1031</v>
      </c>
      <c r="AB24" s="1">
        <v>0</v>
      </c>
      <c r="AC24" s="1">
        <v>0</v>
      </c>
      <c r="AD24" s="1" t="s">
        <v>1174</v>
      </c>
    </row>
    <row r="25" spans="1:39" ht="13">
      <c r="A25" s="1" t="s">
        <v>1215</v>
      </c>
      <c r="B25" s="1" t="s">
        <v>34</v>
      </c>
      <c r="C25" s="1" t="s">
        <v>361</v>
      </c>
      <c r="D25" s="1"/>
      <c r="E25" s="6">
        <v>23422</v>
      </c>
      <c r="F25" s="1" t="s">
        <v>84</v>
      </c>
      <c r="G25" s="1">
        <v>1998</v>
      </c>
      <c r="H25" s="1">
        <v>17</v>
      </c>
      <c r="I25" s="7">
        <v>35950</v>
      </c>
      <c r="J25" s="7">
        <v>41685</v>
      </c>
      <c r="K25" s="8" t="s">
        <v>37</v>
      </c>
      <c r="L25" s="9" t="e">
        <f t="shared" ca="1" si="0"/>
        <v>#NAME?</v>
      </c>
      <c r="M25" s="9" t="e">
        <f t="shared" ca="1" si="1"/>
        <v>#NAME?</v>
      </c>
      <c r="N25" s="10" t="e">
        <f t="shared" ca="1" si="2"/>
        <v>#NAME?</v>
      </c>
      <c r="O25" s="1" t="s">
        <v>38</v>
      </c>
      <c r="P25" s="1"/>
      <c r="Q25" s="1" t="s">
        <v>521</v>
      </c>
      <c r="R25" s="1" t="s">
        <v>1216</v>
      </c>
      <c r="S25" s="1" t="s">
        <v>1217</v>
      </c>
      <c r="T25" s="1" t="s">
        <v>170</v>
      </c>
      <c r="U25" s="1" t="s">
        <v>1218</v>
      </c>
      <c r="X25" s="1">
        <v>2</v>
      </c>
      <c r="Y25" s="7">
        <v>39485</v>
      </c>
      <c r="Z25" s="7">
        <v>40133</v>
      </c>
      <c r="AA25" s="1">
        <v>565</v>
      </c>
      <c r="AB25" s="1">
        <v>0</v>
      </c>
      <c r="AC25" s="1">
        <v>0</v>
      </c>
      <c r="AD25" s="1" t="s">
        <v>1219</v>
      </c>
    </row>
    <row r="26" spans="1:39" ht="13">
      <c r="A26" s="1" t="s">
        <v>1225</v>
      </c>
      <c r="B26" s="1" t="s">
        <v>34</v>
      </c>
      <c r="C26" s="1" t="s">
        <v>530</v>
      </c>
      <c r="D26" s="1" t="s">
        <v>827</v>
      </c>
      <c r="E26" s="6">
        <v>24252</v>
      </c>
      <c r="F26" s="1" t="s">
        <v>124</v>
      </c>
      <c r="G26" s="1">
        <v>1998</v>
      </c>
      <c r="H26" s="1">
        <v>17</v>
      </c>
      <c r="I26" s="7">
        <v>35950</v>
      </c>
      <c r="J26" s="7">
        <v>40323</v>
      </c>
      <c r="K26" s="8" t="s">
        <v>37</v>
      </c>
      <c r="L26" s="9" t="e">
        <f t="shared" ca="1" si="0"/>
        <v>#NAME?</v>
      </c>
      <c r="M26" s="9" t="e">
        <f t="shared" ca="1" si="1"/>
        <v>#NAME?</v>
      </c>
      <c r="N26" s="10" t="e">
        <f t="shared" ca="1" si="2"/>
        <v>#NAME?</v>
      </c>
      <c r="O26" s="1" t="s">
        <v>38</v>
      </c>
      <c r="P26" s="1"/>
      <c r="Q26" s="1" t="s">
        <v>90</v>
      </c>
      <c r="R26" s="1" t="s">
        <v>1226</v>
      </c>
      <c r="S26" s="1" t="s">
        <v>1227</v>
      </c>
      <c r="T26" s="1" t="s">
        <v>62</v>
      </c>
      <c r="U26" s="1" t="s">
        <v>1228</v>
      </c>
      <c r="X26" s="1">
        <v>2</v>
      </c>
      <c r="Y26" s="7">
        <v>39241</v>
      </c>
      <c r="Z26" s="7">
        <v>40053</v>
      </c>
      <c r="AA26" s="1">
        <v>665</v>
      </c>
      <c r="AB26" s="1">
        <v>5</v>
      </c>
      <c r="AC26" s="1">
        <v>34</v>
      </c>
      <c r="AD26" s="1" t="s">
        <v>1229</v>
      </c>
    </row>
    <row r="27" spans="1:39" ht="13">
      <c r="A27" s="1" t="s">
        <v>1255</v>
      </c>
      <c r="B27" s="1" t="s">
        <v>394</v>
      </c>
      <c r="C27" s="1" t="s">
        <v>459</v>
      </c>
      <c r="D27" s="1" t="s">
        <v>961</v>
      </c>
      <c r="E27" s="6">
        <v>24004</v>
      </c>
      <c r="F27" s="1" t="s">
        <v>84</v>
      </c>
      <c r="G27" s="1">
        <v>1998</v>
      </c>
      <c r="H27" s="1">
        <v>17</v>
      </c>
      <c r="I27" s="7">
        <v>35950</v>
      </c>
      <c r="J27" s="7">
        <f ca="1">TODAY()</f>
        <v>44606</v>
      </c>
      <c r="K27" s="8" t="s">
        <v>1056</v>
      </c>
      <c r="L27" s="9" t="e">
        <f t="shared" ca="1" si="0"/>
        <v>#NAME?</v>
      </c>
      <c r="M27" s="9" t="e">
        <f t="shared" ca="1" si="1"/>
        <v>#NAME?</v>
      </c>
      <c r="N27" s="10" t="e">
        <f t="shared" ca="1" si="2"/>
        <v>#NAME?</v>
      </c>
      <c r="O27" s="1" t="s">
        <v>38</v>
      </c>
      <c r="P27" s="1"/>
      <c r="Q27" s="1" t="s">
        <v>1057</v>
      </c>
      <c r="R27" s="1" t="s">
        <v>1256</v>
      </c>
      <c r="S27" s="1" t="s">
        <v>1257</v>
      </c>
      <c r="T27" s="1" t="s">
        <v>736</v>
      </c>
      <c r="U27" s="1" t="s">
        <v>654</v>
      </c>
      <c r="V27" s="1" t="s">
        <v>71</v>
      </c>
      <c r="W27" s="1" t="s">
        <v>150</v>
      </c>
      <c r="X27" s="1">
        <v>2</v>
      </c>
      <c r="Y27" s="7">
        <v>39060</v>
      </c>
      <c r="Z27" s="7">
        <v>41104</v>
      </c>
      <c r="AA27" s="1">
        <v>7721</v>
      </c>
      <c r="AB27" s="1">
        <v>7</v>
      </c>
      <c r="AC27" s="1">
        <v>50</v>
      </c>
      <c r="AD27" s="1" t="s">
        <v>1258</v>
      </c>
    </row>
    <row r="28" spans="1:39" ht="13">
      <c r="A28" s="1" t="s">
        <v>1263</v>
      </c>
      <c r="B28" s="1" t="s">
        <v>34</v>
      </c>
      <c r="C28" s="1" t="s">
        <v>530</v>
      </c>
      <c r="D28" s="1" t="s">
        <v>1264</v>
      </c>
      <c r="E28" s="6">
        <v>22826</v>
      </c>
      <c r="F28" s="1" t="s">
        <v>84</v>
      </c>
      <c r="G28" s="1">
        <v>1998</v>
      </c>
      <c r="H28" s="1">
        <v>17</v>
      </c>
      <c r="I28" s="7">
        <v>35950</v>
      </c>
      <c r="J28" s="7">
        <v>41344</v>
      </c>
      <c r="K28" s="8" t="s">
        <v>37</v>
      </c>
      <c r="L28" s="9" t="e">
        <f t="shared" ca="1" si="0"/>
        <v>#NAME?</v>
      </c>
      <c r="M28" s="9" t="e">
        <f t="shared" ca="1" si="1"/>
        <v>#NAME?</v>
      </c>
      <c r="N28" s="10" t="e">
        <f t="shared" ca="1" si="2"/>
        <v>#NAME?</v>
      </c>
      <c r="O28" s="1" t="s">
        <v>38</v>
      </c>
      <c r="P28" s="1"/>
      <c r="Q28" s="1" t="s">
        <v>90</v>
      </c>
      <c r="R28" s="1" t="s">
        <v>1265</v>
      </c>
      <c r="S28" s="1" t="s">
        <v>1257</v>
      </c>
      <c r="T28" s="1" t="s">
        <v>272</v>
      </c>
      <c r="U28" s="1" t="s">
        <v>654</v>
      </c>
      <c r="V28" s="1" t="s">
        <v>49</v>
      </c>
      <c r="W28" s="1" t="s">
        <v>56</v>
      </c>
      <c r="X28" s="1">
        <v>2</v>
      </c>
      <c r="Y28" s="7">
        <v>39378</v>
      </c>
      <c r="Z28" s="7">
        <v>40217</v>
      </c>
      <c r="AA28" s="1">
        <v>692</v>
      </c>
      <c r="AB28" s="1">
        <v>0</v>
      </c>
      <c r="AC28" s="1">
        <v>0</v>
      </c>
      <c r="AD28" s="1" t="s">
        <v>1266</v>
      </c>
    </row>
    <row r="29" spans="1:39" ht="13">
      <c r="A29" s="1" t="s">
        <v>1288</v>
      </c>
      <c r="B29" s="1" t="s">
        <v>34</v>
      </c>
      <c r="C29" s="1" t="s">
        <v>361</v>
      </c>
      <c r="D29" s="1"/>
      <c r="E29" s="6">
        <v>22955</v>
      </c>
      <c r="F29" s="1" t="s">
        <v>84</v>
      </c>
      <c r="G29" s="1">
        <v>2000</v>
      </c>
      <c r="H29" s="1">
        <v>18</v>
      </c>
      <c r="I29" s="7">
        <v>36733</v>
      </c>
      <c r="J29" s="7">
        <v>41562</v>
      </c>
      <c r="K29" s="8" t="s">
        <v>37</v>
      </c>
      <c r="L29" s="9" t="e">
        <f t="shared" ca="1" si="0"/>
        <v>#NAME?</v>
      </c>
      <c r="M29" s="9" t="e">
        <f t="shared" ca="1" si="1"/>
        <v>#NAME?</v>
      </c>
      <c r="N29" s="10" t="e">
        <f t="shared" ca="1" si="2"/>
        <v>#NAME?</v>
      </c>
      <c r="O29" s="1" t="s">
        <v>38</v>
      </c>
      <c r="P29" s="1"/>
      <c r="Q29" s="1" t="s">
        <v>90</v>
      </c>
      <c r="R29" s="1" t="s">
        <v>407</v>
      </c>
      <c r="S29" s="1" t="s">
        <v>1289</v>
      </c>
      <c r="T29" s="1" t="s">
        <v>1290</v>
      </c>
      <c r="U29" s="1" t="s">
        <v>1291</v>
      </c>
      <c r="V29" s="1" t="s">
        <v>49</v>
      </c>
      <c r="W29" s="1" t="s">
        <v>64</v>
      </c>
      <c r="X29" s="1">
        <v>2</v>
      </c>
      <c r="Y29" s="7">
        <v>39302</v>
      </c>
      <c r="Z29" s="7">
        <v>40598</v>
      </c>
      <c r="AA29" s="1">
        <v>613</v>
      </c>
      <c r="AB29" s="1">
        <v>2</v>
      </c>
      <c r="AC29" s="1">
        <v>13</v>
      </c>
      <c r="AD29" s="1" t="s">
        <v>1292</v>
      </c>
    </row>
    <row r="30" spans="1:39" ht="13">
      <c r="A30" s="1" t="s">
        <v>1343</v>
      </c>
      <c r="B30" s="1" t="s">
        <v>34</v>
      </c>
      <c r="C30" s="1" t="s">
        <v>530</v>
      </c>
      <c r="D30" s="1" t="s">
        <v>1344</v>
      </c>
      <c r="E30" s="6">
        <v>24609</v>
      </c>
      <c r="F30" s="1" t="s">
        <v>84</v>
      </c>
      <c r="G30" s="1">
        <v>2004</v>
      </c>
      <c r="H30" s="1">
        <v>19</v>
      </c>
      <c r="I30" s="7">
        <v>38113</v>
      </c>
      <c r="J30" s="7">
        <f ca="1">TODAY()</f>
        <v>44606</v>
      </c>
      <c r="K30" s="8" t="s">
        <v>1056</v>
      </c>
      <c r="L30" s="9" t="e">
        <f t="shared" ca="1" si="0"/>
        <v>#NAME?</v>
      </c>
      <c r="M30" s="9" t="e">
        <f t="shared" ca="1" si="1"/>
        <v>#NAME?</v>
      </c>
      <c r="N30" s="10" t="e">
        <f t="shared" ca="1" si="2"/>
        <v>#NAME?</v>
      </c>
      <c r="O30" s="1" t="s">
        <v>38</v>
      </c>
      <c r="P30" s="1"/>
      <c r="Q30" s="1" t="s">
        <v>1057</v>
      </c>
      <c r="R30" s="1" t="s">
        <v>1345</v>
      </c>
      <c r="S30" s="1" t="s">
        <v>1346</v>
      </c>
      <c r="T30" s="1" t="s">
        <v>210</v>
      </c>
      <c r="U30" s="1" t="s">
        <v>210</v>
      </c>
      <c r="X30" s="1">
        <v>3</v>
      </c>
      <c r="Y30" s="7">
        <v>39887</v>
      </c>
      <c r="Z30" s="17">
        <v>42991</v>
      </c>
      <c r="AA30" s="1" t="s">
        <v>1347</v>
      </c>
      <c r="AB30" s="1">
        <v>3</v>
      </c>
      <c r="AC30" s="24" t="s">
        <v>1348</v>
      </c>
      <c r="AD30" s="1" t="s">
        <v>1349</v>
      </c>
    </row>
    <row r="31" spans="1:39" ht="13">
      <c r="A31" s="1" t="s">
        <v>1373</v>
      </c>
      <c r="B31" s="1" t="s">
        <v>34</v>
      </c>
      <c r="C31" s="1" t="s">
        <v>530</v>
      </c>
      <c r="D31" s="1" t="s">
        <v>827</v>
      </c>
      <c r="E31" s="6">
        <v>22865</v>
      </c>
      <c r="F31" s="1" t="s">
        <v>84</v>
      </c>
      <c r="G31" s="1">
        <v>2004</v>
      </c>
      <c r="H31" s="1">
        <v>19</v>
      </c>
      <c r="I31" s="7">
        <v>38113</v>
      </c>
      <c r="J31" s="7">
        <v>40557</v>
      </c>
      <c r="K31" s="8" t="s">
        <v>37</v>
      </c>
      <c r="L31" s="9" t="e">
        <f t="shared" ca="1" si="0"/>
        <v>#NAME?</v>
      </c>
      <c r="M31" s="9" t="e">
        <f t="shared" ca="1" si="1"/>
        <v>#NAME?</v>
      </c>
      <c r="N31" s="10" t="e">
        <f t="shared" ca="1" si="2"/>
        <v>#NAME?</v>
      </c>
      <c r="O31" s="1" t="s">
        <v>38</v>
      </c>
      <c r="P31" s="1"/>
      <c r="Q31" s="1" t="s">
        <v>90</v>
      </c>
      <c r="R31" s="1" t="s">
        <v>1374</v>
      </c>
      <c r="S31" s="1" t="s">
        <v>1375</v>
      </c>
      <c r="T31" s="1" t="s">
        <v>139</v>
      </c>
      <c r="U31" s="1" t="s">
        <v>1376</v>
      </c>
      <c r="X31" s="1">
        <v>1</v>
      </c>
      <c r="Y31" s="7">
        <v>40053</v>
      </c>
      <c r="Z31" s="7">
        <v>40053</v>
      </c>
      <c r="AA31" s="1">
        <v>332</v>
      </c>
      <c r="AB31" s="1">
        <v>0</v>
      </c>
      <c r="AC31" s="1">
        <v>0</v>
      </c>
      <c r="AD31" s="1" t="s">
        <v>1377</v>
      </c>
    </row>
    <row r="32" spans="1:39" ht="13">
      <c r="A32" s="1" t="s">
        <v>1393</v>
      </c>
      <c r="B32" s="1" t="s">
        <v>34</v>
      </c>
      <c r="C32" s="1" t="s">
        <v>361</v>
      </c>
      <c r="D32" s="1"/>
      <c r="E32" s="6">
        <v>24007</v>
      </c>
      <c r="F32" s="1" t="s">
        <v>124</v>
      </c>
      <c r="G32" s="1">
        <v>2004</v>
      </c>
      <c r="H32" s="1">
        <v>19</v>
      </c>
      <c r="I32" s="7">
        <v>38113</v>
      </c>
      <c r="J32" s="7">
        <v>40801</v>
      </c>
      <c r="K32" s="8" t="s">
        <v>37</v>
      </c>
      <c r="L32" s="9" t="e">
        <f t="shared" ca="1" si="0"/>
        <v>#NAME?</v>
      </c>
      <c r="M32" s="9" t="e">
        <f t="shared" ca="1" si="1"/>
        <v>#NAME?</v>
      </c>
      <c r="N32" s="10" t="e">
        <f t="shared" ca="1" si="2"/>
        <v>#NAME?</v>
      </c>
      <c r="O32" s="1" t="s">
        <v>38</v>
      </c>
      <c r="P32" s="1"/>
      <c r="Q32" s="1" t="s">
        <v>90</v>
      </c>
      <c r="R32" s="1" t="s">
        <v>1394</v>
      </c>
      <c r="S32" s="1" t="s">
        <v>1395</v>
      </c>
      <c r="T32" s="1" t="s">
        <v>579</v>
      </c>
      <c r="U32" s="1" t="s">
        <v>1396</v>
      </c>
      <c r="X32" s="1">
        <v>1</v>
      </c>
      <c r="Y32" s="7">
        <v>40133</v>
      </c>
      <c r="Z32" s="7">
        <v>40133</v>
      </c>
      <c r="AA32" s="1">
        <v>259</v>
      </c>
      <c r="AB32" s="1">
        <v>2</v>
      </c>
      <c r="AC32" s="1">
        <v>12</v>
      </c>
      <c r="AD32" s="1" t="s">
        <v>1397</v>
      </c>
    </row>
    <row r="33" spans="1:39" ht="13">
      <c r="A33" s="1" t="s">
        <v>1404</v>
      </c>
      <c r="B33" s="1" t="s">
        <v>394</v>
      </c>
      <c r="C33" s="1" t="s">
        <v>530</v>
      </c>
      <c r="D33" s="1" t="s">
        <v>1405</v>
      </c>
      <c r="E33" s="6">
        <v>27859</v>
      </c>
      <c r="F33" s="1" t="s">
        <v>124</v>
      </c>
      <c r="G33" s="1">
        <v>2009</v>
      </c>
      <c r="H33" s="1">
        <v>20</v>
      </c>
      <c r="I33" s="7">
        <v>39993</v>
      </c>
      <c r="J33" s="7">
        <f t="shared" ref="J33:J46" ca="1" si="3">TODAY()</f>
        <v>44606</v>
      </c>
      <c r="K33" s="8" t="s">
        <v>667</v>
      </c>
      <c r="L33" s="9" t="e">
        <f t="shared" ca="1" si="0"/>
        <v>#NAME?</v>
      </c>
      <c r="M33" s="9" t="e">
        <f t="shared" ca="1" si="1"/>
        <v>#NAME?</v>
      </c>
      <c r="N33" s="10" t="e">
        <f t="shared" ca="1" si="2"/>
        <v>#NAME?</v>
      </c>
      <c r="O33" s="1" t="s">
        <v>38</v>
      </c>
      <c r="P33" s="1"/>
      <c r="Q33" s="1" t="s">
        <v>521</v>
      </c>
      <c r="R33" s="1" t="s">
        <v>299</v>
      </c>
      <c r="S33" s="1" t="s">
        <v>1406</v>
      </c>
      <c r="T33" s="1" t="s">
        <v>139</v>
      </c>
      <c r="U33" s="1" t="s">
        <v>201</v>
      </c>
      <c r="X33" s="1">
        <v>1</v>
      </c>
      <c r="Y33" s="17">
        <v>43257</v>
      </c>
      <c r="Z33" s="17">
        <v>43257</v>
      </c>
      <c r="AA33" s="1" t="s">
        <v>1407</v>
      </c>
      <c r="AB33" s="1">
        <v>0</v>
      </c>
      <c r="AC33" s="1">
        <v>0</v>
      </c>
      <c r="AD33" s="1" t="s">
        <v>1408</v>
      </c>
    </row>
    <row r="34" spans="1:39" ht="13">
      <c r="A34" s="1" t="s">
        <v>1409</v>
      </c>
      <c r="B34" s="1" t="s">
        <v>394</v>
      </c>
      <c r="C34" s="1" t="s">
        <v>361</v>
      </c>
      <c r="D34" s="1"/>
      <c r="E34" s="6">
        <v>25875</v>
      </c>
      <c r="F34" s="1" t="s">
        <v>124</v>
      </c>
      <c r="G34" s="1">
        <v>2009</v>
      </c>
      <c r="H34" s="1">
        <v>20</v>
      </c>
      <c r="I34" s="7">
        <v>39993</v>
      </c>
      <c r="J34" s="7">
        <f t="shared" ca="1" si="3"/>
        <v>44606</v>
      </c>
      <c r="K34" s="8" t="s">
        <v>1056</v>
      </c>
      <c r="L34" s="9" t="e">
        <f t="shared" ca="1" si="0"/>
        <v>#NAME?</v>
      </c>
      <c r="M34" s="9" t="e">
        <f t="shared" ca="1" si="1"/>
        <v>#NAME?</v>
      </c>
      <c r="N34" s="10" t="str">
        <f t="shared" si="2"/>
        <v>N/A</v>
      </c>
      <c r="O34" s="1" t="s">
        <v>38</v>
      </c>
      <c r="P34" s="1"/>
      <c r="Q34" s="1" t="s">
        <v>1057</v>
      </c>
      <c r="R34" s="1" t="s">
        <v>1248</v>
      </c>
      <c r="S34" s="1" t="s">
        <v>1410</v>
      </c>
      <c r="T34" s="1" t="s">
        <v>158</v>
      </c>
      <c r="U34" s="1" t="s">
        <v>87</v>
      </c>
      <c r="X34" s="1">
        <v>0</v>
      </c>
      <c r="Y34" s="7"/>
      <c r="Z34" s="7"/>
      <c r="AA34" s="1">
        <v>0</v>
      </c>
      <c r="AB34" s="1">
        <v>0</v>
      </c>
      <c r="AC34" s="1">
        <v>0</v>
      </c>
      <c r="AG34" s="1" t="s">
        <v>1411</v>
      </c>
      <c r="AH34" s="1"/>
      <c r="AI34" s="1"/>
      <c r="AJ34" s="1"/>
      <c r="AK34" s="1"/>
      <c r="AL34" s="1"/>
      <c r="AM34" s="1"/>
    </row>
    <row r="35" spans="1:39" ht="13">
      <c r="A35" s="1" t="s">
        <v>1422</v>
      </c>
      <c r="B35" s="1" t="s">
        <v>34</v>
      </c>
      <c r="C35" s="1" t="s">
        <v>459</v>
      </c>
      <c r="D35" s="1" t="s">
        <v>1423</v>
      </c>
      <c r="E35" s="6">
        <v>26687</v>
      </c>
      <c r="F35" s="1" t="s">
        <v>124</v>
      </c>
      <c r="G35" s="1">
        <v>2009</v>
      </c>
      <c r="H35" s="1">
        <v>20</v>
      </c>
      <c r="I35" s="7">
        <v>39993</v>
      </c>
      <c r="J35" s="7">
        <f t="shared" ca="1" si="3"/>
        <v>44606</v>
      </c>
      <c r="K35" s="8" t="s">
        <v>1056</v>
      </c>
      <c r="L35" s="9" t="e">
        <f t="shared" ca="1" si="0"/>
        <v>#NAME?</v>
      </c>
      <c r="M35" s="9" t="e">
        <f t="shared" ca="1" si="1"/>
        <v>#NAME?</v>
      </c>
      <c r="N35" s="10" t="e">
        <f t="shared" ca="1" si="2"/>
        <v>#NAME?</v>
      </c>
      <c r="O35" s="1" t="s">
        <v>38</v>
      </c>
      <c r="P35" s="1"/>
      <c r="Q35" s="1" t="s">
        <v>1057</v>
      </c>
      <c r="R35" s="1" t="s">
        <v>1424</v>
      </c>
      <c r="S35" s="1" t="s">
        <v>1425</v>
      </c>
      <c r="T35" s="1" t="s">
        <v>810</v>
      </c>
      <c r="U35" s="1" t="s">
        <v>1426</v>
      </c>
      <c r="X35" s="1">
        <v>1</v>
      </c>
      <c r="Y35" s="7">
        <v>42207</v>
      </c>
      <c r="Z35" s="7">
        <v>42207</v>
      </c>
      <c r="AA35" s="1">
        <v>3400</v>
      </c>
      <c r="AB35" s="1">
        <v>2</v>
      </c>
      <c r="AC35" s="1">
        <v>15</v>
      </c>
      <c r="AD35" s="1" t="s">
        <v>1427</v>
      </c>
    </row>
    <row r="36" spans="1:39" ht="13">
      <c r="A36" s="1" t="s">
        <v>1454</v>
      </c>
      <c r="B36" s="1" t="s">
        <v>34</v>
      </c>
      <c r="C36" s="1" t="s">
        <v>361</v>
      </c>
      <c r="D36" s="1"/>
      <c r="E36" s="6">
        <v>27880</v>
      </c>
      <c r="F36" s="1" t="s">
        <v>84</v>
      </c>
      <c r="G36" s="1">
        <v>2013</v>
      </c>
      <c r="H36" s="1">
        <v>21</v>
      </c>
      <c r="I36" s="7">
        <v>41442</v>
      </c>
      <c r="J36" s="7">
        <f t="shared" ca="1" si="3"/>
        <v>44606</v>
      </c>
      <c r="K36" s="8" t="s">
        <v>1056</v>
      </c>
      <c r="L36" s="9" t="e">
        <f t="shared" ca="1" si="0"/>
        <v>#NAME?</v>
      </c>
      <c r="M36" s="9" t="e">
        <f t="shared" ca="1" si="1"/>
        <v>#NAME?</v>
      </c>
      <c r="N36" s="10" t="e">
        <f t="shared" ca="1" si="2"/>
        <v>#NAME?</v>
      </c>
      <c r="O36" s="1" t="s">
        <v>38</v>
      </c>
      <c r="P36" s="1"/>
      <c r="Q36" s="1" t="s">
        <v>1057</v>
      </c>
      <c r="R36" s="1"/>
      <c r="S36" s="1"/>
      <c r="T36" s="1"/>
      <c r="U36" s="1"/>
      <c r="V36" s="1"/>
      <c r="W36" s="1"/>
      <c r="X36" s="1">
        <v>1</v>
      </c>
      <c r="Y36" s="17">
        <v>44151</v>
      </c>
      <c r="Z36" s="17">
        <v>44151</v>
      </c>
      <c r="AA36" s="24" t="s">
        <v>1456</v>
      </c>
      <c r="AB36" s="1">
        <v>4</v>
      </c>
      <c r="AC36" s="1" t="s">
        <v>1457</v>
      </c>
      <c r="AD36" s="1" t="s">
        <v>1458</v>
      </c>
    </row>
    <row r="37" spans="1:39" ht="13">
      <c r="A37" s="1" t="s">
        <v>1468</v>
      </c>
      <c r="B37" s="1" t="s">
        <v>394</v>
      </c>
      <c r="C37" s="1" t="s">
        <v>1568</v>
      </c>
      <c r="D37" s="1"/>
      <c r="E37" s="6">
        <v>28303</v>
      </c>
      <c r="F37" s="1" t="s">
        <v>84</v>
      </c>
      <c r="G37" s="1">
        <v>2013</v>
      </c>
      <c r="H37" s="1">
        <v>21</v>
      </c>
      <c r="I37" s="7">
        <v>41442</v>
      </c>
      <c r="J37" s="7">
        <f t="shared" ca="1" si="3"/>
        <v>44606</v>
      </c>
      <c r="K37" s="8" t="s">
        <v>1056</v>
      </c>
      <c r="L37" s="9" t="e">
        <f t="shared" ca="1" si="0"/>
        <v>#NAME?</v>
      </c>
      <c r="M37" s="9" t="e">
        <f t="shared" ca="1" si="1"/>
        <v>#NAME?</v>
      </c>
      <c r="N37" s="10" t="str">
        <f t="shared" si="2"/>
        <v>N/A</v>
      </c>
      <c r="O37" s="1" t="s">
        <v>38</v>
      </c>
      <c r="P37" s="1"/>
      <c r="Q37" s="1" t="s">
        <v>1057</v>
      </c>
      <c r="R37" s="1"/>
      <c r="S37" s="1"/>
      <c r="T37" s="1"/>
      <c r="U37" s="1"/>
      <c r="V37" s="1"/>
      <c r="W37" s="1"/>
      <c r="X37" s="1">
        <v>0</v>
      </c>
      <c r="Y37" s="7"/>
      <c r="Z37" s="7"/>
      <c r="AA37" s="1">
        <v>0</v>
      </c>
      <c r="AB37" s="1">
        <v>0</v>
      </c>
      <c r="AC37" s="1">
        <v>0</v>
      </c>
      <c r="AD37" s="1"/>
    </row>
    <row r="38" spans="1:39" ht="13">
      <c r="A38" s="1" t="s">
        <v>1492</v>
      </c>
      <c r="B38" s="1" t="s">
        <v>34</v>
      </c>
      <c r="C38" s="1" t="s">
        <v>459</v>
      </c>
      <c r="D38" s="1" t="s">
        <v>961</v>
      </c>
      <c r="E38" s="6">
        <v>28300</v>
      </c>
      <c r="F38" s="1" t="s">
        <v>84</v>
      </c>
      <c r="G38" s="1">
        <v>2017</v>
      </c>
      <c r="H38" s="1">
        <v>22</v>
      </c>
      <c r="I38" s="2">
        <v>42893</v>
      </c>
      <c r="J38" s="7">
        <f t="shared" ca="1" si="3"/>
        <v>44606</v>
      </c>
      <c r="K38" s="8" t="s">
        <v>1056</v>
      </c>
      <c r="L38" s="9" t="e">
        <f t="shared" ca="1" si="0"/>
        <v>#NAME?</v>
      </c>
      <c r="M38" s="9" t="e">
        <f t="shared" ca="1" si="1"/>
        <v>#NAME?</v>
      </c>
      <c r="N38" s="10" t="e">
        <f t="shared" ca="1" si="2"/>
        <v>#NAME?</v>
      </c>
      <c r="O38" s="1" t="s">
        <v>38</v>
      </c>
      <c r="P38" s="1"/>
      <c r="Q38" s="1" t="s">
        <v>1057</v>
      </c>
      <c r="R38" s="1"/>
      <c r="S38" s="1"/>
      <c r="T38" s="1"/>
      <c r="U38" s="1"/>
      <c r="V38" s="1"/>
      <c r="W38" s="1"/>
      <c r="X38" s="1">
        <v>1</v>
      </c>
      <c r="Y38" s="2">
        <v>44511</v>
      </c>
      <c r="Z38" s="2">
        <v>44511</v>
      </c>
      <c r="AA38" s="1">
        <v>0</v>
      </c>
      <c r="AB38" s="1">
        <v>0</v>
      </c>
      <c r="AC38" s="1">
        <v>0</v>
      </c>
      <c r="AD38" s="1" t="s">
        <v>1489</v>
      </c>
      <c r="AG38" s="1" t="s">
        <v>1389</v>
      </c>
      <c r="AH38" s="1"/>
      <c r="AI38" s="1"/>
      <c r="AJ38" s="1"/>
      <c r="AK38" s="1"/>
      <c r="AL38" s="1"/>
      <c r="AM38" s="1"/>
    </row>
    <row r="39" spans="1:39" ht="13">
      <c r="A39" s="1" t="s">
        <v>1498</v>
      </c>
      <c r="B39" s="1" t="s">
        <v>34</v>
      </c>
      <c r="C39" s="1" t="s">
        <v>459</v>
      </c>
      <c r="D39" s="1" t="s">
        <v>1499</v>
      </c>
      <c r="E39" s="6">
        <v>30717</v>
      </c>
      <c r="F39" s="1" t="s">
        <v>124</v>
      </c>
      <c r="G39" s="1">
        <v>2017</v>
      </c>
      <c r="H39" s="1">
        <v>22</v>
      </c>
      <c r="I39" s="2">
        <v>42893</v>
      </c>
      <c r="J39" s="7">
        <f t="shared" ca="1" si="3"/>
        <v>44606</v>
      </c>
      <c r="K39" s="8" t="s">
        <v>1056</v>
      </c>
      <c r="L39" s="9" t="e">
        <f t="shared" ca="1" si="0"/>
        <v>#NAME?</v>
      </c>
      <c r="M39" s="9" t="e">
        <f t="shared" ca="1" si="1"/>
        <v>#NAME?</v>
      </c>
      <c r="N39" s="10" t="str">
        <f t="shared" si="2"/>
        <v>N/A</v>
      </c>
      <c r="O39" s="1" t="s">
        <v>38</v>
      </c>
      <c r="P39" s="1"/>
      <c r="Q39" s="1" t="s">
        <v>1057</v>
      </c>
      <c r="R39" s="1"/>
      <c r="S39" s="1"/>
      <c r="T39" s="1"/>
      <c r="U39" s="1"/>
      <c r="V39" s="1"/>
      <c r="W39" s="1"/>
      <c r="X39" s="1">
        <v>0</v>
      </c>
      <c r="Y39" s="7"/>
      <c r="Z39" s="7"/>
      <c r="AA39" s="1">
        <v>0</v>
      </c>
      <c r="AB39" s="1">
        <v>0</v>
      </c>
      <c r="AC39" s="1">
        <v>0</v>
      </c>
      <c r="AD39" s="1"/>
    </row>
    <row r="40" spans="1:39" ht="13">
      <c r="A40" s="1" t="s">
        <v>1503</v>
      </c>
      <c r="B40" s="1" t="s">
        <v>394</v>
      </c>
      <c r="C40" s="1" t="s">
        <v>1569</v>
      </c>
      <c r="D40" s="1" t="s">
        <v>1504</v>
      </c>
      <c r="E40" s="6">
        <v>30491</v>
      </c>
      <c r="F40" s="1" t="s">
        <v>84</v>
      </c>
      <c r="G40" s="1">
        <v>2017</v>
      </c>
      <c r="H40" s="1">
        <v>22</v>
      </c>
      <c r="I40" s="2">
        <v>42893</v>
      </c>
      <c r="J40" s="7">
        <f t="shared" ca="1" si="3"/>
        <v>44606</v>
      </c>
      <c r="K40" s="8" t="s">
        <v>1056</v>
      </c>
      <c r="L40" s="9" t="e">
        <f t="shared" ca="1" si="0"/>
        <v>#NAME?</v>
      </c>
      <c r="M40" s="9" t="e">
        <f t="shared" ca="1" si="1"/>
        <v>#NAME?</v>
      </c>
      <c r="N40" s="10" t="str">
        <f t="shared" si="2"/>
        <v>N/A</v>
      </c>
      <c r="O40" s="1" t="s">
        <v>38</v>
      </c>
      <c r="P40" s="1"/>
      <c r="Q40" s="1" t="s">
        <v>1057</v>
      </c>
      <c r="R40" s="1"/>
      <c r="S40" s="1"/>
      <c r="T40" s="1"/>
      <c r="U40" s="1"/>
      <c r="V40" s="1"/>
      <c r="W40" s="1"/>
      <c r="X40" s="1">
        <v>0</v>
      </c>
      <c r="Y40" s="7"/>
      <c r="Z40" s="7"/>
      <c r="AA40" s="1">
        <v>0</v>
      </c>
      <c r="AB40" s="1">
        <v>0</v>
      </c>
      <c r="AC40" s="1">
        <v>0</v>
      </c>
      <c r="AD40" s="1"/>
    </row>
    <row r="41" spans="1:39" ht="13">
      <c r="A41" s="1" t="s">
        <v>1507</v>
      </c>
      <c r="B41" s="1" t="s">
        <v>34</v>
      </c>
      <c r="C41" s="1" t="s">
        <v>530</v>
      </c>
      <c r="D41" s="1" t="s">
        <v>1508</v>
      </c>
      <c r="E41" s="6">
        <v>27739</v>
      </c>
      <c r="F41" s="1" t="s">
        <v>124</v>
      </c>
      <c r="G41" s="1">
        <v>2017</v>
      </c>
      <c r="H41" s="1">
        <v>22</v>
      </c>
      <c r="I41" s="2">
        <v>42893</v>
      </c>
      <c r="J41" s="7">
        <f t="shared" ca="1" si="3"/>
        <v>44606</v>
      </c>
      <c r="K41" s="8" t="s">
        <v>1056</v>
      </c>
      <c r="L41" s="9" t="e">
        <f t="shared" ca="1" si="0"/>
        <v>#NAME?</v>
      </c>
      <c r="M41" s="9" t="e">
        <f t="shared" ca="1" si="1"/>
        <v>#NAME?</v>
      </c>
      <c r="N41" s="10" t="str">
        <f t="shared" si="2"/>
        <v>N/A</v>
      </c>
      <c r="O41" s="1" t="s">
        <v>38</v>
      </c>
      <c r="P41" s="1"/>
      <c r="Q41" s="1" t="s">
        <v>1057</v>
      </c>
      <c r="R41" s="1"/>
      <c r="S41" s="1"/>
      <c r="T41" s="1"/>
      <c r="U41" s="1"/>
      <c r="V41" s="1"/>
      <c r="W41" s="1"/>
      <c r="X41" s="1">
        <v>0</v>
      </c>
      <c r="Y41" s="7"/>
      <c r="Z41" s="7"/>
      <c r="AA41" s="1">
        <v>0</v>
      </c>
      <c r="AB41" s="1">
        <v>0</v>
      </c>
      <c r="AC41" s="1">
        <v>0</v>
      </c>
      <c r="AD41" s="1"/>
    </row>
    <row r="42" spans="1:39" ht="13">
      <c r="A42" s="1" t="s">
        <v>1509</v>
      </c>
      <c r="B42" s="1" t="s">
        <v>394</v>
      </c>
      <c r="C42" s="1" t="s">
        <v>361</v>
      </c>
      <c r="D42" s="1"/>
      <c r="E42" s="6">
        <v>32277</v>
      </c>
      <c r="F42" s="1" t="s">
        <v>124</v>
      </c>
      <c r="G42" s="1">
        <v>2017</v>
      </c>
      <c r="H42" s="1">
        <v>22</v>
      </c>
      <c r="I42" s="2">
        <v>42893</v>
      </c>
      <c r="J42" s="7">
        <f t="shared" ca="1" si="3"/>
        <v>44606</v>
      </c>
      <c r="K42" s="8" t="s">
        <v>1056</v>
      </c>
      <c r="L42" s="9" t="e">
        <f t="shared" ca="1" si="0"/>
        <v>#NAME?</v>
      </c>
      <c r="M42" s="9" t="e">
        <f t="shared" ca="1" si="1"/>
        <v>#NAME?</v>
      </c>
      <c r="N42" s="10" t="str">
        <f t="shared" si="2"/>
        <v>N/A</v>
      </c>
      <c r="O42" s="1" t="s">
        <v>38</v>
      </c>
      <c r="P42" s="1"/>
      <c r="Q42" s="1" t="s">
        <v>1057</v>
      </c>
      <c r="R42" s="1"/>
      <c r="S42" s="1"/>
      <c r="T42" s="1"/>
      <c r="U42" s="1"/>
      <c r="V42" s="1"/>
      <c r="W42" s="1"/>
      <c r="X42" s="1">
        <v>0</v>
      </c>
      <c r="Y42" s="7"/>
      <c r="Z42" s="7"/>
      <c r="AA42" s="1">
        <v>0</v>
      </c>
      <c r="AB42" s="1">
        <v>0</v>
      </c>
      <c r="AC42" s="1">
        <v>0</v>
      </c>
      <c r="AD42" s="1"/>
    </row>
    <row r="43" spans="1:39" ht="13">
      <c r="A43" s="1" t="s">
        <v>1516</v>
      </c>
      <c r="B43" s="1" t="s">
        <v>34</v>
      </c>
      <c r="C43" s="1" t="s">
        <v>530</v>
      </c>
      <c r="D43" s="1" t="s">
        <v>1344</v>
      </c>
      <c r="E43" s="1">
        <v>1984</v>
      </c>
      <c r="F43" s="1" t="s">
        <v>124</v>
      </c>
      <c r="G43" s="1">
        <v>2021</v>
      </c>
      <c r="H43" s="1">
        <v>23</v>
      </c>
      <c r="I43" s="2">
        <v>44536</v>
      </c>
      <c r="J43" s="7">
        <f t="shared" ca="1" si="3"/>
        <v>44606</v>
      </c>
      <c r="K43" s="3" t="s">
        <v>1512</v>
      </c>
      <c r="L43" s="9" t="e">
        <f t="shared" ca="1" si="0"/>
        <v>#NAME?</v>
      </c>
      <c r="M43" s="9" t="str">
        <f t="shared" si="1"/>
        <v>N/A</v>
      </c>
      <c r="N43" s="10" t="str">
        <f t="shared" si="2"/>
        <v>N/A</v>
      </c>
      <c r="O43" s="1" t="s">
        <v>38</v>
      </c>
      <c r="P43" s="1"/>
      <c r="Q43" s="3" t="s">
        <v>1513</v>
      </c>
      <c r="R43" s="1" t="s">
        <v>1517</v>
      </c>
      <c r="S43" s="1" t="s">
        <v>1518</v>
      </c>
      <c r="T43" s="1" t="s">
        <v>62</v>
      </c>
      <c r="U43" s="1" t="s">
        <v>1519</v>
      </c>
      <c r="V43" s="1" t="s">
        <v>80</v>
      </c>
      <c r="W43" s="1" t="s">
        <v>64</v>
      </c>
      <c r="X43" s="1">
        <v>0</v>
      </c>
      <c r="Y43" s="2"/>
      <c r="Z43" s="2"/>
      <c r="AA43" s="1">
        <v>0</v>
      </c>
      <c r="AB43" s="1">
        <v>0</v>
      </c>
      <c r="AC43" s="1">
        <v>0</v>
      </c>
      <c r="AD43" s="1"/>
    </row>
    <row r="44" spans="1:39" ht="13">
      <c r="A44" s="1" t="s">
        <v>1531</v>
      </c>
      <c r="B44" s="1" t="s">
        <v>34</v>
      </c>
      <c r="C44" s="1" t="s">
        <v>361</v>
      </c>
      <c r="D44" s="1"/>
      <c r="E44" s="1">
        <v>1986</v>
      </c>
      <c r="F44" s="1" t="s">
        <v>124</v>
      </c>
      <c r="G44" s="1">
        <v>2021</v>
      </c>
      <c r="H44" s="1">
        <v>23</v>
      </c>
      <c r="I44" s="2">
        <v>44536</v>
      </c>
      <c r="J44" s="7">
        <f t="shared" ca="1" si="3"/>
        <v>44606</v>
      </c>
      <c r="K44" s="3" t="s">
        <v>1512</v>
      </c>
      <c r="L44" s="9" t="e">
        <f t="shared" ca="1" si="0"/>
        <v>#NAME?</v>
      </c>
      <c r="M44" s="9" t="str">
        <f t="shared" si="1"/>
        <v>N/A</v>
      </c>
      <c r="N44" s="10" t="str">
        <f t="shared" si="2"/>
        <v>N/A</v>
      </c>
      <c r="O44" s="1" t="s">
        <v>38</v>
      </c>
      <c r="P44" s="1"/>
      <c r="Q44" s="3" t="s">
        <v>1513</v>
      </c>
      <c r="R44" s="1" t="s">
        <v>311</v>
      </c>
      <c r="S44" s="1" t="s">
        <v>1532</v>
      </c>
      <c r="T44" s="1" t="s">
        <v>62</v>
      </c>
      <c r="U44" s="1" t="s">
        <v>1533</v>
      </c>
      <c r="V44" s="1"/>
      <c r="W44" s="1"/>
      <c r="X44" s="1">
        <v>0</v>
      </c>
      <c r="Y44" s="2"/>
      <c r="Z44" s="2"/>
      <c r="AA44" s="1">
        <v>0</v>
      </c>
      <c r="AB44" s="1">
        <v>0</v>
      </c>
      <c r="AC44" s="1">
        <v>0</v>
      </c>
      <c r="AD44" s="1"/>
    </row>
    <row r="45" spans="1:39" ht="13">
      <c r="A45" s="1" t="s">
        <v>1538</v>
      </c>
      <c r="B45" s="1" t="s">
        <v>34</v>
      </c>
      <c r="C45" s="1" t="s">
        <v>459</v>
      </c>
      <c r="D45" s="1" t="s">
        <v>961</v>
      </c>
      <c r="E45" s="1">
        <v>1976</v>
      </c>
      <c r="F45" s="1" t="s">
        <v>124</v>
      </c>
      <c r="G45" s="1">
        <v>2021</v>
      </c>
      <c r="H45" s="1">
        <v>23</v>
      </c>
      <c r="I45" s="2">
        <v>44536</v>
      </c>
      <c r="J45" s="7">
        <f t="shared" ca="1" si="3"/>
        <v>44606</v>
      </c>
      <c r="K45" s="3" t="s">
        <v>1512</v>
      </c>
      <c r="L45" s="9" t="e">
        <f t="shared" ca="1" si="0"/>
        <v>#NAME?</v>
      </c>
      <c r="M45" s="9" t="str">
        <f t="shared" si="1"/>
        <v>N/A</v>
      </c>
      <c r="N45" s="10" t="str">
        <f t="shared" si="2"/>
        <v>N/A</v>
      </c>
      <c r="O45" s="1" t="s">
        <v>38</v>
      </c>
      <c r="P45" s="1"/>
      <c r="Q45" s="3" t="s">
        <v>1513</v>
      </c>
      <c r="R45" s="1" t="s">
        <v>668</v>
      </c>
      <c r="S45" s="1" t="s">
        <v>1539</v>
      </c>
      <c r="T45" s="1" t="s">
        <v>1540</v>
      </c>
      <c r="U45" s="1" t="s">
        <v>201</v>
      </c>
      <c r="V45" s="1"/>
      <c r="W45" s="1"/>
      <c r="X45" s="1">
        <v>0</v>
      </c>
      <c r="Y45" s="2"/>
      <c r="Z45" s="2"/>
      <c r="AA45" s="1">
        <v>0</v>
      </c>
      <c r="AB45" s="1">
        <v>0</v>
      </c>
      <c r="AC45" s="1">
        <v>0</v>
      </c>
      <c r="AD45" s="1"/>
    </row>
    <row r="46" spans="1:39" ht="13">
      <c r="A46" s="1" t="s">
        <v>1541</v>
      </c>
      <c r="B46" s="1" t="s">
        <v>34</v>
      </c>
      <c r="C46" s="1" t="s">
        <v>361</v>
      </c>
      <c r="D46" s="1"/>
      <c r="E46" s="1">
        <v>1983</v>
      </c>
      <c r="F46" s="1" t="s">
        <v>124</v>
      </c>
      <c r="G46" s="1">
        <v>2021</v>
      </c>
      <c r="H46" s="1">
        <v>23</v>
      </c>
      <c r="I46" s="2">
        <v>44536</v>
      </c>
      <c r="J46" s="7">
        <f t="shared" ca="1" si="3"/>
        <v>44606</v>
      </c>
      <c r="K46" s="3" t="s">
        <v>1512</v>
      </c>
      <c r="L46" s="9" t="e">
        <f t="shared" ca="1" si="0"/>
        <v>#NAME?</v>
      </c>
      <c r="M46" s="9" t="str">
        <f t="shared" si="1"/>
        <v>N/A</v>
      </c>
      <c r="N46" s="10" t="str">
        <f t="shared" si="2"/>
        <v>N/A</v>
      </c>
      <c r="O46" s="1" t="s">
        <v>38</v>
      </c>
      <c r="P46" s="1"/>
      <c r="Q46" s="3" t="s">
        <v>1513</v>
      </c>
      <c r="R46" s="1" t="s">
        <v>1542</v>
      </c>
      <c r="S46" s="1" t="s">
        <v>1543</v>
      </c>
      <c r="T46" s="1" t="s">
        <v>158</v>
      </c>
      <c r="U46" s="1" t="s">
        <v>158</v>
      </c>
      <c r="V46" s="1"/>
      <c r="W46" s="1"/>
      <c r="X46" s="1">
        <v>0</v>
      </c>
      <c r="Y46" s="2"/>
      <c r="Z46" s="2"/>
      <c r="AA46" s="1">
        <v>0</v>
      </c>
      <c r="AB46" s="1">
        <v>0</v>
      </c>
      <c r="AC46" s="1">
        <v>0</v>
      </c>
      <c r="AD46" s="1"/>
    </row>
    <row r="47" spans="1:39" ht="13">
      <c r="C47" s="6"/>
      <c r="D47" s="6"/>
      <c r="E47" s="6"/>
      <c r="I47" s="12"/>
      <c r="J47" s="12"/>
      <c r="K47" s="28"/>
      <c r="L47" s="29"/>
      <c r="M47" s="29"/>
      <c r="N47" s="30"/>
      <c r="Y47" s="12"/>
      <c r="Z47" s="12"/>
    </row>
    <row r="48" spans="1:39" ht="13">
      <c r="I48" s="12"/>
      <c r="J48" s="12"/>
      <c r="K48" s="28"/>
      <c r="L48" s="29"/>
      <c r="M48" s="29"/>
      <c r="N48" s="30"/>
      <c r="Y48" s="12"/>
      <c r="Z48" s="12"/>
    </row>
    <row r="49" spans="1:12" ht="13">
      <c r="A49" s="42" t="s">
        <v>1570</v>
      </c>
    </row>
    <row r="50" spans="1:12" ht="13">
      <c r="A50" s="52" t="s">
        <v>1571</v>
      </c>
      <c r="B50" s="53"/>
      <c r="C50" s="48">
        <f ca="1">IFERROR(__xludf.DUMMYFUNCTION("AVERAGE(FILTER(L:L,(K:K=""D"")+(K:K=""R"")+(K:K=""M"")+(K:K=""T"")+(K:K=""RG"")))"),12.9314123760037)</f>
        <v>12.931412376003699</v>
      </c>
    </row>
    <row r="51" spans="1:12" ht="13">
      <c r="A51" s="52" t="s">
        <v>1572</v>
      </c>
      <c r="B51" s="53"/>
      <c r="C51" s="48">
        <f ca="1">IFERROR(__xludf.DUMMYFUNCTION("AVERAGE(FILTER(L:L,(K:K=""A"")))"),11.1159817351598)</f>
        <v>11.115981735159799</v>
      </c>
    </row>
    <row r="52" spans="1:12" ht="13">
      <c r="A52" s="52" t="s">
        <v>1573</v>
      </c>
      <c r="B52" s="53"/>
      <c r="C52" s="48" t="e">
        <f ca="1">AVERAGE(M:M)</f>
        <v>#NAME?</v>
      </c>
    </row>
    <row r="53" spans="1:12" ht="13">
      <c r="A53" s="52" t="s">
        <v>1574</v>
      </c>
      <c r="B53" s="53"/>
      <c r="C53" s="48" t="e">
        <f ca="1">AVERAGE(N:N)</f>
        <v>#NAME?</v>
      </c>
    </row>
    <row r="55" spans="1:12" ht="13">
      <c r="A55" s="42" t="s">
        <v>1575</v>
      </c>
    </row>
    <row r="56" spans="1:12" ht="13">
      <c r="A56" s="52" t="s">
        <v>1571</v>
      </c>
      <c r="B56" s="53"/>
      <c r="C56" s="48">
        <f ca="1">IFERROR(__xludf.DUMMYFUNCTION("AVERAGE(FILTER(L:L,(K:K=""D"")+(K:K=""R"")+(K:K=""M"")+(K:K=""T"")+(K:K=""RG""), (B:B=""Male"")))"),12.292197736748)</f>
        <v>12.292197736747999</v>
      </c>
    </row>
    <row r="57" spans="1:12" ht="13">
      <c r="A57" s="52" t="s">
        <v>1572</v>
      </c>
      <c r="B57" s="53"/>
      <c r="C57" s="48">
        <f ca="1">IFERROR(__xludf.DUMMYFUNCTION("AVERAGE(FILTER(L:L,(K:K=""A""),(B:B=""Male"")))"),8.86255707762557)</f>
        <v>8.8625570776255707</v>
      </c>
    </row>
    <row r="58" spans="1:12" ht="13">
      <c r="A58" s="52" t="s">
        <v>1573</v>
      </c>
      <c r="B58" s="53"/>
      <c r="C58" s="48">
        <f ca="1">IFERROR(__xludf.DUMMYFUNCTION("AVERAGE(FILTER(M:M,(B:B=""Male"")))"),5.42506341958396)</f>
        <v>5.4250634195839602</v>
      </c>
      <c r="L58" s="48" t="e">
        <f ca="1">AVERAGE(L2,L3,L5,L10,L13,L14,L16,L25,L29,L32)</f>
        <v>#NAME?</v>
      </c>
    </row>
    <row r="59" spans="1:12" ht="13">
      <c r="A59" s="52" t="s">
        <v>1574</v>
      </c>
      <c r="B59" s="53"/>
      <c r="C59" s="48">
        <f ca="1">IFERROR(__xludf.DUMMYFUNCTION("AVERAGE(FILTER(N:N,(B:B=""Male"")))"),2.18904109589041)</f>
        <v>2.1890410958904098</v>
      </c>
      <c r="L59" s="48" t="e">
        <f ca="1">AVERAGE(L36)</f>
        <v>#NAME?</v>
      </c>
    </row>
    <row r="61" spans="1:12" ht="13">
      <c r="A61" s="42" t="s">
        <v>1576</v>
      </c>
    </row>
    <row r="62" spans="1:12" ht="13">
      <c r="A62" s="52" t="s">
        <v>1571</v>
      </c>
      <c r="B62" s="53"/>
      <c r="C62" s="48">
        <f ca="1">IFERROR(__xludf.DUMMYFUNCTION("AVERAGE(FILTER(L:L,(K:K=""D"")+(K:K=""R"")+(K:K=""M"")+(K:K=""T"")+(K:K=""RG""), (B:B=""Female"")))"),15.3817351598173)</f>
        <v>15.3817351598173</v>
      </c>
    </row>
    <row r="63" spans="1:12" ht="13">
      <c r="A63" s="52" t="s">
        <v>1572</v>
      </c>
      <c r="B63" s="53"/>
      <c r="C63" s="48">
        <f ca="1">IFERROR(__xludf.DUMMYFUNCTION("AVERAGE(FILTER(L:L,(K:K=""A""),(B:B=""Female"")))"),13.369406392694)</f>
        <v>13.369406392694</v>
      </c>
    </row>
    <row r="64" spans="1:12" ht="13">
      <c r="A64" s="52" t="s">
        <v>1573</v>
      </c>
      <c r="B64" s="53"/>
      <c r="C64" s="48">
        <f ca="1">IFERROR(__xludf.DUMMYFUNCTION("AVERAGE(FILTER(M:M,(B:B=""Female"")))"),8.85)</f>
        <v>8.85</v>
      </c>
    </row>
    <row r="65" spans="1:3" ht="13">
      <c r="A65" s="52" t="s">
        <v>1574</v>
      </c>
      <c r="B65" s="53"/>
      <c r="C65" s="48">
        <f ca="1">IFERROR(__xludf.DUMMYFUNCTION("AVERAGE(FILTER(N:N,(B:B=""Female"")))"),6.1119373776908)</f>
        <v>6.1119373776907997</v>
      </c>
    </row>
    <row r="67" spans="1:3" ht="13">
      <c r="A67" s="42" t="s">
        <v>1561</v>
      </c>
    </row>
    <row r="68" spans="1:3" ht="13">
      <c r="A68" s="52" t="s">
        <v>1571</v>
      </c>
      <c r="B68" s="53"/>
      <c r="C68" s="38" t="e">
        <f ca="1">AVERAGEIFS(L:L,B:B,"=Male",C:C, "=Black")</f>
        <v>#NAME?</v>
      </c>
    </row>
    <row r="69" spans="1:3" ht="13">
      <c r="A69" s="52" t="s">
        <v>1572</v>
      </c>
      <c r="B69" s="53"/>
      <c r="C69" s="38" t="s">
        <v>1602</v>
      </c>
    </row>
    <row r="70" spans="1:3" ht="13">
      <c r="A70" s="52" t="s">
        <v>1573</v>
      </c>
      <c r="B70" s="53"/>
      <c r="C70" s="48">
        <f ca="1">IFERROR(__xludf.DUMMYFUNCTION("AVERAGE(FILTER(M:M,(B:B=""Male"")))"),5.42506341958396)</f>
        <v>5.4250634195839602</v>
      </c>
    </row>
    <row r="71" spans="1:3" ht="13">
      <c r="A71" s="52" t="s">
        <v>1574</v>
      </c>
      <c r="B71" s="53"/>
      <c r="C71" s="48">
        <f ca="1">IFERROR(__xludf.DUMMYFUNCTION("AVERAGE(FILTER(N:N,(B:B=""Male"")))"),2.18904109589041)</f>
        <v>2.1890410958904098</v>
      </c>
    </row>
    <row r="335" ht="15" customHeight="1"/>
  </sheetData>
  <mergeCells count="16">
    <mergeCell ref="A57:B57"/>
    <mergeCell ref="A58:B58"/>
    <mergeCell ref="A70:B70"/>
    <mergeCell ref="A71:B71"/>
    <mergeCell ref="A59:B59"/>
    <mergeCell ref="A62:B62"/>
    <mergeCell ref="A63:B63"/>
    <mergeCell ref="A64:B64"/>
    <mergeCell ref="A65:B65"/>
    <mergeCell ref="A68:B68"/>
    <mergeCell ref="A69:B69"/>
    <mergeCell ref="A50:B50"/>
    <mergeCell ref="A51:B51"/>
    <mergeCell ref="A52:B52"/>
    <mergeCell ref="A53:B53"/>
    <mergeCell ref="A56:B5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G334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sheetData>
    <row r="1" spans="1:33" ht="15.75" customHeight="1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42" t="s">
        <v>7</v>
      </c>
      <c r="I1" s="43" t="s">
        <v>8</v>
      </c>
      <c r="J1" s="43" t="s">
        <v>9</v>
      </c>
      <c r="K1" s="44" t="s">
        <v>10</v>
      </c>
      <c r="L1" s="45" t="s">
        <v>11</v>
      </c>
      <c r="M1" s="45" t="s">
        <v>12</v>
      </c>
      <c r="N1" s="46" t="s">
        <v>13</v>
      </c>
      <c r="O1" s="42" t="s">
        <v>14</v>
      </c>
      <c r="P1" s="42" t="s">
        <v>15</v>
      </c>
      <c r="Q1" s="42" t="s">
        <v>16</v>
      </c>
      <c r="R1" s="42" t="s">
        <v>17</v>
      </c>
      <c r="S1" s="42" t="s">
        <v>18</v>
      </c>
      <c r="T1" s="42" t="s">
        <v>19</v>
      </c>
      <c r="U1" s="42" t="s">
        <v>20</v>
      </c>
      <c r="V1" s="42" t="s">
        <v>21</v>
      </c>
      <c r="W1" s="42" t="s">
        <v>22</v>
      </c>
      <c r="X1" s="42" t="s">
        <v>23</v>
      </c>
      <c r="Y1" s="43" t="s">
        <v>24</v>
      </c>
      <c r="Z1" s="43" t="s">
        <v>25</v>
      </c>
      <c r="AA1" s="42" t="s">
        <v>26</v>
      </c>
      <c r="AB1" s="42" t="s">
        <v>27</v>
      </c>
      <c r="AC1" s="42" t="s">
        <v>28</v>
      </c>
      <c r="AD1" s="42" t="s">
        <v>29</v>
      </c>
      <c r="AE1" s="42" t="s">
        <v>30</v>
      </c>
      <c r="AF1" s="42" t="s">
        <v>31</v>
      </c>
      <c r="AG1" s="42" t="s">
        <v>32</v>
      </c>
    </row>
    <row r="2" spans="1:33" ht="15.75" customHeight="1">
      <c r="A2" s="1" t="s">
        <v>33</v>
      </c>
      <c r="B2" s="1" t="s">
        <v>34</v>
      </c>
      <c r="C2" s="1" t="s">
        <v>35</v>
      </c>
      <c r="D2" s="1"/>
      <c r="E2" s="6">
        <v>9253</v>
      </c>
      <c r="F2" s="1" t="s">
        <v>36</v>
      </c>
      <c r="G2" s="1">
        <v>1959</v>
      </c>
      <c r="H2" s="1">
        <v>1</v>
      </c>
      <c r="I2" s="7">
        <v>21649</v>
      </c>
      <c r="J2" s="7">
        <v>24694</v>
      </c>
      <c r="K2" s="8" t="s">
        <v>37</v>
      </c>
      <c r="L2" s="9" t="e">
        <f t="shared" ref="L2:L316" ca="1" si="0">_xludf.DAYS(J2,I2)/365</f>
        <v>#NAME?</v>
      </c>
      <c r="M2" s="9" t="e">
        <f t="shared" ref="M2:M316" ca="1" si="1">IF(AND(Y2="",OR(K2="A", K2="M")), _xludf.DAYS(J2,I2)/365, IF(AND(Y2="",OR(K2="D", K2="R", K2="RG", K2="I")),"N/A", _xludf.DAYS(Y2,I2)/365))</f>
        <v>#NAME?</v>
      </c>
      <c r="N2" s="10" t="e">
        <f t="shared" ref="N2:N316" ca="1" si="2">IF(AND(Y2="",OR(K2="A", K2="M", K2="I")), "N/A", IF(AND(Y2="",OR(K2="D", K2="R", K2="RG")),"N/A", _xludf.DAYS(J2,Z2)/365))</f>
        <v>#NAME?</v>
      </c>
      <c r="O2" s="1" t="s">
        <v>38</v>
      </c>
      <c r="P2" s="1"/>
      <c r="Q2" s="1" t="s">
        <v>39</v>
      </c>
      <c r="R2" s="1" t="s">
        <v>40</v>
      </c>
      <c r="S2" s="1" t="s">
        <v>41</v>
      </c>
      <c r="T2" s="1" t="s">
        <v>42</v>
      </c>
      <c r="V2" s="1" t="s">
        <v>43</v>
      </c>
      <c r="W2" s="1" t="s">
        <v>44</v>
      </c>
      <c r="X2" s="1">
        <v>1</v>
      </c>
      <c r="Y2" s="7">
        <v>22790</v>
      </c>
      <c r="Z2" s="7">
        <v>22790</v>
      </c>
      <c r="AA2" s="1">
        <v>4</v>
      </c>
      <c r="AB2" s="1">
        <v>0</v>
      </c>
      <c r="AC2" s="1">
        <v>0</v>
      </c>
      <c r="AD2" s="1" t="s">
        <v>45</v>
      </c>
      <c r="AE2" s="6">
        <v>41557</v>
      </c>
    </row>
    <row r="3" spans="1:33" ht="15.75" customHeight="1">
      <c r="A3" s="1" t="s">
        <v>46</v>
      </c>
      <c r="B3" s="1" t="s">
        <v>34</v>
      </c>
      <c r="C3" s="1" t="s">
        <v>35</v>
      </c>
      <c r="D3" s="1"/>
      <c r="E3" s="6">
        <v>9927</v>
      </c>
      <c r="F3" s="1" t="s">
        <v>36</v>
      </c>
      <c r="G3" s="1">
        <v>1959</v>
      </c>
      <c r="H3" s="1">
        <v>1</v>
      </c>
      <c r="I3" s="7">
        <v>21649</v>
      </c>
      <c r="J3" s="7">
        <v>25780</v>
      </c>
      <c r="K3" s="8" t="s">
        <v>37</v>
      </c>
      <c r="L3" s="9" t="e">
        <f t="shared" ca="1" si="0"/>
        <v>#NAME?</v>
      </c>
      <c r="M3" s="9" t="e">
        <f t="shared" ca="1" si="1"/>
        <v>#NAME?</v>
      </c>
      <c r="N3" s="10" t="e">
        <f t="shared" ca="1" si="2"/>
        <v>#NAME?</v>
      </c>
      <c r="O3" s="1" t="s">
        <v>38</v>
      </c>
      <c r="P3" s="1"/>
      <c r="Q3" s="1" t="s">
        <v>39</v>
      </c>
      <c r="R3" s="1" t="s">
        <v>47</v>
      </c>
      <c r="S3" s="1" t="s">
        <v>48</v>
      </c>
      <c r="T3" s="1" t="s">
        <v>42</v>
      </c>
      <c r="V3" s="1" t="s">
        <v>49</v>
      </c>
      <c r="W3" s="1" t="s">
        <v>50</v>
      </c>
      <c r="X3" s="1">
        <v>2</v>
      </c>
      <c r="Y3" s="7">
        <v>23146</v>
      </c>
      <c r="Z3" s="7">
        <v>23975</v>
      </c>
      <c r="AA3" s="1">
        <v>225</v>
      </c>
      <c r="AB3" s="1">
        <v>0</v>
      </c>
      <c r="AC3" s="1">
        <v>0</v>
      </c>
      <c r="AD3" s="1" t="s">
        <v>51</v>
      </c>
      <c r="AE3" s="6">
        <v>38264</v>
      </c>
    </row>
    <row r="4" spans="1:33" ht="15.75" customHeight="1">
      <c r="A4" s="1" t="s">
        <v>52</v>
      </c>
      <c r="B4" s="1" t="s">
        <v>34</v>
      </c>
      <c r="C4" s="1" t="s">
        <v>35</v>
      </c>
      <c r="D4" s="1"/>
      <c r="E4" s="6">
        <v>7870</v>
      </c>
      <c r="F4" s="1" t="s">
        <v>36</v>
      </c>
      <c r="G4" s="1">
        <v>1959</v>
      </c>
      <c r="H4" s="1">
        <v>1</v>
      </c>
      <c r="I4" s="7">
        <v>21649</v>
      </c>
      <c r="J4" s="7">
        <v>23392</v>
      </c>
      <c r="K4" s="8" t="s">
        <v>37</v>
      </c>
      <c r="L4" s="9" t="e">
        <f t="shared" ca="1" si="0"/>
        <v>#NAME?</v>
      </c>
      <c r="M4" s="9" t="e">
        <f t="shared" ca="1" si="1"/>
        <v>#NAME?</v>
      </c>
      <c r="N4" s="10" t="e">
        <f t="shared" ca="1" si="2"/>
        <v>#NAME?</v>
      </c>
      <c r="O4" s="1" t="s">
        <v>38</v>
      </c>
      <c r="P4" s="1"/>
      <c r="Q4" s="1" t="s">
        <v>39</v>
      </c>
      <c r="R4" s="1" t="s">
        <v>53</v>
      </c>
      <c r="S4" s="1" t="s">
        <v>54</v>
      </c>
      <c r="T4" s="1" t="s">
        <v>55</v>
      </c>
      <c r="V4" s="1" t="s">
        <v>49</v>
      </c>
      <c r="W4" s="1" t="s">
        <v>56</v>
      </c>
      <c r="X4" s="1">
        <v>2</v>
      </c>
      <c r="Y4" s="7">
        <v>22697</v>
      </c>
      <c r="Z4" s="7">
        <v>22697</v>
      </c>
      <c r="AA4" s="1">
        <v>218</v>
      </c>
      <c r="AB4" s="1">
        <v>0</v>
      </c>
      <c r="AC4" s="1">
        <v>0</v>
      </c>
      <c r="AD4" s="1" t="s">
        <v>57</v>
      </c>
      <c r="AE4" s="11">
        <v>42712</v>
      </c>
    </row>
    <row r="5" spans="1:33" ht="15.75" customHeight="1">
      <c r="A5" s="1" t="s">
        <v>58</v>
      </c>
      <c r="B5" s="1" t="s">
        <v>34</v>
      </c>
      <c r="C5" s="1" t="s">
        <v>35</v>
      </c>
      <c r="D5" s="1"/>
      <c r="E5" s="6">
        <v>9590</v>
      </c>
      <c r="F5" s="1" t="s">
        <v>36</v>
      </c>
      <c r="G5" s="1">
        <v>1959</v>
      </c>
      <c r="H5" s="1">
        <v>1</v>
      </c>
      <c r="I5" s="7">
        <v>21649</v>
      </c>
      <c r="J5" s="12">
        <v>24499</v>
      </c>
      <c r="K5" s="3" t="s">
        <v>59</v>
      </c>
      <c r="L5" s="9" t="e">
        <f t="shared" ca="1" si="0"/>
        <v>#NAME?</v>
      </c>
      <c r="M5" s="9" t="e">
        <f t="shared" ca="1" si="1"/>
        <v>#NAME?</v>
      </c>
      <c r="N5" s="10" t="e">
        <f t="shared" ca="1" si="2"/>
        <v>#NAME?</v>
      </c>
      <c r="O5" s="1" t="s">
        <v>38</v>
      </c>
      <c r="P5" s="1"/>
      <c r="Q5" s="1" t="s">
        <v>39</v>
      </c>
      <c r="R5" s="1" t="s">
        <v>60</v>
      </c>
      <c r="S5" s="1" t="s">
        <v>61</v>
      </c>
      <c r="T5" s="1" t="s">
        <v>62</v>
      </c>
      <c r="V5" s="1" t="s">
        <v>63</v>
      </c>
      <c r="W5" s="1" t="s">
        <v>64</v>
      </c>
      <c r="X5" s="1">
        <v>2</v>
      </c>
      <c r="Y5" s="7">
        <v>22483</v>
      </c>
      <c r="Z5" s="7">
        <v>23824</v>
      </c>
      <c r="AA5" s="1">
        <v>5</v>
      </c>
      <c r="AB5" s="1">
        <v>0</v>
      </c>
      <c r="AC5" s="1">
        <v>0</v>
      </c>
      <c r="AD5" s="1" t="s">
        <v>65</v>
      </c>
      <c r="AE5" s="6">
        <v>24499</v>
      </c>
      <c r="AF5" s="1" t="s">
        <v>66</v>
      </c>
    </row>
    <row r="6" spans="1:33" ht="15.75" customHeight="1">
      <c r="A6" s="1" t="s">
        <v>67</v>
      </c>
      <c r="B6" s="1" t="s">
        <v>34</v>
      </c>
      <c r="C6" s="1" t="s">
        <v>35</v>
      </c>
      <c r="D6" s="1"/>
      <c r="E6" s="6">
        <v>8472</v>
      </c>
      <c r="F6" s="1" t="s">
        <v>36</v>
      </c>
      <c r="G6" s="1">
        <v>1959</v>
      </c>
      <c r="H6" s="1">
        <v>1</v>
      </c>
      <c r="I6" s="7">
        <v>21649</v>
      </c>
      <c r="J6" s="7">
        <v>25385</v>
      </c>
      <c r="K6" s="8" t="s">
        <v>37</v>
      </c>
      <c r="L6" s="9" t="e">
        <f t="shared" ca="1" si="0"/>
        <v>#NAME?</v>
      </c>
      <c r="M6" s="9" t="e">
        <f t="shared" ca="1" si="1"/>
        <v>#NAME?</v>
      </c>
      <c r="N6" s="10" t="e">
        <f t="shared" ca="1" si="2"/>
        <v>#NAME?</v>
      </c>
      <c r="O6" s="1" t="s">
        <v>38</v>
      </c>
      <c r="P6" s="1"/>
      <c r="Q6" s="1" t="s">
        <v>39</v>
      </c>
      <c r="R6" s="1" t="s">
        <v>68</v>
      </c>
      <c r="S6" s="1" t="s">
        <v>69</v>
      </c>
      <c r="T6" s="1" t="s">
        <v>70</v>
      </c>
      <c r="V6" s="1" t="s">
        <v>71</v>
      </c>
      <c r="W6" s="1" t="s">
        <v>44</v>
      </c>
      <c r="X6" s="1">
        <v>3</v>
      </c>
      <c r="Y6" s="7">
        <v>22922</v>
      </c>
      <c r="Z6" s="7">
        <v>25122</v>
      </c>
      <c r="AA6" s="1">
        <v>295</v>
      </c>
      <c r="AB6" s="1">
        <v>0</v>
      </c>
      <c r="AC6" s="1">
        <v>0</v>
      </c>
      <c r="AD6" s="1" t="s">
        <v>72</v>
      </c>
      <c r="AE6" s="6">
        <v>39204</v>
      </c>
    </row>
    <row r="7" spans="1:33" ht="15.75" customHeight="1">
      <c r="A7" s="1" t="s">
        <v>73</v>
      </c>
      <c r="B7" s="1" t="s">
        <v>34</v>
      </c>
      <c r="C7" s="1" t="s">
        <v>35</v>
      </c>
      <c r="D7" s="1"/>
      <c r="E7" s="6">
        <v>8723</v>
      </c>
      <c r="F7" s="1" t="s">
        <v>36</v>
      </c>
      <c r="G7" s="1">
        <v>1959</v>
      </c>
      <c r="H7" s="1">
        <v>1</v>
      </c>
      <c r="I7" s="7">
        <v>21649</v>
      </c>
      <c r="J7" s="7">
        <v>27242</v>
      </c>
      <c r="K7" s="8" t="s">
        <v>37</v>
      </c>
      <c r="L7" s="9" t="e">
        <f t="shared" ca="1" si="0"/>
        <v>#NAME?</v>
      </c>
      <c r="M7" s="9" t="e">
        <f t="shared" ca="1" si="1"/>
        <v>#NAME?</v>
      </c>
      <c r="N7" s="10" t="e">
        <f t="shared" ca="1" si="2"/>
        <v>#NAME?</v>
      </c>
      <c r="O7" s="1" t="s">
        <v>38</v>
      </c>
      <c r="P7" s="1"/>
      <c r="Q7" s="1" t="s">
        <v>39</v>
      </c>
      <c r="R7" s="1" t="s">
        <v>74</v>
      </c>
      <c r="S7" s="1" t="s">
        <v>69</v>
      </c>
      <c r="T7" s="1" t="s">
        <v>70</v>
      </c>
      <c r="V7" s="1" t="s">
        <v>75</v>
      </c>
      <c r="W7" s="1" t="s">
        <v>44</v>
      </c>
      <c r="X7" s="1">
        <v>2</v>
      </c>
      <c r="Y7" s="7">
        <v>22406</v>
      </c>
      <c r="Z7" s="7">
        <v>25964</v>
      </c>
      <c r="AA7" s="1">
        <v>216</v>
      </c>
      <c r="AB7" s="1">
        <v>2</v>
      </c>
      <c r="AC7" s="1">
        <v>9</v>
      </c>
      <c r="AD7" s="1" t="s">
        <v>76</v>
      </c>
      <c r="AE7" s="6">
        <v>35997</v>
      </c>
    </row>
    <row r="8" spans="1:33" ht="15.75" customHeight="1">
      <c r="A8" s="1" t="s">
        <v>77</v>
      </c>
      <c r="B8" s="1" t="s">
        <v>34</v>
      </c>
      <c r="C8" s="1" t="s">
        <v>35</v>
      </c>
      <c r="D8" s="1"/>
      <c r="E8" s="6">
        <v>8827</v>
      </c>
      <c r="F8" s="1" t="s">
        <v>36</v>
      </c>
      <c r="G8" s="1">
        <v>1959</v>
      </c>
      <c r="H8" s="1">
        <v>1</v>
      </c>
      <c r="I8" s="7">
        <v>21649</v>
      </c>
      <c r="J8" s="7">
        <v>30009</v>
      </c>
      <c r="K8" s="8" t="s">
        <v>37</v>
      </c>
      <c r="L8" s="9" t="e">
        <f t="shared" ca="1" si="0"/>
        <v>#NAME?</v>
      </c>
      <c r="M8" s="9" t="e">
        <f t="shared" ca="1" si="1"/>
        <v>#NAME?</v>
      </c>
      <c r="N8" s="10" t="e">
        <f t="shared" ca="1" si="2"/>
        <v>#NAME?</v>
      </c>
      <c r="O8" s="1" t="s">
        <v>38</v>
      </c>
      <c r="P8" s="1"/>
      <c r="Q8" s="1" t="s">
        <v>39</v>
      </c>
      <c r="R8" s="1" t="s">
        <v>78</v>
      </c>
      <c r="S8" s="1" t="s">
        <v>79</v>
      </c>
      <c r="T8" s="1" t="s">
        <v>42</v>
      </c>
      <c r="V8" s="1" t="s">
        <v>80</v>
      </c>
      <c r="W8" s="1" t="s">
        <v>81</v>
      </c>
      <c r="X8" s="1">
        <v>1</v>
      </c>
      <c r="Y8" s="7">
        <v>27590</v>
      </c>
      <c r="Z8" s="7">
        <v>27590</v>
      </c>
      <c r="AA8" s="1">
        <v>217</v>
      </c>
      <c r="AB8" s="1">
        <v>0</v>
      </c>
      <c r="AC8" s="1">
        <v>0</v>
      </c>
      <c r="AD8" s="1" t="s">
        <v>82</v>
      </c>
      <c r="AE8" s="6">
        <v>34133</v>
      </c>
    </row>
    <row r="9" spans="1:33" ht="15.75" customHeight="1">
      <c r="A9" s="1" t="s">
        <v>83</v>
      </c>
      <c r="B9" s="1" t="s">
        <v>34</v>
      </c>
      <c r="C9" s="1" t="s">
        <v>35</v>
      </c>
      <c r="D9" s="1"/>
      <c r="E9" s="6">
        <v>11175</v>
      </c>
      <c r="F9" s="1" t="s">
        <v>84</v>
      </c>
      <c r="G9" s="1">
        <v>1962</v>
      </c>
      <c r="H9" s="1">
        <v>2</v>
      </c>
      <c r="I9" s="7">
        <v>22906</v>
      </c>
      <c r="J9" s="7">
        <v>26170</v>
      </c>
      <c r="K9" s="8" t="s">
        <v>37</v>
      </c>
      <c r="L9" s="9" t="e">
        <f t="shared" ca="1" si="0"/>
        <v>#NAME?</v>
      </c>
      <c r="M9" s="9" t="e">
        <f t="shared" ca="1" si="1"/>
        <v>#NAME?</v>
      </c>
      <c r="N9" s="10" t="e">
        <f t="shared" ca="1" si="2"/>
        <v>#NAME?</v>
      </c>
      <c r="O9" s="1" t="s">
        <v>38</v>
      </c>
      <c r="P9" s="1"/>
      <c r="Q9" s="1" t="s">
        <v>39</v>
      </c>
      <c r="R9" s="1" t="s">
        <v>85</v>
      </c>
      <c r="S9" s="1" t="s">
        <v>86</v>
      </c>
      <c r="T9" s="1" t="s">
        <v>42</v>
      </c>
      <c r="U9" s="1" t="s">
        <v>87</v>
      </c>
      <c r="X9" s="1">
        <v>2</v>
      </c>
      <c r="Y9" s="7">
        <v>24182</v>
      </c>
      <c r="Z9" s="7">
        <v>25400</v>
      </c>
      <c r="AA9" s="1">
        <v>205</v>
      </c>
      <c r="AB9" s="1">
        <v>1</v>
      </c>
      <c r="AC9" s="1">
        <v>2</v>
      </c>
      <c r="AD9" s="1" t="s">
        <v>88</v>
      </c>
      <c r="AE9" s="6">
        <v>41146</v>
      </c>
    </row>
    <row r="10" spans="1:33" ht="15.75" customHeight="1">
      <c r="A10" s="1" t="s">
        <v>89</v>
      </c>
      <c r="B10" s="1" t="s">
        <v>34</v>
      </c>
      <c r="C10" s="1" t="s">
        <v>35</v>
      </c>
      <c r="D10" s="1"/>
      <c r="E10" s="6">
        <v>10301</v>
      </c>
      <c r="F10" s="1" t="s">
        <v>84</v>
      </c>
      <c r="G10" s="1">
        <v>1962</v>
      </c>
      <c r="H10" s="1">
        <v>2</v>
      </c>
      <c r="I10" s="7">
        <v>22906</v>
      </c>
      <c r="J10" s="7">
        <v>25750</v>
      </c>
      <c r="K10" s="8" t="s">
        <v>37</v>
      </c>
      <c r="L10" s="9" t="e">
        <f t="shared" ca="1" si="0"/>
        <v>#NAME?</v>
      </c>
      <c r="M10" s="9" t="e">
        <f t="shared" ca="1" si="1"/>
        <v>#NAME?</v>
      </c>
      <c r="N10" s="10" t="e">
        <f t="shared" ca="1" si="2"/>
        <v>#NAME?</v>
      </c>
      <c r="O10" s="1" t="s">
        <v>38</v>
      </c>
      <c r="P10" s="1"/>
      <c r="Q10" s="1" t="s">
        <v>90</v>
      </c>
      <c r="R10" s="1" t="s">
        <v>91</v>
      </c>
      <c r="S10" s="1" t="s">
        <v>92</v>
      </c>
      <c r="U10" s="1" t="s">
        <v>42</v>
      </c>
      <c r="V10" s="1" t="s">
        <v>49</v>
      </c>
      <c r="W10" s="1" t="s">
        <v>50</v>
      </c>
      <c r="X10" s="1">
        <v>2</v>
      </c>
      <c r="Y10" s="7">
        <v>24080</v>
      </c>
      <c r="Z10" s="7">
        <v>25193</v>
      </c>
      <c r="AA10" s="1">
        <v>477</v>
      </c>
      <c r="AB10" s="1">
        <v>0</v>
      </c>
      <c r="AC10" s="1">
        <v>0</v>
      </c>
      <c r="AD10" s="1" t="s">
        <v>93</v>
      </c>
    </row>
    <row r="11" spans="1:33" ht="15.75" customHeight="1">
      <c r="A11" s="1" t="s">
        <v>94</v>
      </c>
      <c r="B11" s="1" t="s">
        <v>34</v>
      </c>
      <c r="C11" s="1" t="s">
        <v>35</v>
      </c>
      <c r="D11" s="1"/>
      <c r="E11" s="6">
        <v>11080</v>
      </c>
      <c r="F11" s="1" t="s">
        <v>36</v>
      </c>
      <c r="G11" s="1">
        <v>1962</v>
      </c>
      <c r="H11" s="1">
        <v>2</v>
      </c>
      <c r="I11" s="7">
        <v>22906</v>
      </c>
      <c r="J11" s="7">
        <v>27013</v>
      </c>
      <c r="K11" s="8" t="s">
        <v>37</v>
      </c>
      <c r="L11" s="9" t="e">
        <f t="shared" ca="1" si="0"/>
        <v>#NAME?</v>
      </c>
      <c r="M11" s="9" t="e">
        <f t="shared" ca="1" si="1"/>
        <v>#NAME?</v>
      </c>
      <c r="N11" s="10" t="e">
        <f t="shared" ca="1" si="2"/>
        <v>#NAME?</v>
      </c>
      <c r="O11" s="1" t="s">
        <v>38</v>
      </c>
      <c r="P11" s="1"/>
      <c r="Q11" s="1" t="s">
        <v>39</v>
      </c>
      <c r="R11" s="1" t="s">
        <v>95</v>
      </c>
      <c r="S11" s="1" t="s">
        <v>96</v>
      </c>
      <c r="T11" s="1" t="s">
        <v>42</v>
      </c>
      <c r="V11" s="1" t="s">
        <v>71</v>
      </c>
      <c r="W11" s="1" t="s">
        <v>44</v>
      </c>
      <c r="X11" s="1">
        <v>4</v>
      </c>
      <c r="Y11" s="7">
        <v>23975</v>
      </c>
      <c r="Z11" s="7">
        <v>26809</v>
      </c>
      <c r="AA11" s="1">
        <v>1179</v>
      </c>
      <c r="AB11" s="1">
        <v>4</v>
      </c>
      <c r="AC11" s="1">
        <v>12</v>
      </c>
      <c r="AD11" s="1" t="s">
        <v>97</v>
      </c>
      <c r="AE11" s="6">
        <v>36349</v>
      </c>
    </row>
    <row r="12" spans="1:33" ht="15.75" customHeight="1">
      <c r="A12" s="1" t="s">
        <v>98</v>
      </c>
      <c r="B12" s="1" t="s">
        <v>34</v>
      </c>
      <c r="C12" s="1" t="s">
        <v>35</v>
      </c>
      <c r="D12" s="1"/>
      <c r="E12" s="6">
        <v>10312</v>
      </c>
      <c r="F12" s="1" t="s">
        <v>36</v>
      </c>
      <c r="G12" s="1">
        <v>1962</v>
      </c>
      <c r="H12" s="1">
        <v>2</v>
      </c>
      <c r="I12" s="7">
        <v>22906</v>
      </c>
      <c r="J12" s="7">
        <v>26724</v>
      </c>
      <c r="K12" s="8" t="s">
        <v>37</v>
      </c>
      <c r="L12" s="9" t="e">
        <f t="shared" ca="1" si="0"/>
        <v>#NAME?</v>
      </c>
      <c r="M12" s="9" t="e">
        <f t="shared" ca="1" si="1"/>
        <v>#NAME?</v>
      </c>
      <c r="N12" s="10" t="e">
        <f t="shared" ca="1" si="2"/>
        <v>#NAME?</v>
      </c>
      <c r="O12" s="1" t="s">
        <v>38</v>
      </c>
      <c r="P12" s="1"/>
      <c r="Q12" s="1" t="s">
        <v>90</v>
      </c>
      <c r="R12" s="1" t="s">
        <v>99</v>
      </c>
      <c r="S12" s="1" t="s">
        <v>69</v>
      </c>
      <c r="V12" s="1" t="s">
        <v>71</v>
      </c>
      <c r="W12" s="1" t="s">
        <v>44</v>
      </c>
      <c r="X12" s="1">
        <v>4</v>
      </c>
      <c r="Y12" s="7">
        <v>24080</v>
      </c>
      <c r="Z12" s="7">
        <v>25669</v>
      </c>
      <c r="AA12" s="1">
        <v>715</v>
      </c>
      <c r="AB12" s="1">
        <v>0</v>
      </c>
      <c r="AC12" s="1">
        <v>0</v>
      </c>
      <c r="AD12" s="1" t="s">
        <v>100</v>
      </c>
    </row>
    <row r="13" spans="1:33" ht="15.75" customHeight="1">
      <c r="A13" s="1" t="s">
        <v>101</v>
      </c>
      <c r="B13" s="1" t="s">
        <v>34</v>
      </c>
      <c r="C13" s="1" t="s">
        <v>35</v>
      </c>
      <c r="D13" s="1"/>
      <c r="E13" s="6">
        <v>10754</v>
      </c>
      <c r="F13" s="1" t="s">
        <v>36</v>
      </c>
      <c r="G13" s="1">
        <v>1962</v>
      </c>
      <c r="H13" s="1">
        <v>2</v>
      </c>
      <c r="I13" s="7">
        <v>22906</v>
      </c>
      <c r="J13" s="7">
        <v>26465</v>
      </c>
      <c r="K13" s="8" t="s">
        <v>37</v>
      </c>
      <c r="L13" s="9" t="e">
        <f t="shared" ca="1" si="0"/>
        <v>#NAME?</v>
      </c>
      <c r="M13" s="9" t="e">
        <f t="shared" ca="1" si="1"/>
        <v>#NAME?</v>
      </c>
      <c r="N13" s="10" t="e">
        <f t="shared" ca="1" si="2"/>
        <v>#NAME?</v>
      </c>
      <c r="O13" s="1" t="s">
        <v>38</v>
      </c>
      <c r="P13" s="1"/>
      <c r="Q13" s="1" t="s">
        <v>90</v>
      </c>
      <c r="R13" s="1" t="s">
        <v>102</v>
      </c>
      <c r="S13" s="1" t="s">
        <v>103</v>
      </c>
      <c r="T13" s="1" t="s">
        <v>104</v>
      </c>
      <c r="V13" s="1" t="s">
        <v>105</v>
      </c>
      <c r="W13" s="1" t="s">
        <v>50</v>
      </c>
      <c r="X13" s="1">
        <v>2</v>
      </c>
      <c r="Y13" s="7">
        <v>23896</v>
      </c>
      <c r="Z13" s="7">
        <v>25265</v>
      </c>
      <c r="AA13" s="1">
        <v>338</v>
      </c>
      <c r="AB13" s="1">
        <v>0</v>
      </c>
      <c r="AC13" s="1">
        <v>0</v>
      </c>
      <c r="AD13" s="1" t="s">
        <v>106</v>
      </c>
    </row>
    <row r="14" spans="1:33" ht="15.75" customHeight="1">
      <c r="A14" s="1" t="s">
        <v>107</v>
      </c>
      <c r="B14" s="1" t="s">
        <v>34</v>
      </c>
      <c r="C14" s="1" t="s">
        <v>35</v>
      </c>
      <c r="D14" s="1"/>
      <c r="E14" s="6">
        <v>10066</v>
      </c>
      <c r="F14" s="1" t="s">
        <v>84</v>
      </c>
      <c r="G14" s="1">
        <v>1962</v>
      </c>
      <c r="H14" s="1">
        <v>2</v>
      </c>
      <c r="I14" s="7">
        <v>22906</v>
      </c>
      <c r="J14" s="12">
        <v>24166</v>
      </c>
      <c r="K14" s="13" t="s">
        <v>59</v>
      </c>
      <c r="L14" s="9" t="e">
        <f t="shared" ca="1" si="0"/>
        <v>#NAME?</v>
      </c>
      <c r="M14" s="9" t="str">
        <f t="shared" si="1"/>
        <v>N/A</v>
      </c>
      <c r="N14" s="10" t="str">
        <f t="shared" si="2"/>
        <v>N/A</v>
      </c>
      <c r="O14" s="1" t="s">
        <v>38</v>
      </c>
      <c r="P14" s="1"/>
      <c r="Q14" s="1" t="s">
        <v>39</v>
      </c>
      <c r="R14" s="1" t="s">
        <v>108</v>
      </c>
      <c r="S14" s="1" t="s">
        <v>109</v>
      </c>
      <c r="U14" s="1" t="s">
        <v>55</v>
      </c>
      <c r="X14" s="1">
        <v>0</v>
      </c>
      <c r="Y14" s="7"/>
      <c r="Z14" s="7"/>
      <c r="AA14" s="1">
        <v>0</v>
      </c>
      <c r="AB14" s="1">
        <v>0</v>
      </c>
      <c r="AC14" s="1">
        <v>0</v>
      </c>
      <c r="AE14" s="6">
        <v>24166</v>
      </c>
      <c r="AG14" s="1" t="s">
        <v>110</v>
      </c>
    </row>
    <row r="15" spans="1:33" ht="15.75" customHeight="1">
      <c r="A15" s="1" t="s">
        <v>111</v>
      </c>
      <c r="B15" s="1" t="s">
        <v>34</v>
      </c>
      <c r="C15" s="1" t="s">
        <v>35</v>
      </c>
      <c r="D15" s="1"/>
      <c r="E15" s="6">
        <v>11218</v>
      </c>
      <c r="F15" s="1" t="s">
        <v>36</v>
      </c>
      <c r="G15" s="1">
        <v>1962</v>
      </c>
      <c r="H15" s="1">
        <v>2</v>
      </c>
      <c r="I15" s="7">
        <v>22906</v>
      </c>
      <c r="J15" s="7">
        <v>27699</v>
      </c>
      <c r="K15" s="8" t="s">
        <v>37</v>
      </c>
      <c r="L15" s="9" t="e">
        <f t="shared" ca="1" si="0"/>
        <v>#NAME?</v>
      </c>
      <c r="M15" s="9" t="e">
        <f t="shared" ca="1" si="1"/>
        <v>#NAME?</v>
      </c>
      <c r="N15" s="10" t="e">
        <f t="shared" ca="1" si="2"/>
        <v>#NAME?</v>
      </c>
      <c r="O15" s="1" t="s">
        <v>38</v>
      </c>
      <c r="P15" s="1"/>
      <c r="Q15" s="1" t="s">
        <v>90</v>
      </c>
      <c r="R15" s="1" t="s">
        <v>112</v>
      </c>
      <c r="S15" s="1" t="s">
        <v>69</v>
      </c>
      <c r="V15" s="1" t="s">
        <v>113</v>
      </c>
      <c r="W15" s="1" t="s">
        <v>50</v>
      </c>
      <c r="X15" s="1">
        <v>4</v>
      </c>
      <c r="Y15" s="7">
        <v>24080</v>
      </c>
      <c r="Z15" s="7">
        <v>27590</v>
      </c>
      <c r="AA15" s="1">
        <v>507</v>
      </c>
      <c r="AB15" s="1">
        <v>0</v>
      </c>
      <c r="AC15" s="1">
        <v>0</v>
      </c>
      <c r="AD15" s="1" t="s">
        <v>114</v>
      </c>
    </row>
    <row r="16" spans="1:33" ht="15.75" customHeight="1">
      <c r="A16" s="1" t="s">
        <v>115</v>
      </c>
      <c r="B16" s="1" t="s">
        <v>34</v>
      </c>
      <c r="C16" s="1" t="s">
        <v>35</v>
      </c>
      <c r="D16" s="1"/>
      <c r="E16" s="6">
        <v>11276</v>
      </c>
      <c r="F16" s="1" t="s">
        <v>84</v>
      </c>
      <c r="G16" s="1">
        <v>1962</v>
      </c>
      <c r="H16" s="1">
        <v>2</v>
      </c>
      <c r="I16" s="7">
        <v>22906</v>
      </c>
      <c r="J16" s="12">
        <v>24499</v>
      </c>
      <c r="K16" s="13" t="s">
        <v>59</v>
      </c>
      <c r="L16" s="9" t="e">
        <f t="shared" ca="1" si="0"/>
        <v>#NAME?</v>
      </c>
      <c r="M16" s="9" t="e">
        <f t="shared" ca="1" si="1"/>
        <v>#NAME?</v>
      </c>
      <c r="N16" s="10" t="e">
        <f t="shared" ca="1" si="2"/>
        <v>#NAME?</v>
      </c>
      <c r="O16" s="1" t="s">
        <v>38</v>
      </c>
      <c r="P16" s="1"/>
      <c r="Q16" s="1" t="s">
        <v>39</v>
      </c>
      <c r="R16" s="1" t="s">
        <v>116</v>
      </c>
      <c r="S16" s="1" t="s">
        <v>117</v>
      </c>
      <c r="U16" s="1" t="s">
        <v>42</v>
      </c>
      <c r="V16" s="1" t="s">
        <v>63</v>
      </c>
      <c r="W16" s="1" t="s">
        <v>64</v>
      </c>
      <c r="X16" s="1">
        <v>2</v>
      </c>
      <c r="Y16" s="7">
        <v>23896</v>
      </c>
      <c r="Z16" s="7">
        <v>23896</v>
      </c>
      <c r="AA16" s="1">
        <v>97</v>
      </c>
      <c r="AB16" s="1">
        <v>1</v>
      </c>
      <c r="AC16" s="1">
        <v>0.5</v>
      </c>
      <c r="AD16" s="1" t="s">
        <v>118</v>
      </c>
      <c r="AE16" s="6">
        <v>24499</v>
      </c>
      <c r="AF16" s="1" t="s">
        <v>66</v>
      </c>
    </row>
    <row r="17" spans="1:33" ht="15.75" customHeight="1">
      <c r="A17" s="1" t="s">
        <v>119</v>
      </c>
      <c r="B17" s="1" t="s">
        <v>34</v>
      </c>
      <c r="C17" s="1" t="s">
        <v>35</v>
      </c>
      <c r="D17" s="1"/>
      <c r="E17" s="6">
        <v>11225</v>
      </c>
      <c r="F17" s="1" t="s">
        <v>36</v>
      </c>
      <c r="G17" s="1">
        <v>1962</v>
      </c>
      <c r="H17" s="1">
        <v>2</v>
      </c>
      <c r="I17" s="7">
        <v>22906</v>
      </c>
      <c r="J17" s="7">
        <v>38352</v>
      </c>
      <c r="K17" s="8" t="s">
        <v>37</v>
      </c>
      <c r="L17" s="9" t="e">
        <f t="shared" ca="1" si="0"/>
        <v>#NAME?</v>
      </c>
      <c r="M17" s="9" t="e">
        <f t="shared" ca="1" si="1"/>
        <v>#NAME?</v>
      </c>
      <c r="N17" s="10" t="e">
        <f t="shared" ca="1" si="2"/>
        <v>#NAME?</v>
      </c>
      <c r="O17" s="1" t="s">
        <v>38</v>
      </c>
      <c r="P17" s="1"/>
      <c r="Q17" s="1" t="s">
        <v>39</v>
      </c>
      <c r="R17" s="1" t="s">
        <v>120</v>
      </c>
      <c r="S17" s="1" t="s">
        <v>121</v>
      </c>
      <c r="T17" s="1" t="s">
        <v>42</v>
      </c>
      <c r="V17" s="1" t="s">
        <v>71</v>
      </c>
      <c r="W17" s="1" t="s">
        <v>44</v>
      </c>
      <c r="X17" s="1">
        <v>6</v>
      </c>
      <c r="Y17" s="7">
        <v>23824</v>
      </c>
      <c r="Z17" s="7">
        <v>30648</v>
      </c>
      <c r="AA17" s="1">
        <v>835</v>
      </c>
      <c r="AB17" s="1">
        <v>3</v>
      </c>
      <c r="AC17" s="1">
        <v>20</v>
      </c>
      <c r="AD17" s="1" t="s">
        <v>122</v>
      </c>
      <c r="AE17" s="6">
        <v>43105</v>
      </c>
    </row>
    <row r="18" spans="1:33" ht="15.75" customHeight="1">
      <c r="A18" s="1" t="s">
        <v>123</v>
      </c>
      <c r="B18" s="1" t="s">
        <v>34</v>
      </c>
      <c r="C18" s="1" t="s">
        <v>35</v>
      </c>
      <c r="D18" s="1"/>
      <c r="E18" s="6">
        <v>10978</v>
      </c>
      <c r="F18" s="1" t="s">
        <v>124</v>
      </c>
      <c r="G18" s="1">
        <v>1963</v>
      </c>
      <c r="H18" s="1">
        <v>3</v>
      </c>
      <c r="I18" s="7">
        <v>23301</v>
      </c>
      <c r="J18" s="7">
        <v>26115</v>
      </c>
      <c r="K18" s="8" t="s">
        <v>37</v>
      </c>
      <c r="L18" s="9" t="e">
        <f t="shared" ca="1" si="0"/>
        <v>#NAME?</v>
      </c>
      <c r="M18" s="9" t="e">
        <f t="shared" ca="1" si="1"/>
        <v>#NAME?</v>
      </c>
      <c r="N18" s="10" t="e">
        <f t="shared" ca="1" si="2"/>
        <v>#NAME?</v>
      </c>
      <c r="O18" s="1" t="s">
        <v>38</v>
      </c>
      <c r="P18" s="1"/>
      <c r="Q18" s="1" t="s">
        <v>90</v>
      </c>
      <c r="R18" s="1" t="s">
        <v>125</v>
      </c>
      <c r="S18" s="1" t="s">
        <v>126</v>
      </c>
      <c r="T18" s="1" t="s">
        <v>62</v>
      </c>
      <c r="U18" s="1" t="s">
        <v>127</v>
      </c>
      <c r="V18" s="1" t="s">
        <v>49</v>
      </c>
      <c r="W18" s="1" t="s">
        <v>50</v>
      </c>
      <c r="X18" s="1">
        <v>2</v>
      </c>
      <c r="Y18" s="7">
        <v>24422</v>
      </c>
      <c r="Z18" s="7">
        <v>25400</v>
      </c>
      <c r="AA18" s="1">
        <v>289</v>
      </c>
      <c r="AB18" s="1">
        <v>2</v>
      </c>
      <c r="AC18" s="1">
        <v>8</v>
      </c>
      <c r="AD18" s="1" t="s">
        <v>128</v>
      </c>
    </row>
    <row r="19" spans="1:33" ht="15.75" customHeight="1">
      <c r="A19" s="1" t="s">
        <v>129</v>
      </c>
      <c r="B19" s="1" t="s">
        <v>34</v>
      </c>
      <c r="C19" s="1" t="s">
        <v>35</v>
      </c>
      <c r="D19" s="1"/>
      <c r="E19" s="6">
        <v>12344</v>
      </c>
      <c r="F19" s="1" t="s">
        <v>36</v>
      </c>
      <c r="G19" s="1">
        <v>1963</v>
      </c>
      <c r="H19" s="1">
        <v>3</v>
      </c>
      <c r="I19" s="7">
        <v>23301</v>
      </c>
      <c r="J19" s="7">
        <v>25447</v>
      </c>
      <c r="K19" s="8" t="s">
        <v>37</v>
      </c>
      <c r="L19" s="9" t="e">
        <f t="shared" ca="1" si="0"/>
        <v>#NAME?</v>
      </c>
      <c r="M19" s="9" t="e">
        <f t="shared" ca="1" si="1"/>
        <v>#NAME?</v>
      </c>
      <c r="N19" s="10" t="e">
        <f t="shared" ca="1" si="2"/>
        <v>#NAME?</v>
      </c>
      <c r="O19" s="1" t="s">
        <v>38</v>
      </c>
      <c r="P19" s="1"/>
      <c r="Q19" s="1" t="s">
        <v>90</v>
      </c>
      <c r="R19" s="1" t="s">
        <v>130</v>
      </c>
      <c r="S19" s="1" t="s">
        <v>131</v>
      </c>
      <c r="T19" s="1" t="s">
        <v>132</v>
      </c>
      <c r="U19" s="1" t="s">
        <v>132</v>
      </c>
      <c r="V19" s="1" t="s">
        <v>133</v>
      </c>
      <c r="W19" s="1" t="s">
        <v>134</v>
      </c>
      <c r="X19" s="1">
        <v>1</v>
      </c>
      <c r="Y19" s="7">
        <v>25193</v>
      </c>
      <c r="Z19" s="7">
        <v>25193</v>
      </c>
      <c r="AA19" s="1">
        <v>147</v>
      </c>
      <c r="AB19" s="1">
        <v>0</v>
      </c>
      <c r="AC19" s="1">
        <v>0</v>
      </c>
      <c r="AD19" s="1" t="s">
        <v>135</v>
      </c>
    </row>
    <row r="20" spans="1:33" ht="15.75" customHeight="1">
      <c r="A20" s="1" t="s">
        <v>136</v>
      </c>
      <c r="B20" s="1" t="s">
        <v>34</v>
      </c>
      <c r="C20" s="1" t="s">
        <v>35</v>
      </c>
      <c r="D20" s="1"/>
      <c r="E20" s="6">
        <v>11687</v>
      </c>
      <c r="F20" s="1" t="s">
        <v>84</v>
      </c>
      <c r="G20" s="1">
        <v>1963</v>
      </c>
      <c r="H20" s="1">
        <v>3</v>
      </c>
      <c r="I20" s="7">
        <v>23301</v>
      </c>
      <c r="J20" s="12">
        <v>24166</v>
      </c>
      <c r="K20" s="13" t="s">
        <v>59</v>
      </c>
      <c r="L20" s="9" t="e">
        <f t="shared" ca="1" si="0"/>
        <v>#NAME?</v>
      </c>
      <c r="M20" s="9" t="str">
        <f t="shared" si="1"/>
        <v>N/A</v>
      </c>
      <c r="N20" s="10" t="str">
        <f t="shared" si="2"/>
        <v>N/A</v>
      </c>
      <c r="O20" s="1" t="s">
        <v>38</v>
      </c>
      <c r="P20" s="1"/>
      <c r="Q20" s="1" t="s">
        <v>39</v>
      </c>
      <c r="R20" s="1" t="s">
        <v>137</v>
      </c>
      <c r="S20" s="1" t="s">
        <v>138</v>
      </c>
      <c r="T20" s="1" t="s">
        <v>139</v>
      </c>
      <c r="V20" s="1" t="s">
        <v>71</v>
      </c>
      <c r="W20" s="1" t="s">
        <v>64</v>
      </c>
      <c r="X20" s="1">
        <v>0</v>
      </c>
      <c r="Y20" s="7"/>
      <c r="Z20" s="7"/>
      <c r="AA20" s="1">
        <v>0</v>
      </c>
      <c r="AB20" s="1">
        <v>0</v>
      </c>
      <c r="AC20" s="1">
        <v>0</v>
      </c>
      <c r="AE20" s="6">
        <v>24166</v>
      </c>
      <c r="AG20" s="1" t="s">
        <v>110</v>
      </c>
    </row>
    <row r="21" spans="1:33" ht="15.75" customHeight="1">
      <c r="A21" s="1" t="s">
        <v>140</v>
      </c>
      <c r="B21" s="1" t="s">
        <v>34</v>
      </c>
      <c r="C21" s="1" t="s">
        <v>35</v>
      </c>
      <c r="D21" s="1"/>
      <c r="E21" s="6">
        <v>11763</v>
      </c>
      <c r="F21" s="1" t="s">
        <v>36</v>
      </c>
      <c r="G21" s="1">
        <v>1963</v>
      </c>
      <c r="H21" s="1">
        <v>3</v>
      </c>
      <c r="I21" s="7">
        <v>23301</v>
      </c>
      <c r="J21" s="7">
        <v>29752</v>
      </c>
      <c r="K21" s="8" t="s">
        <v>37</v>
      </c>
      <c r="L21" s="9" t="e">
        <f t="shared" ca="1" si="0"/>
        <v>#NAME?</v>
      </c>
      <c r="M21" s="9" t="e">
        <f t="shared" ca="1" si="1"/>
        <v>#NAME?</v>
      </c>
      <c r="N21" s="10" t="e">
        <f t="shared" ca="1" si="2"/>
        <v>#NAME?</v>
      </c>
      <c r="O21" s="1" t="s">
        <v>38</v>
      </c>
      <c r="P21" s="1"/>
      <c r="Q21" s="1" t="s">
        <v>90</v>
      </c>
      <c r="R21" s="1" t="s">
        <v>141</v>
      </c>
      <c r="S21" s="1" t="s">
        <v>142</v>
      </c>
      <c r="T21" s="1" t="s">
        <v>42</v>
      </c>
      <c r="V21" s="1" t="s">
        <v>71</v>
      </c>
      <c r="W21" s="1" t="s">
        <v>44</v>
      </c>
      <c r="X21" s="1">
        <v>2</v>
      </c>
      <c r="Y21" s="7">
        <v>25521</v>
      </c>
      <c r="Z21" s="7">
        <v>25521</v>
      </c>
      <c r="AA21" s="1">
        <v>1671</v>
      </c>
      <c r="AB21" s="1">
        <v>3</v>
      </c>
      <c r="AC21" s="1">
        <v>10</v>
      </c>
      <c r="AD21" s="1" t="s">
        <v>143</v>
      </c>
    </row>
    <row r="22" spans="1:33" ht="15.75" customHeight="1">
      <c r="A22" s="1" t="s">
        <v>144</v>
      </c>
      <c r="B22" s="1" t="s">
        <v>34</v>
      </c>
      <c r="C22" s="1" t="s">
        <v>35</v>
      </c>
      <c r="D22" s="1"/>
      <c r="E22" s="6">
        <v>12492</v>
      </c>
      <c r="F22" s="1" t="s">
        <v>84</v>
      </c>
      <c r="G22" s="1">
        <v>1963</v>
      </c>
      <c r="H22" s="1">
        <v>3</v>
      </c>
      <c r="I22" s="7">
        <v>23301</v>
      </c>
      <c r="J22" s="7">
        <v>27942</v>
      </c>
      <c r="K22" s="8" t="s">
        <v>37</v>
      </c>
      <c r="L22" s="9" t="e">
        <f t="shared" ca="1" si="0"/>
        <v>#NAME?</v>
      </c>
      <c r="M22" s="9" t="e">
        <f t="shared" ca="1" si="1"/>
        <v>#NAME?</v>
      </c>
      <c r="N22" s="10" t="e">
        <f t="shared" ca="1" si="2"/>
        <v>#NAME?</v>
      </c>
      <c r="O22" s="1" t="s">
        <v>38</v>
      </c>
      <c r="P22" s="1"/>
      <c r="Q22" s="1" t="s">
        <v>90</v>
      </c>
      <c r="R22" s="1" t="s">
        <v>102</v>
      </c>
      <c r="S22" s="1" t="s">
        <v>145</v>
      </c>
      <c r="T22" s="1" t="s">
        <v>139</v>
      </c>
      <c r="U22" s="1" t="s">
        <v>42</v>
      </c>
      <c r="V22" s="1" t="s">
        <v>71</v>
      </c>
      <c r="W22" s="1" t="s">
        <v>44</v>
      </c>
      <c r="X22" s="1">
        <v>3</v>
      </c>
      <c r="Y22" s="7">
        <v>24261</v>
      </c>
      <c r="Z22" s="7">
        <v>26640</v>
      </c>
      <c r="AA22" s="1">
        <v>566</v>
      </c>
      <c r="AB22" s="1">
        <v>4</v>
      </c>
      <c r="AC22" s="1">
        <v>24</v>
      </c>
      <c r="AD22" s="1" t="s">
        <v>146</v>
      </c>
    </row>
    <row r="23" spans="1:33" ht="15.75" customHeight="1">
      <c r="A23" s="1" t="s">
        <v>147</v>
      </c>
      <c r="B23" s="1" t="s">
        <v>34</v>
      </c>
      <c r="C23" s="1" t="s">
        <v>35</v>
      </c>
      <c r="D23" s="1"/>
      <c r="E23" s="6">
        <v>12830</v>
      </c>
      <c r="F23" s="1" t="s">
        <v>36</v>
      </c>
      <c r="G23" s="1">
        <v>1963</v>
      </c>
      <c r="H23" s="1">
        <v>3</v>
      </c>
      <c r="I23" s="7">
        <v>23301</v>
      </c>
      <c r="J23" s="12">
        <v>24499</v>
      </c>
      <c r="K23" s="13" t="s">
        <v>59</v>
      </c>
      <c r="L23" s="9" t="e">
        <f t="shared" ca="1" si="0"/>
        <v>#NAME?</v>
      </c>
      <c r="M23" s="9" t="str">
        <f t="shared" si="1"/>
        <v>N/A</v>
      </c>
      <c r="N23" s="10" t="str">
        <f t="shared" si="2"/>
        <v>N/A</v>
      </c>
      <c r="O23" s="1" t="s">
        <v>38</v>
      </c>
      <c r="P23" s="1"/>
      <c r="Q23" s="1" t="s">
        <v>39</v>
      </c>
      <c r="R23" s="1" t="s">
        <v>148</v>
      </c>
      <c r="S23" s="1" t="s">
        <v>61</v>
      </c>
      <c r="T23" s="1" t="s">
        <v>42</v>
      </c>
      <c r="V23" s="1" t="s">
        <v>149</v>
      </c>
      <c r="W23" s="1" t="s">
        <v>150</v>
      </c>
      <c r="X23" s="1">
        <v>0</v>
      </c>
      <c r="Y23" s="7"/>
      <c r="Z23" s="7"/>
      <c r="AA23" s="1">
        <v>0</v>
      </c>
      <c r="AB23" s="1">
        <v>0</v>
      </c>
      <c r="AC23" s="1">
        <v>0</v>
      </c>
      <c r="AD23" s="1" t="s">
        <v>66</v>
      </c>
      <c r="AE23" s="6">
        <v>24499</v>
      </c>
      <c r="AF23" s="1" t="s">
        <v>66</v>
      </c>
      <c r="AG23" s="1" t="s">
        <v>110</v>
      </c>
    </row>
    <row r="24" spans="1:33" ht="15.75" customHeight="1">
      <c r="A24" s="1" t="s">
        <v>151</v>
      </c>
      <c r="B24" s="1" t="s">
        <v>34</v>
      </c>
      <c r="C24" s="1" t="s">
        <v>35</v>
      </c>
      <c r="D24" s="1"/>
      <c r="E24" s="6">
        <v>11262</v>
      </c>
      <c r="F24" s="1" t="s">
        <v>36</v>
      </c>
      <c r="G24" s="1">
        <v>1963</v>
      </c>
      <c r="H24" s="1">
        <v>3</v>
      </c>
      <c r="I24" s="7">
        <v>23301</v>
      </c>
      <c r="J24" s="7">
        <v>25583</v>
      </c>
      <c r="K24" s="8" t="s">
        <v>37</v>
      </c>
      <c r="L24" s="9" t="e">
        <f t="shared" ca="1" si="0"/>
        <v>#NAME?</v>
      </c>
      <c r="M24" s="9" t="e">
        <f t="shared" ca="1" si="1"/>
        <v>#NAME?</v>
      </c>
      <c r="N24" s="10" t="e">
        <f t="shared" ca="1" si="2"/>
        <v>#NAME?</v>
      </c>
      <c r="O24" s="1" t="s">
        <v>38</v>
      </c>
      <c r="P24" s="1"/>
      <c r="Q24" s="1" t="s">
        <v>90</v>
      </c>
      <c r="R24" s="1" t="s">
        <v>152</v>
      </c>
      <c r="S24" s="1" t="s">
        <v>153</v>
      </c>
      <c r="W24" s="1" t="s">
        <v>81</v>
      </c>
      <c r="X24" s="1">
        <v>2</v>
      </c>
      <c r="Y24" s="7">
        <v>24306</v>
      </c>
      <c r="Z24" s="7">
        <v>25400</v>
      </c>
      <c r="AA24" s="1">
        <v>266</v>
      </c>
      <c r="AB24" s="1">
        <v>1</v>
      </c>
      <c r="AC24" s="1">
        <v>1</v>
      </c>
      <c r="AD24" s="1" t="s">
        <v>154</v>
      </c>
    </row>
    <row r="25" spans="1:33" ht="15.75" customHeight="1">
      <c r="A25" s="1" t="s">
        <v>155</v>
      </c>
      <c r="B25" s="1" t="s">
        <v>34</v>
      </c>
      <c r="C25" s="1" t="s">
        <v>35</v>
      </c>
      <c r="D25" s="1"/>
      <c r="E25" s="6">
        <v>11764</v>
      </c>
      <c r="F25" s="1" t="s">
        <v>84</v>
      </c>
      <c r="G25" s="1">
        <v>1963</v>
      </c>
      <c r="H25" s="1">
        <v>3</v>
      </c>
      <c r="I25" s="7">
        <v>23301</v>
      </c>
      <c r="J25" s="7">
        <v>26146</v>
      </c>
      <c r="K25" s="8" t="s">
        <v>37</v>
      </c>
      <c r="L25" s="9" t="e">
        <f t="shared" ca="1" si="0"/>
        <v>#NAME?</v>
      </c>
      <c r="M25" s="9" t="e">
        <f t="shared" ca="1" si="1"/>
        <v>#NAME?</v>
      </c>
      <c r="N25" s="10" t="e">
        <f t="shared" ca="1" si="2"/>
        <v>#NAME?</v>
      </c>
      <c r="O25" s="1" t="s">
        <v>38</v>
      </c>
      <c r="P25" s="1"/>
      <c r="Q25" s="1" t="s">
        <v>90</v>
      </c>
      <c r="R25" s="1" t="s">
        <v>156</v>
      </c>
      <c r="S25" s="1" t="s">
        <v>157</v>
      </c>
      <c r="T25" s="1" t="s">
        <v>158</v>
      </c>
      <c r="U25" s="1" t="s">
        <v>158</v>
      </c>
      <c r="V25" s="1" t="s">
        <v>49</v>
      </c>
      <c r="W25" s="1" t="s">
        <v>159</v>
      </c>
      <c r="X25" s="1">
        <v>1</v>
      </c>
      <c r="Y25" s="7">
        <v>25122</v>
      </c>
      <c r="Z25" s="7">
        <v>25122</v>
      </c>
      <c r="AA25" s="1">
        <v>260</v>
      </c>
      <c r="AB25" s="1">
        <v>0</v>
      </c>
      <c r="AC25" s="1">
        <v>0</v>
      </c>
      <c r="AD25" s="1" t="s">
        <v>160</v>
      </c>
    </row>
    <row r="26" spans="1:33" ht="15.75" customHeight="1">
      <c r="A26" s="1" t="s">
        <v>161</v>
      </c>
      <c r="B26" s="1" t="s">
        <v>34</v>
      </c>
      <c r="C26" s="1" t="s">
        <v>35</v>
      </c>
      <c r="D26" s="1"/>
      <c r="E26" s="6">
        <v>11101</v>
      </c>
      <c r="F26" s="1" t="s">
        <v>84</v>
      </c>
      <c r="G26" s="1">
        <v>1963</v>
      </c>
      <c r="H26" s="1">
        <v>3</v>
      </c>
      <c r="I26" s="7">
        <v>23301</v>
      </c>
      <c r="J26" s="7">
        <v>26495</v>
      </c>
      <c r="K26" s="8" t="s">
        <v>37</v>
      </c>
      <c r="L26" s="9" t="e">
        <f t="shared" ca="1" si="0"/>
        <v>#NAME?</v>
      </c>
      <c r="M26" s="9" t="e">
        <f t="shared" ca="1" si="1"/>
        <v>#NAME?</v>
      </c>
      <c r="N26" s="10" t="e">
        <f t="shared" ca="1" si="2"/>
        <v>#NAME?</v>
      </c>
      <c r="O26" s="1" t="s">
        <v>38</v>
      </c>
      <c r="P26" s="1"/>
      <c r="Q26" s="1" t="s">
        <v>39</v>
      </c>
      <c r="R26" s="1" t="s">
        <v>162</v>
      </c>
      <c r="S26" s="1" t="s">
        <v>163</v>
      </c>
      <c r="T26" s="1" t="s">
        <v>127</v>
      </c>
      <c r="U26" s="1" t="s">
        <v>127</v>
      </c>
      <c r="V26" s="1" t="s">
        <v>49</v>
      </c>
      <c r="W26" s="1" t="s">
        <v>50</v>
      </c>
      <c r="X26" s="1">
        <v>1</v>
      </c>
      <c r="Y26" s="7">
        <v>25122</v>
      </c>
      <c r="Z26" s="7">
        <v>25122</v>
      </c>
      <c r="AA26" s="1">
        <v>260</v>
      </c>
      <c r="AB26" s="1">
        <v>0</v>
      </c>
      <c r="AC26" s="1">
        <v>0</v>
      </c>
      <c r="AD26" s="1" t="s">
        <v>160</v>
      </c>
      <c r="AE26" s="6">
        <v>32113</v>
      </c>
    </row>
    <row r="27" spans="1:33" ht="15.75" customHeight="1">
      <c r="A27" s="1" t="s">
        <v>164</v>
      </c>
      <c r="B27" s="1" t="s">
        <v>34</v>
      </c>
      <c r="C27" s="1" t="s">
        <v>35</v>
      </c>
      <c r="D27" s="1"/>
      <c r="E27" s="6">
        <v>11007</v>
      </c>
      <c r="F27" s="1" t="s">
        <v>84</v>
      </c>
      <c r="G27" s="1">
        <v>1963</v>
      </c>
      <c r="H27" s="1">
        <v>3</v>
      </c>
      <c r="I27" s="7">
        <v>23301</v>
      </c>
      <c r="J27" s="12">
        <v>23681</v>
      </c>
      <c r="K27" s="13" t="s">
        <v>59</v>
      </c>
      <c r="L27" s="9" t="e">
        <f t="shared" ca="1" si="0"/>
        <v>#NAME?</v>
      </c>
      <c r="M27" s="9" t="str">
        <f t="shared" si="1"/>
        <v>N/A</v>
      </c>
      <c r="N27" s="10" t="str">
        <f t="shared" si="2"/>
        <v>N/A</v>
      </c>
      <c r="O27" s="1" t="s">
        <v>38</v>
      </c>
      <c r="P27" s="1"/>
      <c r="Q27" s="1" t="s">
        <v>39</v>
      </c>
      <c r="R27" s="1" t="s">
        <v>165</v>
      </c>
      <c r="S27" s="1" t="s">
        <v>166</v>
      </c>
      <c r="U27" s="1" t="s">
        <v>42</v>
      </c>
      <c r="V27" s="1" t="s">
        <v>71</v>
      </c>
      <c r="W27" s="1" t="s">
        <v>64</v>
      </c>
      <c r="X27" s="1">
        <v>0</v>
      </c>
      <c r="Y27" s="7"/>
      <c r="Z27" s="7"/>
      <c r="AA27" s="1">
        <v>0</v>
      </c>
      <c r="AB27" s="1">
        <v>0</v>
      </c>
      <c r="AC27" s="1">
        <v>0</v>
      </c>
      <c r="AE27" s="6">
        <v>23681</v>
      </c>
      <c r="AG27" s="1" t="s">
        <v>110</v>
      </c>
    </row>
    <row r="28" spans="1:33" ht="15.75" customHeight="1">
      <c r="A28" s="1" t="s">
        <v>167</v>
      </c>
      <c r="B28" s="1" t="s">
        <v>34</v>
      </c>
      <c r="C28" s="1" t="s">
        <v>35</v>
      </c>
      <c r="D28" s="1"/>
      <c r="E28" s="6">
        <v>10871</v>
      </c>
      <c r="F28" s="1" t="s">
        <v>36</v>
      </c>
      <c r="G28" s="1">
        <v>1963</v>
      </c>
      <c r="H28" s="1">
        <v>3</v>
      </c>
      <c r="I28" s="7">
        <v>23301</v>
      </c>
      <c r="J28" s="7">
        <v>26299</v>
      </c>
      <c r="K28" s="8" t="s">
        <v>37</v>
      </c>
      <c r="L28" s="9" t="e">
        <f t="shared" ca="1" si="0"/>
        <v>#NAME?</v>
      </c>
      <c r="M28" s="9" t="e">
        <f t="shared" ca="1" si="1"/>
        <v>#NAME?</v>
      </c>
      <c r="N28" s="10" t="e">
        <f t="shared" ca="1" si="2"/>
        <v>#NAME?</v>
      </c>
      <c r="O28" s="1" t="s">
        <v>38</v>
      </c>
      <c r="P28" s="1"/>
      <c r="Q28" s="1" t="s">
        <v>90</v>
      </c>
      <c r="R28" s="1" t="s">
        <v>168</v>
      </c>
      <c r="S28" s="1" t="s">
        <v>169</v>
      </c>
      <c r="T28" s="1" t="s">
        <v>170</v>
      </c>
      <c r="V28" s="1" t="s">
        <v>71</v>
      </c>
      <c r="W28" s="1" t="s">
        <v>44</v>
      </c>
      <c r="X28" s="1">
        <v>2</v>
      </c>
      <c r="Y28" s="7">
        <v>25521</v>
      </c>
      <c r="Z28" s="7">
        <v>25521</v>
      </c>
      <c r="AA28" s="1">
        <v>315</v>
      </c>
      <c r="AB28" s="1">
        <v>1</v>
      </c>
      <c r="AC28" s="1">
        <v>0.5</v>
      </c>
      <c r="AD28" s="1" t="s">
        <v>171</v>
      </c>
    </row>
    <row r="29" spans="1:33" ht="15.75" customHeight="1">
      <c r="A29" s="1" t="s">
        <v>172</v>
      </c>
      <c r="B29" s="1" t="s">
        <v>34</v>
      </c>
      <c r="C29" s="1" t="s">
        <v>35</v>
      </c>
      <c r="D29" s="1"/>
      <c r="E29" s="6">
        <v>13082</v>
      </c>
      <c r="F29" s="1" t="s">
        <v>84</v>
      </c>
      <c r="G29" s="1">
        <v>1963</v>
      </c>
      <c r="H29" s="1">
        <v>3</v>
      </c>
      <c r="I29" s="7">
        <v>23301</v>
      </c>
      <c r="J29" s="7">
        <v>29037</v>
      </c>
      <c r="K29" s="8" t="s">
        <v>37</v>
      </c>
      <c r="L29" s="9" t="e">
        <f t="shared" ca="1" si="0"/>
        <v>#NAME?</v>
      </c>
      <c r="M29" s="9" t="e">
        <f t="shared" ca="1" si="1"/>
        <v>#NAME?</v>
      </c>
      <c r="N29" s="10" t="e">
        <f t="shared" ca="1" si="2"/>
        <v>#NAME?</v>
      </c>
      <c r="O29" s="1" t="s">
        <v>38</v>
      </c>
      <c r="P29" s="1"/>
      <c r="Q29" s="1" t="s">
        <v>90</v>
      </c>
      <c r="R29" s="1" t="s">
        <v>173</v>
      </c>
      <c r="S29" s="1" t="s">
        <v>174</v>
      </c>
      <c r="T29" s="1" t="s">
        <v>175</v>
      </c>
      <c r="U29" s="1" t="s">
        <v>175</v>
      </c>
      <c r="X29" s="1">
        <v>1</v>
      </c>
      <c r="Y29" s="7">
        <v>25265</v>
      </c>
      <c r="Z29" s="7">
        <v>25265</v>
      </c>
      <c r="AA29" s="1">
        <v>241</v>
      </c>
      <c r="AB29" s="1">
        <v>1</v>
      </c>
      <c r="AC29" s="1">
        <v>1</v>
      </c>
      <c r="AD29" s="1" t="s">
        <v>176</v>
      </c>
    </row>
    <row r="30" spans="1:33" ht="15.75" customHeight="1">
      <c r="A30" s="1" t="s">
        <v>177</v>
      </c>
      <c r="B30" s="1" t="s">
        <v>34</v>
      </c>
      <c r="C30" s="1" t="s">
        <v>35</v>
      </c>
      <c r="D30" s="1"/>
      <c r="E30" s="6">
        <v>11846</v>
      </c>
      <c r="F30" s="1" t="s">
        <v>84</v>
      </c>
      <c r="G30" s="1">
        <v>1963</v>
      </c>
      <c r="H30" s="1">
        <v>3</v>
      </c>
      <c r="I30" s="7">
        <v>23301</v>
      </c>
      <c r="J30" s="7">
        <v>28428</v>
      </c>
      <c r="K30" s="8" t="s">
        <v>37</v>
      </c>
      <c r="L30" s="9" t="e">
        <f t="shared" ca="1" si="0"/>
        <v>#NAME?</v>
      </c>
      <c r="M30" s="9" t="e">
        <f t="shared" ca="1" si="1"/>
        <v>#NAME?</v>
      </c>
      <c r="N30" s="10" t="e">
        <f t="shared" ca="1" si="2"/>
        <v>#NAME?</v>
      </c>
      <c r="O30" s="1" t="s">
        <v>38</v>
      </c>
      <c r="P30" s="1"/>
      <c r="Q30" s="1" t="s">
        <v>90</v>
      </c>
      <c r="R30" s="1" t="s">
        <v>116</v>
      </c>
      <c r="S30" s="1" t="s">
        <v>126</v>
      </c>
      <c r="U30" s="1" t="s">
        <v>175</v>
      </c>
      <c r="V30" s="1" t="s">
        <v>49</v>
      </c>
      <c r="W30" s="1" t="s">
        <v>50</v>
      </c>
      <c r="X30" s="1">
        <v>3</v>
      </c>
      <c r="Y30" s="7">
        <v>24182</v>
      </c>
      <c r="Z30" s="7">
        <v>26140</v>
      </c>
      <c r="AA30" s="1">
        <v>546</v>
      </c>
      <c r="AB30" s="1">
        <v>4</v>
      </c>
      <c r="AC30" s="1">
        <v>19</v>
      </c>
      <c r="AD30" s="1" t="s">
        <v>178</v>
      </c>
    </row>
    <row r="31" spans="1:33" ht="15.75" customHeight="1">
      <c r="A31" s="1" t="s">
        <v>179</v>
      </c>
      <c r="B31" s="1" t="s">
        <v>34</v>
      </c>
      <c r="C31" s="1" t="s">
        <v>35</v>
      </c>
      <c r="D31" s="1"/>
      <c r="E31" s="6">
        <v>11958</v>
      </c>
      <c r="F31" s="1" t="s">
        <v>36</v>
      </c>
      <c r="G31" s="1">
        <v>1963</v>
      </c>
      <c r="H31" s="1">
        <v>3</v>
      </c>
      <c r="I31" s="7">
        <v>23301</v>
      </c>
      <c r="J31" s="14">
        <v>24750</v>
      </c>
      <c r="K31" s="13" t="s">
        <v>59</v>
      </c>
      <c r="L31" s="9" t="e">
        <f t="shared" ca="1" si="0"/>
        <v>#NAME?</v>
      </c>
      <c r="M31" s="9" t="str">
        <f t="shared" si="1"/>
        <v>N/A</v>
      </c>
      <c r="N31" s="10" t="str">
        <f t="shared" si="2"/>
        <v>N/A</v>
      </c>
      <c r="O31" s="1" t="s">
        <v>38</v>
      </c>
      <c r="P31" s="1"/>
      <c r="Q31" s="1" t="s">
        <v>39</v>
      </c>
      <c r="R31" s="1" t="s">
        <v>180</v>
      </c>
      <c r="S31" s="1" t="s">
        <v>181</v>
      </c>
      <c r="T31" s="1" t="s">
        <v>62</v>
      </c>
      <c r="V31" s="1" t="s">
        <v>80</v>
      </c>
      <c r="W31" s="1" t="s">
        <v>182</v>
      </c>
      <c r="X31" s="1">
        <v>0</v>
      </c>
      <c r="Y31" s="7"/>
      <c r="Z31" s="7"/>
      <c r="AA31" s="1">
        <v>0</v>
      </c>
      <c r="AB31" s="1">
        <v>0</v>
      </c>
      <c r="AC31" s="1">
        <v>0</v>
      </c>
      <c r="AE31" s="6">
        <v>24750</v>
      </c>
      <c r="AG31" s="1" t="s">
        <v>183</v>
      </c>
    </row>
    <row r="32" spans="1:33" ht="15.75" customHeight="1">
      <c r="A32" s="1" t="s">
        <v>184</v>
      </c>
      <c r="B32" s="1" t="s">
        <v>34</v>
      </c>
      <c r="C32" s="1" t="s">
        <v>35</v>
      </c>
      <c r="D32" s="1"/>
      <c r="E32" s="6">
        <v>11284</v>
      </c>
      <c r="F32" s="1" t="s">
        <v>124</v>
      </c>
      <c r="G32" s="1">
        <v>1965</v>
      </c>
      <c r="H32" s="1">
        <v>4</v>
      </c>
      <c r="I32" s="7">
        <v>23921</v>
      </c>
      <c r="J32" s="7">
        <v>31578</v>
      </c>
      <c r="K32" s="8" t="s">
        <v>37</v>
      </c>
      <c r="L32" s="9" t="e">
        <f t="shared" ca="1" si="0"/>
        <v>#NAME?</v>
      </c>
      <c r="M32" s="9" t="e">
        <f t="shared" ca="1" si="1"/>
        <v>#NAME?</v>
      </c>
      <c r="N32" s="10" t="e">
        <f t="shared" ca="1" si="2"/>
        <v>#NAME?</v>
      </c>
      <c r="O32" s="1" t="s">
        <v>38</v>
      </c>
      <c r="P32" s="1"/>
      <c r="Q32" s="1" t="s">
        <v>90</v>
      </c>
      <c r="R32" s="1" t="s">
        <v>185</v>
      </c>
      <c r="S32" s="1" t="s">
        <v>186</v>
      </c>
      <c r="T32" s="1" t="s">
        <v>139</v>
      </c>
      <c r="U32" s="1" t="s">
        <v>139</v>
      </c>
      <c r="X32" s="1">
        <v>2</v>
      </c>
      <c r="Y32" s="7">
        <v>26798</v>
      </c>
      <c r="Z32" s="7">
        <v>30648</v>
      </c>
      <c r="AA32" s="1">
        <v>1674</v>
      </c>
      <c r="AB32" s="1">
        <v>3</v>
      </c>
      <c r="AC32" s="1">
        <v>14</v>
      </c>
      <c r="AD32" s="1" t="s">
        <v>187</v>
      </c>
    </row>
    <row r="33" spans="1:33" ht="15.75" customHeight="1">
      <c r="A33" s="1" t="s">
        <v>188</v>
      </c>
      <c r="B33" s="1" t="s">
        <v>34</v>
      </c>
      <c r="C33" s="1" t="s">
        <v>35</v>
      </c>
      <c r="D33" s="1"/>
      <c r="E33" s="6">
        <v>13462</v>
      </c>
      <c r="F33" s="1" t="s">
        <v>124</v>
      </c>
      <c r="G33" s="1">
        <v>1965</v>
      </c>
      <c r="H33" s="1">
        <v>4</v>
      </c>
      <c r="I33" s="7">
        <v>23921</v>
      </c>
      <c r="J33" s="7">
        <v>27378</v>
      </c>
      <c r="K33" s="8" t="s">
        <v>37</v>
      </c>
      <c r="L33" s="9" t="e">
        <f t="shared" ca="1" si="0"/>
        <v>#NAME?</v>
      </c>
      <c r="M33" s="9" t="e">
        <f t="shared" ca="1" si="1"/>
        <v>#NAME?</v>
      </c>
      <c r="N33" s="10" t="e">
        <f t="shared" ca="1" si="2"/>
        <v>#NAME?</v>
      </c>
      <c r="O33" s="1" t="s">
        <v>38</v>
      </c>
      <c r="P33" s="1"/>
      <c r="Q33" s="1" t="s">
        <v>90</v>
      </c>
      <c r="R33" s="1" t="s">
        <v>189</v>
      </c>
      <c r="S33" s="1" t="s">
        <v>190</v>
      </c>
      <c r="T33" s="1" t="s">
        <v>55</v>
      </c>
      <c r="U33" s="1" t="s">
        <v>55</v>
      </c>
      <c r="X33" s="1">
        <v>1</v>
      </c>
      <c r="Y33" s="7">
        <v>26984</v>
      </c>
      <c r="Z33" s="7">
        <v>26984</v>
      </c>
      <c r="AA33" s="1">
        <v>2017</v>
      </c>
      <c r="AB33" s="1">
        <v>3</v>
      </c>
      <c r="AC33" s="1">
        <v>15</v>
      </c>
      <c r="AD33" s="1" t="s">
        <v>191</v>
      </c>
    </row>
    <row r="34" spans="1:33" ht="15.75" customHeight="1">
      <c r="A34" s="1" t="s">
        <v>192</v>
      </c>
      <c r="B34" s="1" t="s">
        <v>34</v>
      </c>
      <c r="C34" s="1" t="s">
        <v>35</v>
      </c>
      <c r="D34" s="1"/>
      <c r="E34" s="6">
        <v>11384</v>
      </c>
      <c r="F34" s="1" t="s">
        <v>124</v>
      </c>
      <c r="G34" s="1">
        <v>1965</v>
      </c>
      <c r="H34" s="1">
        <v>4</v>
      </c>
      <c r="I34" s="7">
        <v>23921</v>
      </c>
      <c r="J34" s="7">
        <v>23972</v>
      </c>
      <c r="K34" s="8" t="s">
        <v>37</v>
      </c>
      <c r="L34" s="9" t="e">
        <f t="shared" ca="1" si="0"/>
        <v>#NAME?</v>
      </c>
      <c r="M34" s="9" t="str">
        <f t="shared" si="1"/>
        <v>N/A</v>
      </c>
      <c r="N34" s="10" t="str">
        <f t="shared" si="2"/>
        <v>N/A</v>
      </c>
      <c r="O34" s="1" t="s">
        <v>38</v>
      </c>
      <c r="P34" s="1"/>
      <c r="Q34" s="1" t="s">
        <v>90</v>
      </c>
      <c r="R34" s="1" t="s">
        <v>193</v>
      </c>
      <c r="S34" s="1" t="s">
        <v>194</v>
      </c>
      <c r="U34" s="1" t="s">
        <v>195</v>
      </c>
      <c r="X34" s="1">
        <v>0</v>
      </c>
      <c r="Y34" s="7"/>
      <c r="Z34" s="7"/>
      <c r="AA34" s="1">
        <v>0</v>
      </c>
      <c r="AB34" s="1">
        <v>0</v>
      </c>
      <c r="AC34" s="1">
        <v>0</v>
      </c>
      <c r="AG34" s="1" t="s">
        <v>196</v>
      </c>
    </row>
    <row r="35" spans="1:33" ht="15.75" customHeight="1">
      <c r="A35" s="1" t="s">
        <v>197</v>
      </c>
      <c r="B35" s="1" t="s">
        <v>34</v>
      </c>
      <c r="C35" s="1" t="s">
        <v>35</v>
      </c>
      <c r="D35" s="1"/>
      <c r="E35" s="6">
        <v>11738</v>
      </c>
      <c r="F35" s="1" t="s">
        <v>124</v>
      </c>
      <c r="G35" s="1">
        <v>1965</v>
      </c>
      <c r="H35" s="1">
        <v>4</v>
      </c>
      <c r="I35" s="7">
        <v>23921</v>
      </c>
      <c r="J35" s="7">
        <v>31867</v>
      </c>
      <c r="K35" s="8" t="s">
        <v>37</v>
      </c>
      <c r="L35" s="9" t="e">
        <f t="shared" ca="1" si="0"/>
        <v>#NAME?</v>
      </c>
      <c r="M35" s="9" t="e">
        <f t="shared" ca="1" si="1"/>
        <v>#NAME?</v>
      </c>
      <c r="N35" s="10" t="e">
        <f t="shared" ca="1" si="2"/>
        <v>#NAME?</v>
      </c>
      <c r="O35" s="1" t="s">
        <v>38</v>
      </c>
      <c r="P35" s="1"/>
      <c r="Q35" s="1" t="s">
        <v>90</v>
      </c>
      <c r="R35" s="1" t="s">
        <v>198</v>
      </c>
      <c r="S35" s="1" t="s">
        <v>199</v>
      </c>
      <c r="T35" s="1" t="s">
        <v>200</v>
      </c>
      <c r="U35" s="1" t="s">
        <v>201</v>
      </c>
      <c r="V35" s="1" t="s">
        <v>71</v>
      </c>
      <c r="W35" s="1" t="s">
        <v>44</v>
      </c>
      <c r="X35" s="1">
        <v>1</v>
      </c>
      <c r="Y35" s="7">
        <v>26809</v>
      </c>
      <c r="Z35" s="7">
        <v>26809</v>
      </c>
      <c r="AA35" s="1">
        <v>672</v>
      </c>
      <c r="AB35" s="1">
        <v>1</v>
      </c>
      <c r="AC35" s="1">
        <v>3</v>
      </c>
      <c r="AD35" s="1" t="s">
        <v>202</v>
      </c>
    </row>
    <row r="36" spans="1:33" ht="15.75" customHeight="1">
      <c r="A36" s="1" t="s">
        <v>203</v>
      </c>
      <c r="B36" s="1" t="s">
        <v>34</v>
      </c>
      <c r="C36" s="1" t="s">
        <v>35</v>
      </c>
      <c r="D36" s="1"/>
      <c r="E36" s="6">
        <v>12575</v>
      </c>
      <c r="F36" s="1" t="s">
        <v>124</v>
      </c>
      <c r="G36" s="1">
        <v>1965</v>
      </c>
      <c r="H36" s="1">
        <v>4</v>
      </c>
      <c r="I36" s="7">
        <v>23921</v>
      </c>
      <c r="J36" s="7">
        <v>25461</v>
      </c>
      <c r="K36" s="8" t="s">
        <v>37</v>
      </c>
      <c r="L36" s="9" t="e">
        <f t="shared" ca="1" si="0"/>
        <v>#NAME?</v>
      </c>
      <c r="M36" s="9" t="str">
        <f t="shared" si="1"/>
        <v>N/A</v>
      </c>
      <c r="N36" s="10" t="str">
        <f t="shared" si="2"/>
        <v>N/A</v>
      </c>
      <c r="O36" s="1" t="s">
        <v>38</v>
      </c>
      <c r="P36" s="1"/>
      <c r="Q36" s="1" t="s">
        <v>90</v>
      </c>
      <c r="R36" s="1" t="s">
        <v>204</v>
      </c>
      <c r="S36" s="1" t="s">
        <v>205</v>
      </c>
      <c r="T36" s="1" t="s">
        <v>158</v>
      </c>
      <c r="U36" s="1" t="s">
        <v>158</v>
      </c>
      <c r="X36" s="1">
        <v>0</v>
      </c>
      <c r="Y36" s="7"/>
      <c r="Z36" s="7"/>
      <c r="AA36" s="1">
        <v>0</v>
      </c>
      <c r="AB36" s="1">
        <v>0</v>
      </c>
      <c r="AC36" s="1">
        <v>0</v>
      </c>
      <c r="AG36" s="1" t="s">
        <v>206</v>
      </c>
    </row>
    <row r="37" spans="1:33" ht="15.75" customHeight="1">
      <c r="A37" s="1" t="s">
        <v>207</v>
      </c>
      <c r="B37" s="1" t="s">
        <v>34</v>
      </c>
      <c r="C37" s="1" t="s">
        <v>35</v>
      </c>
      <c r="D37" s="1"/>
      <c r="E37" s="6">
        <v>12968</v>
      </c>
      <c r="F37" s="1" t="s">
        <v>124</v>
      </c>
      <c r="G37" s="1">
        <v>1965</v>
      </c>
      <c r="H37" s="1">
        <v>4</v>
      </c>
      <c r="I37" s="7">
        <v>23921</v>
      </c>
      <c r="J37" s="7">
        <v>27636</v>
      </c>
      <c r="K37" s="8" t="s">
        <v>37</v>
      </c>
      <c r="L37" s="9" t="e">
        <f t="shared" ca="1" si="0"/>
        <v>#NAME?</v>
      </c>
      <c r="M37" s="9" t="e">
        <f t="shared" ca="1" si="1"/>
        <v>#NAME?</v>
      </c>
      <c r="N37" s="10" t="e">
        <f t="shared" ca="1" si="2"/>
        <v>#NAME?</v>
      </c>
      <c r="O37" s="1" t="s">
        <v>38</v>
      </c>
      <c r="P37" s="1"/>
      <c r="Q37" s="1" t="s">
        <v>90</v>
      </c>
      <c r="R37" s="1" t="s">
        <v>208</v>
      </c>
      <c r="S37" s="1" t="s">
        <v>209</v>
      </c>
      <c r="T37" s="1" t="s">
        <v>210</v>
      </c>
      <c r="U37" s="1" t="s">
        <v>210</v>
      </c>
      <c r="X37" s="1">
        <v>1</v>
      </c>
      <c r="Y37" s="7">
        <v>26639</v>
      </c>
      <c r="Z37" s="7">
        <v>26640</v>
      </c>
      <c r="AA37" s="1">
        <v>301</v>
      </c>
      <c r="AB37" s="1">
        <v>3</v>
      </c>
      <c r="AC37" s="1">
        <v>22</v>
      </c>
      <c r="AD37" s="1" t="s">
        <v>211</v>
      </c>
    </row>
    <row r="38" spans="1:33" ht="15.75" customHeight="1">
      <c r="A38" s="1" t="s">
        <v>212</v>
      </c>
      <c r="B38" s="1" t="s">
        <v>34</v>
      </c>
      <c r="C38" s="1" t="s">
        <v>35</v>
      </c>
      <c r="D38" s="1"/>
      <c r="E38" s="6">
        <v>11452</v>
      </c>
      <c r="F38" s="1" t="s">
        <v>84</v>
      </c>
      <c r="G38" s="1">
        <v>1966</v>
      </c>
      <c r="H38" s="1">
        <v>5</v>
      </c>
      <c r="I38" s="7">
        <v>24201</v>
      </c>
      <c r="J38" s="7">
        <v>39462</v>
      </c>
      <c r="K38" s="8" t="s">
        <v>37</v>
      </c>
      <c r="L38" s="9" t="e">
        <f t="shared" ca="1" si="0"/>
        <v>#NAME?</v>
      </c>
      <c r="M38" s="9" t="e">
        <f t="shared" ca="1" si="1"/>
        <v>#NAME?</v>
      </c>
      <c r="N38" s="10" t="e">
        <f t="shared" ca="1" si="2"/>
        <v>#NAME?</v>
      </c>
      <c r="O38" s="1" t="s">
        <v>38</v>
      </c>
      <c r="P38" s="1"/>
      <c r="Q38" s="1" t="s">
        <v>90</v>
      </c>
      <c r="R38" s="1" t="s">
        <v>213</v>
      </c>
      <c r="S38" s="1" t="s">
        <v>214</v>
      </c>
      <c r="T38" s="1" t="s">
        <v>215</v>
      </c>
      <c r="U38" s="1" t="s">
        <v>216</v>
      </c>
      <c r="W38" s="1" t="s">
        <v>159</v>
      </c>
      <c r="X38" s="1">
        <v>4</v>
      </c>
      <c r="Y38" s="7">
        <v>27590</v>
      </c>
      <c r="Z38" s="7">
        <v>33209</v>
      </c>
      <c r="AA38" s="1">
        <v>752</v>
      </c>
      <c r="AB38" s="1">
        <v>0</v>
      </c>
      <c r="AC38" s="1">
        <v>0</v>
      </c>
      <c r="AD38" s="1" t="s">
        <v>217</v>
      </c>
    </row>
    <row r="39" spans="1:33" ht="15.75" customHeight="1">
      <c r="A39" s="1" t="s">
        <v>218</v>
      </c>
      <c r="B39" s="1" t="s">
        <v>34</v>
      </c>
      <c r="C39" s="1" t="s">
        <v>35</v>
      </c>
      <c r="D39" s="1"/>
      <c r="E39" s="6">
        <v>12687</v>
      </c>
      <c r="F39" s="1" t="s">
        <v>124</v>
      </c>
      <c r="G39" s="1">
        <v>1966</v>
      </c>
      <c r="H39" s="1">
        <v>5</v>
      </c>
      <c r="I39" s="7">
        <v>24201</v>
      </c>
      <c r="J39" s="7">
        <v>25035</v>
      </c>
      <c r="K39" s="8" t="s">
        <v>37</v>
      </c>
      <c r="L39" s="9" t="e">
        <f t="shared" ca="1" si="0"/>
        <v>#NAME?</v>
      </c>
      <c r="M39" s="9" t="str">
        <f t="shared" si="1"/>
        <v>N/A</v>
      </c>
      <c r="N39" s="10" t="str">
        <f t="shared" si="2"/>
        <v>N/A</v>
      </c>
      <c r="O39" s="1" t="s">
        <v>38</v>
      </c>
      <c r="P39" s="1"/>
      <c r="Q39" s="1" t="s">
        <v>39</v>
      </c>
      <c r="R39" s="1" t="s">
        <v>219</v>
      </c>
      <c r="S39" s="1" t="s">
        <v>220</v>
      </c>
      <c r="T39" s="1" t="s">
        <v>62</v>
      </c>
      <c r="U39" s="1" t="s">
        <v>42</v>
      </c>
      <c r="X39" s="1">
        <v>0</v>
      </c>
      <c r="Y39" s="7"/>
      <c r="Z39" s="7"/>
      <c r="AA39" s="1">
        <v>0</v>
      </c>
      <c r="AB39" s="1">
        <v>0</v>
      </c>
      <c r="AC39" s="1">
        <v>0</v>
      </c>
      <c r="AE39" s="6">
        <v>39671</v>
      </c>
      <c r="AG39" s="1" t="s">
        <v>221</v>
      </c>
    </row>
    <row r="40" spans="1:33" ht="15.75" customHeight="1">
      <c r="A40" s="1" t="s">
        <v>222</v>
      </c>
      <c r="B40" s="1" t="s">
        <v>34</v>
      </c>
      <c r="C40" s="1" t="s">
        <v>35</v>
      </c>
      <c r="D40" s="1"/>
      <c r="E40" s="6">
        <v>11923</v>
      </c>
      <c r="F40" s="1" t="s">
        <v>84</v>
      </c>
      <c r="G40" s="1">
        <v>1966</v>
      </c>
      <c r="H40" s="1">
        <v>5</v>
      </c>
      <c r="I40" s="7">
        <v>24201</v>
      </c>
      <c r="J40" s="7">
        <v>28301</v>
      </c>
      <c r="K40" s="8" t="s">
        <v>37</v>
      </c>
      <c r="L40" s="9" t="e">
        <f t="shared" ca="1" si="0"/>
        <v>#NAME?</v>
      </c>
      <c r="M40" s="9" t="e">
        <f t="shared" ca="1" si="1"/>
        <v>#NAME?</v>
      </c>
      <c r="N40" s="10" t="e">
        <f t="shared" ca="1" si="2"/>
        <v>#NAME?</v>
      </c>
      <c r="O40" s="1" t="s">
        <v>38</v>
      </c>
      <c r="P40" s="1"/>
      <c r="Q40" s="1" t="s">
        <v>90</v>
      </c>
      <c r="R40" s="1" t="s">
        <v>223</v>
      </c>
      <c r="S40" s="1" t="s">
        <v>224</v>
      </c>
      <c r="T40" s="1" t="s">
        <v>62</v>
      </c>
      <c r="U40" s="1" t="s">
        <v>42</v>
      </c>
      <c r="V40" s="1" t="s">
        <v>49</v>
      </c>
      <c r="W40" s="1" t="s">
        <v>56</v>
      </c>
      <c r="X40" s="1">
        <v>1</v>
      </c>
      <c r="Y40" s="7">
        <v>26984</v>
      </c>
      <c r="Z40" s="7">
        <v>26984</v>
      </c>
      <c r="AA40" s="1">
        <v>2017</v>
      </c>
      <c r="AB40" s="1">
        <v>3</v>
      </c>
      <c r="AC40" s="1">
        <v>16</v>
      </c>
      <c r="AD40" s="1" t="s">
        <v>191</v>
      </c>
    </row>
    <row r="41" spans="1:33" ht="15.75" customHeight="1">
      <c r="A41" s="1" t="s">
        <v>225</v>
      </c>
      <c r="B41" s="1" t="s">
        <v>34</v>
      </c>
      <c r="C41" s="1" t="s">
        <v>35</v>
      </c>
      <c r="D41" s="1"/>
      <c r="E41" s="6">
        <v>13060</v>
      </c>
      <c r="F41" s="1" t="s">
        <v>84</v>
      </c>
      <c r="G41" s="1">
        <v>1966</v>
      </c>
      <c r="H41" s="1">
        <v>5</v>
      </c>
      <c r="I41" s="7">
        <v>24201</v>
      </c>
      <c r="J41" s="7">
        <v>27760</v>
      </c>
      <c r="K41" s="8" t="s">
        <v>37</v>
      </c>
      <c r="L41" s="9" t="e">
        <f t="shared" ca="1" si="0"/>
        <v>#NAME?</v>
      </c>
      <c r="M41" s="9" t="e">
        <f t="shared" ca="1" si="1"/>
        <v>#NAME?</v>
      </c>
      <c r="N41" s="10" t="e">
        <f t="shared" ca="1" si="2"/>
        <v>#NAME?</v>
      </c>
      <c r="O41" s="1" t="s">
        <v>38</v>
      </c>
      <c r="P41" s="1"/>
      <c r="Q41" s="1" t="s">
        <v>90</v>
      </c>
      <c r="R41" s="1" t="s">
        <v>226</v>
      </c>
      <c r="S41" s="1" t="s">
        <v>227</v>
      </c>
      <c r="T41" s="1" t="s">
        <v>70</v>
      </c>
      <c r="U41" s="1" t="s">
        <v>228</v>
      </c>
      <c r="V41" s="1" t="s">
        <v>105</v>
      </c>
      <c r="W41" s="1" t="s">
        <v>50</v>
      </c>
      <c r="X41" s="1">
        <v>1</v>
      </c>
      <c r="Y41" s="7">
        <v>26405</v>
      </c>
      <c r="Z41" s="7">
        <v>26405</v>
      </c>
      <c r="AA41" s="1">
        <v>265</v>
      </c>
      <c r="AB41" s="1">
        <v>3</v>
      </c>
      <c r="AC41" s="1">
        <v>20</v>
      </c>
      <c r="AD41" s="1" t="s">
        <v>229</v>
      </c>
    </row>
    <row r="42" spans="1:33" ht="15.75" customHeight="1">
      <c r="A42" s="1" t="s">
        <v>230</v>
      </c>
      <c r="B42" s="1" t="s">
        <v>34</v>
      </c>
      <c r="C42" s="1" t="s">
        <v>35</v>
      </c>
      <c r="D42" s="1"/>
      <c r="E42" s="6">
        <v>11927</v>
      </c>
      <c r="F42" s="1" t="s">
        <v>36</v>
      </c>
      <c r="G42" s="1">
        <v>1966</v>
      </c>
      <c r="H42" s="1">
        <v>5</v>
      </c>
      <c r="I42" s="7">
        <v>24201</v>
      </c>
      <c r="J42" s="7">
        <v>31744</v>
      </c>
      <c r="K42" s="8" t="s">
        <v>37</v>
      </c>
      <c r="L42" s="9" t="e">
        <f t="shared" ca="1" si="0"/>
        <v>#NAME?</v>
      </c>
      <c r="M42" s="9" t="e">
        <f t="shared" ca="1" si="1"/>
        <v>#NAME?</v>
      </c>
      <c r="N42" s="10" t="e">
        <f t="shared" ca="1" si="2"/>
        <v>#NAME?</v>
      </c>
      <c r="O42" s="1" t="s">
        <v>38</v>
      </c>
      <c r="P42" s="1"/>
      <c r="Q42" s="1" t="s">
        <v>90</v>
      </c>
      <c r="R42" s="1" t="s">
        <v>231</v>
      </c>
      <c r="S42" s="1" t="s">
        <v>232</v>
      </c>
      <c r="T42" s="1" t="s">
        <v>42</v>
      </c>
      <c r="V42" s="1" t="s">
        <v>133</v>
      </c>
      <c r="W42" s="1" t="s">
        <v>50</v>
      </c>
      <c r="X42" s="1">
        <v>2</v>
      </c>
      <c r="Y42" s="7">
        <v>29902</v>
      </c>
      <c r="Z42" s="7">
        <v>31286</v>
      </c>
      <c r="AA42" s="1">
        <v>224</v>
      </c>
      <c r="AB42" s="1">
        <v>0</v>
      </c>
      <c r="AC42" s="1">
        <v>0</v>
      </c>
      <c r="AD42" s="1" t="s">
        <v>233</v>
      </c>
    </row>
    <row r="43" spans="1:33" ht="15.75" customHeight="1">
      <c r="A43" s="1" t="s">
        <v>234</v>
      </c>
      <c r="B43" s="1" t="s">
        <v>34</v>
      </c>
      <c r="C43" s="1" t="s">
        <v>35</v>
      </c>
      <c r="D43" s="1"/>
      <c r="E43" s="6">
        <v>12368</v>
      </c>
      <c r="F43" s="1" t="s">
        <v>84</v>
      </c>
      <c r="G43" s="1">
        <v>1966</v>
      </c>
      <c r="H43" s="1">
        <v>5</v>
      </c>
      <c r="I43" s="7">
        <v>24201</v>
      </c>
      <c r="J43" s="7">
        <v>28199</v>
      </c>
      <c r="K43" s="8" t="s">
        <v>37</v>
      </c>
      <c r="L43" s="9" t="e">
        <f t="shared" ca="1" si="0"/>
        <v>#NAME?</v>
      </c>
      <c r="M43" s="9" t="e">
        <f t="shared" ca="1" si="1"/>
        <v>#NAME?</v>
      </c>
      <c r="N43" s="10" t="e">
        <f t="shared" ca="1" si="2"/>
        <v>#NAME?</v>
      </c>
      <c r="O43" s="1" t="s">
        <v>38</v>
      </c>
      <c r="P43" s="1"/>
      <c r="Q43" s="1" t="s">
        <v>39</v>
      </c>
      <c r="R43" s="1" t="s">
        <v>235</v>
      </c>
      <c r="S43" s="1" t="s">
        <v>236</v>
      </c>
      <c r="T43" s="1" t="s">
        <v>139</v>
      </c>
      <c r="U43" s="1" t="s">
        <v>42</v>
      </c>
      <c r="V43" s="1" t="s">
        <v>71</v>
      </c>
      <c r="W43" s="1" t="s">
        <v>44</v>
      </c>
      <c r="X43" s="1">
        <v>1</v>
      </c>
      <c r="Y43" s="7">
        <v>26639</v>
      </c>
      <c r="Z43" s="7">
        <v>26640</v>
      </c>
      <c r="AA43" s="1">
        <v>301</v>
      </c>
      <c r="AB43" s="1">
        <v>1</v>
      </c>
      <c r="AC43" s="1">
        <v>1</v>
      </c>
      <c r="AD43" s="1" t="s">
        <v>211</v>
      </c>
      <c r="AE43" s="6">
        <v>32969</v>
      </c>
    </row>
    <row r="44" spans="1:33" ht="15.75" customHeight="1">
      <c r="A44" s="1" t="s">
        <v>237</v>
      </c>
      <c r="B44" s="1" t="s">
        <v>34</v>
      </c>
      <c r="C44" s="1" t="s">
        <v>35</v>
      </c>
      <c r="D44" s="1"/>
      <c r="E44" s="6">
        <v>10963</v>
      </c>
      <c r="F44" s="1" t="s">
        <v>36</v>
      </c>
      <c r="G44" s="1">
        <v>1966</v>
      </c>
      <c r="H44" s="1">
        <v>5</v>
      </c>
      <c r="I44" s="7">
        <v>24201</v>
      </c>
      <c r="J44" s="12">
        <v>24629</v>
      </c>
      <c r="K44" s="13" t="s">
        <v>59</v>
      </c>
      <c r="L44" s="9" t="e">
        <f t="shared" ca="1" si="0"/>
        <v>#NAME?</v>
      </c>
      <c r="M44" s="9" t="str">
        <f t="shared" si="1"/>
        <v>N/A</v>
      </c>
      <c r="N44" s="10" t="str">
        <f t="shared" si="2"/>
        <v>N/A</v>
      </c>
      <c r="O44" s="1" t="s">
        <v>38</v>
      </c>
      <c r="P44" s="1"/>
      <c r="Q44" s="1" t="s">
        <v>39</v>
      </c>
      <c r="R44" s="1" t="s">
        <v>238</v>
      </c>
      <c r="S44" s="1" t="s">
        <v>69</v>
      </c>
      <c r="T44" s="1" t="s">
        <v>70</v>
      </c>
      <c r="V44" s="1" t="s">
        <v>80</v>
      </c>
      <c r="W44" s="1" t="s">
        <v>64</v>
      </c>
      <c r="X44" s="1">
        <v>0</v>
      </c>
      <c r="Y44" s="7"/>
      <c r="Z44" s="7"/>
      <c r="AA44" s="1">
        <v>0</v>
      </c>
      <c r="AB44" s="1">
        <v>0</v>
      </c>
      <c r="AC44" s="1">
        <v>0</v>
      </c>
      <c r="AE44" s="6">
        <v>24629</v>
      </c>
      <c r="AG44" s="1" t="s">
        <v>239</v>
      </c>
    </row>
    <row r="45" spans="1:33" ht="15.75" customHeight="1">
      <c r="A45" s="1" t="s">
        <v>240</v>
      </c>
      <c r="B45" s="1" t="s">
        <v>34</v>
      </c>
      <c r="C45" s="1" t="s">
        <v>35</v>
      </c>
      <c r="D45" s="1"/>
      <c r="E45" s="6">
        <v>12372</v>
      </c>
      <c r="F45" s="1" t="s">
        <v>36</v>
      </c>
      <c r="G45" s="1">
        <v>1966</v>
      </c>
      <c r="H45" s="1">
        <v>5</v>
      </c>
      <c r="I45" s="7">
        <v>24201</v>
      </c>
      <c r="J45" s="7">
        <v>29035</v>
      </c>
      <c r="K45" s="8" t="s">
        <v>37</v>
      </c>
      <c r="L45" s="9" t="e">
        <f t="shared" ca="1" si="0"/>
        <v>#NAME?</v>
      </c>
      <c r="M45" s="9" t="e">
        <f t="shared" ca="1" si="1"/>
        <v>#NAME?</v>
      </c>
      <c r="N45" s="10" t="e">
        <f t="shared" ca="1" si="2"/>
        <v>#NAME?</v>
      </c>
      <c r="O45" s="1" t="s">
        <v>38</v>
      </c>
      <c r="P45" s="1"/>
      <c r="Q45" s="1" t="s">
        <v>90</v>
      </c>
      <c r="R45" s="1" t="s">
        <v>241</v>
      </c>
      <c r="S45" s="1" t="s">
        <v>242</v>
      </c>
      <c r="T45" s="1" t="s">
        <v>42</v>
      </c>
      <c r="X45" s="1">
        <v>1</v>
      </c>
      <c r="Y45" s="7">
        <v>25669</v>
      </c>
      <c r="Z45" s="7">
        <v>25669</v>
      </c>
      <c r="AA45" s="1">
        <v>142</v>
      </c>
      <c r="AB45" s="1">
        <v>0</v>
      </c>
      <c r="AC45" s="1">
        <v>0</v>
      </c>
      <c r="AD45" s="1" t="s">
        <v>243</v>
      </c>
    </row>
    <row r="46" spans="1:33" ht="15.75" customHeight="1">
      <c r="A46" s="1" t="s">
        <v>244</v>
      </c>
      <c r="B46" s="1" t="s">
        <v>34</v>
      </c>
      <c r="C46" s="1" t="s">
        <v>35</v>
      </c>
      <c r="D46" s="1"/>
      <c r="E46" s="6">
        <v>11034</v>
      </c>
      <c r="F46" s="1" t="s">
        <v>84</v>
      </c>
      <c r="G46" s="1">
        <v>1966</v>
      </c>
      <c r="H46" s="1">
        <v>5</v>
      </c>
      <c r="I46" s="7">
        <v>24201</v>
      </c>
      <c r="J46" s="7">
        <v>26511</v>
      </c>
      <c r="K46" s="8" t="s">
        <v>37</v>
      </c>
      <c r="L46" s="9" t="e">
        <f t="shared" ca="1" si="0"/>
        <v>#NAME?</v>
      </c>
      <c r="M46" s="9" t="e">
        <f t="shared" ca="1" si="1"/>
        <v>#NAME?</v>
      </c>
      <c r="N46" s="10" t="e">
        <f t="shared" ca="1" si="2"/>
        <v>#NAME?</v>
      </c>
      <c r="O46" s="1" t="s">
        <v>38</v>
      </c>
      <c r="P46" s="1"/>
      <c r="Q46" s="1" t="s">
        <v>39</v>
      </c>
      <c r="R46" s="1" t="s">
        <v>245</v>
      </c>
      <c r="S46" s="1" t="s">
        <v>166</v>
      </c>
      <c r="T46" s="1" t="s">
        <v>70</v>
      </c>
      <c r="U46" s="1" t="s">
        <v>42</v>
      </c>
      <c r="V46" s="1" t="s">
        <v>49</v>
      </c>
      <c r="W46" s="1" t="s">
        <v>50</v>
      </c>
      <c r="X46" s="1">
        <v>1</v>
      </c>
      <c r="Y46" s="7">
        <v>26140</v>
      </c>
      <c r="Z46" s="7">
        <v>26140</v>
      </c>
      <c r="AA46" s="1">
        <v>295</v>
      </c>
      <c r="AB46" s="1">
        <v>3</v>
      </c>
      <c r="AC46" s="1">
        <v>20</v>
      </c>
      <c r="AD46" s="1" t="s">
        <v>246</v>
      </c>
      <c r="AE46" s="6">
        <v>33458</v>
      </c>
    </row>
    <row r="47" spans="1:33" ht="15.75" customHeight="1">
      <c r="A47" s="1" t="s">
        <v>247</v>
      </c>
      <c r="B47" s="1" t="s">
        <v>34</v>
      </c>
      <c r="C47" s="1" t="s">
        <v>35</v>
      </c>
      <c r="D47" s="1"/>
      <c r="E47" s="6">
        <v>11096</v>
      </c>
      <c r="F47" s="1" t="s">
        <v>124</v>
      </c>
      <c r="G47" s="1">
        <v>1966</v>
      </c>
      <c r="H47" s="1">
        <v>5</v>
      </c>
      <c r="I47" s="7">
        <v>24201</v>
      </c>
      <c r="J47" s="7">
        <v>31517</v>
      </c>
      <c r="K47" s="8" t="s">
        <v>37</v>
      </c>
      <c r="L47" s="9" t="e">
        <f t="shared" ca="1" si="0"/>
        <v>#NAME?</v>
      </c>
      <c r="M47" s="9" t="e">
        <f t="shared" ca="1" si="1"/>
        <v>#NAME?</v>
      </c>
      <c r="N47" s="10" t="e">
        <f t="shared" ca="1" si="2"/>
        <v>#NAME?</v>
      </c>
      <c r="O47" s="1" t="s">
        <v>38</v>
      </c>
      <c r="P47" s="1"/>
      <c r="Q47" s="1" t="s">
        <v>90</v>
      </c>
      <c r="R47" s="1" t="s">
        <v>248</v>
      </c>
      <c r="S47" s="1" t="s">
        <v>249</v>
      </c>
      <c r="T47" s="1" t="s">
        <v>158</v>
      </c>
      <c r="U47" s="1" t="s">
        <v>250</v>
      </c>
      <c r="X47" s="1">
        <v>1</v>
      </c>
      <c r="Y47" s="7">
        <v>31166</v>
      </c>
      <c r="Z47" s="7">
        <v>31166</v>
      </c>
      <c r="AA47" s="1">
        <v>168</v>
      </c>
      <c r="AB47" s="1">
        <v>0</v>
      </c>
      <c r="AC47" s="1">
        <v>0</v>
      </c>
      <c r="AD47" s="1" t="s">
        <v>251</v>
      </c>
    </row>
    <row r="48" spans="1:33" ht="15.75" customHeight="1">
      <c r="A48" s="1" t="s">
        <v>252</v>
      </c>
      <c r="B48" s="1" t="s">
        <v>34</v>
      </c>
      <c r="C48" s="1" t="s">
        <v>35</v>
      </c>
      <c r="D48" s="1"/>
      <c r="E48" s="6">
        <v>13209</v>
      </c>
      <c r="F48" s="1" t="s">
        <v>84</v>
      </c>
      <c r="G48" s="1">
        <v>1966</v>
      </c>
      <c r="H48" s="1">
        <v>5</v>
      </c>
      <c r="I48" s="7">
        <v>24201</v>
      </c>
      <c r="J48" s="7">
        <v>30590</v>
      </c>
      <c r="K48" s="8" t="s">
        <v>37</v>
      </c>
      <c r="L48" s="9" t="e">
        <f t="shared" ca="1" si="0"/>
        <v>#NAME?</v>
      </c>
      <c r="M48" s="9" t="e">
        <f t="shared" ca="1" si="1"/>
        <v>#NAME?</v>
      </c>
      <c r="N48" s="10" t="e">
        <f t="shared" ca="1" si="2"/>
        <v>#NAME?</v>
      </c>
      <c r="O48" s="1" t="s">
        <v>38</v>
      </c>
      <c r="P48" s="1"/>
      <c r="Q48" s="1" t="s">
        <v>90</v>
      </c>
      <c r="R48" s="1" t="s">
        <v>148</v>
      </c>
      <c r="S48" s="1" t="s">
        <v>253</v>
      </c>
      <c r="T48" s="1" t="s">
        <v>42</v>
      </c>
      <c r="U48" s="1" t="s">
        <v>42</v>
      </c>
      <c r="V48" s="1" t="s">
        <v>49</v>
      </c>
      <c r="W48" s="1" t="s">
        <v>56</v>
      </c>
      <c r="X48" s="1">
        <v>2</v>
      </c>
      <c r="Y48" s="7">
        <v>26873</v>
      </c>
      <c r="Z48" s="7">
        <v>30032</v>
      </c>
      <c r="AA48" s="1">
        <v>1619</v>
      </c>
      <c r="AB48" s="1">
        <v>2</v>
      </c>
      <c r="AC48" s="1">
        <v>11</v>
      </c>
      <c r="AD48" s="1" t="s">
        <v>254</v>
      </c>
    </row>
    <row r="49" spans="1:33" ht="15.75" customHeight="1">
      <c r="A49" s="1" t="s">
        <v>255</v>
      </c>
      <c r="B49" s="1" t="s">
        <v>34</v>
      </c>
      <c r="C49" s="1" t="s">
        <v>35</v>
      </c>
      <c r="D49" s="1"/>
      <c r="E49" s="6">
        <v>13226</v>
      </c>
      <c r="F49" s="1" t="s">
        <v>36</v>
      </c>
      <c r="G49" s="1">
        <v>1966</v>
      </c>
      <c r="H49" s="1">
        <v>5</v>
      </c>
      <c r="I49" s="7">
        <v>24201</v>
      </c>
      <c r="J49" s="7">
        <v>31213</v>
      </c>
      <c r="K49" s="8" t="s">
        <v>37</v>
      </c>
      <c r="L49" s="9" t="e">
        <f t="shared" ca="1" si="0"/>
        <v>#NAME?</v>
      </c>
      <c r="M49" s="9" t="e">
        <f t="shared" ca="1" si="1"/>
        <v>#NAME?</v>
      </c>
      <c r="N49" s="10" t="e">
        <f t="shared" ca="1" si="2"/>
        <v>#NAME?</v>
      </c>
      <c r="O49" s="1" t="s">
        <v>38</v>
      </c>
      <c r="P49" s="1"/>
      <c r="Q49" s="1" t="s">
        <v>90</v>
      </c>
      <c r="R49" s="1" t="s">
        <v>102</v>
      </c>
      <c r="S49" s="1" t="s">
        <v>181</v>
      </c>
      <c r="T49" s="1" t="s">
        <v>42</v>
      </c>
      <c r="V49" s="1" t="s">
        <v>75</v>
      </c>
      <c r="W49" s="1" t="s">
        <v>44</v>
      </c>
      <c r="X49" s="1">
        <v>3</v>
      </c>
      <c r="Y49" s="7">
        <v>26405</v>
      </c>
      <c r="Z49" s="7">
        <v>31071</v>
      </c>
      <c r="AA49" s="1">
        <v>508</v>
      </c>
      <c r="AB49" s="1">
        <v>1</v>
      </c>
      <c r="AC49" s="1">
        <v>1</v>
      </c>
      <c r="AD49" s="1" t="s">
        <v>256</v>
      </c>
    </row>
    <row r="50" spans="1:33" ht="15.75" customHeight="1">
      <c r="A50" s="1" t="s">
        <v>257</v>
      </c>
      <c r="B50" s="1" t="s">
        <v>34</v>
      </c>
      <c r="C50" s="1" t="s">
        <v>35</v>
      </c>
      <c r="D50" s="1"/>
      <c r="E50" s="6">
        <v>13674</v>
      </c>
      <c r="F50" s="1" t="s">
        <v>84</v>
      </c>
      <c r="G50" s="1">
        <v>1966</v>
      </c>
      <c r="H50" s="1">
        <v>5</v>
      </c>
      <c r="I50" s="7">
        <v>24201</v>
      </c>
      <c r="J50" s="7">
        <v>33116</v>
      </c>
      <c r="K50" s="8" t="s">
        <v>37</v>
      </c>
      <c r="L50" s="9" t="e">
        <f t="shared" ca="1" si="0"/>
        <v>#NAME?</v>
      </c>
      <c r="M50" s="9" t="e">
        <f t="shared" ca="1" si="1"/>
        <v>#NAME?</v>
      </c>
      <c r="N50" s="10" t="e">
        <f t="shared" ca="1" si="2"/>
        <v>#NAME?</v>
      </c>
      <c r="O50" s="1" t="s">
        <v>38</v>
      </c>
      <c r="P50" s="1"/>
      <c r="Q50" s="1" t="s">
        <v>90</v>
      </c>
      <c r="R50" s="1" t="s">
        <v>258</v>
      </c>
      <c r="S50" s="1" t="s">
        <v>259</v>
      </c>
      <c r="U50" s="1" t="s">
        <v>260</v>
      </c>
      <c r="V50" s="1" t="s">
        <v>71</v>
      </c>
      <c r="W50" s="1" t="s">
        <v>44</v>
      </c>
      <c r="X50" s="1">
        <v>2</v>
      </c>
      <c r="Y50" s="7">
        <v>30715</v>
      </c>
      <c r="Z50" s="7">
        <v>32987</v>
      </c>
      <c r="AA50" s="1">
        <v>312</v>
      </c>
      <c r="AB50" s="1">
        <v>2</v>
      </c>
      <c r="AC50" s="1">
        <v>12</v>
      </c>
      <c r="AD50" s="1" t="s">
        <v>261</v>
      </c>
    </row>
    <row r="51" spans="1:33" ht="15.75" customHeight="1">
      <c r="A51" s="1" t="s">
        <v>262</v>
      </c>
      <c r="B51" s="1" t="s">
        <v>34</v>
      </c>
      <c r="C51" s="1" t="s">
        <v>35</v>
      </c>
      <c r="D51" s="1"/>
      <c r="E51" s="6">
        <v>11218</v>
      </c>
      <c r="F51" s="1" t="s">
        <v>124</v>
      </c>
      <c r="G51" s="1">
        <v>1966</v>
      </c>
      <c r="H51" s="1">
        <v>5</v>
      </c>
      <c r="I51" s="7">
        <v>24201</v>
      </c>
      <c r="J51" s="7">
        <v>26573</v>
      </c>
      <c r="K51" s="8" t="s">
        <v>37</v>
      </c>
      <c r="L51" s="9" t="e">
        <f t="shared" ca="1" si="0"/>
        <v>#NAME?</v>
      </c>
      <c r="M51" s="9" t="e">
        <f t="shared" ca="1" si="1"/>
        <v>#NAME?</v>
      </c>
      <c r="N51" s="10" t="e">
        <f t="shared" ca="1" si="2"/>
        <v>#NAME?</v>
      </c>
      <c r="O51" s="1" t="s">
        <v>38</v>
      </c>
      <c r="P51" s="1"/>
      <c r="Q51" s="1" t="s">
        <v>90</v>
      </c>
      <c r="R51" s="1" t="s">
        <v>263</v>
      </c>
      <c r="S51" s="1" t="s">
        <v>264</v>
      </c>
      <c r="T51" s="1" t="s">
        <v>265</v>
      </c>
      <c r="U51" s="1" t="s">
        <v>266</v>
      </c>
      <c r="V51" s="1" t="s">
        <v>71</v>
      </c>
      <c r="W51" s="1" t="s">
        <v>44</v>
      </c>
      <c r="X51" s="1">
        <v>1</v>
      </c>
      <c r="Y51" s="7">
        <v>25964</v>
      </c>
      <c r="Z51" s="7">
        <v>25964</v>
      </c>
      <c r="AA51" s="1">
        <v>216</v>
      </c>
      <c r="AB51" s="1">
        <v>2</v>
      </c>
      <c r="AC51" s="1">
        <v>9</v>
      </c>
      <c r="AD51" s="1" t="s">
        <v>267</v>
      </c>
    </row>
    <row r="52" spans="1:33" ht="15.75" customHeight="1">
      <c r="A52" s="1" t="s">
        <v>268</v>
      </c>
      <c r="B52" s="1" t="s">
        <v>34</v>
      </c>
      <c r="C52" s="1" t="s">
        <v>35</v>
      </c>
      <c r="D52" s="1"/>
      <c r="E52" s="6">
        <v>10981</v>
      </c>
      <c r="F52" s="1" t="s">
        <v>84</v>
      </c>
      <c r="G52" s="1">
        <v>1966</v>
      </c>
      <c r="H52" s="1">
        <v>5</v>
      </c>
      <c r="I52" s="7">
        <v>24201</v>
      </c>
      <c r="J52" s="7">
        <v>27638</v>
      </c>
      <c r="K52" s="8" t="s">
        <v>37</v>
      </c>
      <c r="L52" s="9" t="e">
        <f t="shared" ca="1" si="0"/>
        <v>#NAME?</v>
      </c>
      <c r="M52" s="9" t="e">
        <f t="shared" ca="1" si="1"/>
        <v>#NAME?</v>
      </c>
      <c r="N52" s="10" t="e">
        <f t="shared" ca="1" si="2"/>
        <v>#NAME?</v>
      </c>
      <c r="O52" s="1" t="s">
        <v>38</v>
      </c>
      <c r="P52" s="1"/>
      <c r="Q52" s="1" t="s">
        <v>90</v>
      </c>
      <c r="R52" s="1" t="s">
        <v>269</v>
      </c>
      <c r="S52" s="1" t="s">
        <v>270</v>
      </c>
      <c r="T52" s="1" t="s">
        <v>271</v>
      </c>
      <c r="U52" s="1" t="s">
        <v>272</v>
      </c>
      <c r="V52" s="1" t="s">
        <v>49</v>
      </c>
      <c r="W52" s="1" t="s">
        <v>50</v>
      </c>
      <c r="X52" s="1">
        <v>1</v>
      </c>
      <c r="Y52" s="7">
        <v>26984</v>
      </c>
      <c r="Z52" s="7">
        <v>26984</v>
      </c>
      <c r="AA52" s="1">
        <v>2017</v>
      </c>
      <c r="AB52" s="1">
        <v>2</v>
      </c>
      <c r="AC52" s="1">
        <v>13</v>
      </c>
      <c r="AD52" s="1" t="s">
        <v>191</v>
      </c>
    </row>
    <row r="53" spans="1:33" ht="15.75" customHeight="1">
      <c r="A53" s="1" t="s">
        <v>273</v>
      </c>
      <c r="B53" s="1" t="s">
        <v>34</v>
      </c>
      <c r="C53" s="1" t="s">
        <v>35</v>
      </c>
      <c r="D53" s="1"/>
      <c r="E53" s="6">
        <v>12282</v>
      </c>
      <c r="F53" s="1" t="s">
        <v>36</v>
      </c>
      <c r="G53" s="1">
        <v>1966</v>
      </c>
      <c r="H53" s="1">
        <v>5</v>
      </c>
      <c r="I53" s="7">
        <v>24201</v>
      </c>
      <c r="J53" s="7">
        <v>27791</v>
      </c>
      <c r="K53" s="8" t="s">
        <v>37</v>
      </c>
      <c r="L53" s="9" t="e">
        <f t="shared" ca="1" si="0"/>
        <v>#NAME?</v>
      </c>
      <c r="M53" s="9" t="e">
        <f t="shared" ca="1" si="1"/>
        <v>#NAME?</v>
      </c>
      <c r="N53" s="10" t="e">
        <f t="shared" ca="1" si="2"/>
        <v>#NAME?</v>
      </c>
      <c r="O53" s="1" t="s">
        <v>38</v>
      </c>
      <c r="P53" s="1"/>
      <c r="Q53" s="1" t="s">
        <v>39</v>
      </c>
      <c r="R53" s="1" t="s">
        <v>274</v>
      </c>
      <c r="S53" s="1" t="s">
        <v>41</v>
      </c>
      <c r="T53" s="1" t="s">
        <v>42</v>
      </c>
      <c r="V53" s="1" t="s">
        <v>49</v>
      </c>
      <c r="W53" s="1" t="s">
        <v>50</v>
      </c>
      <c r="X53" s="1">
        <v>1</v>
      </c>
      <c r="Y53" s="7">
        <v>25964</v>
      </c>
      <c r="Z53" s="7">
        <v>25964</v>
      </c>
      <c r="AA53" s="1">
        <v>216</v>
      </c>
      <c r="AB53" s="1">
        <v>0</v>
      </c>
      <c r="AC53" s="1">
        <v>0</v>
      </c>
      <c r="AD53" s="1" t="s">
        <v>267</v>
      </c>
      <c r="AE53" s="6">
        <v>34680</v>
      </c>
    </row>
    <row r="54" spans="1:33" ht="13">
      <c r="A54" s="1" t="s">
        <v>275</v>
      </c>
      <c r="B54" s="1" t="s">
        <v>34</v>
      </c>
      <c r="C54" s="1" t="s">
        <v>35</v>
      </c>
      <c r="D54" s="1"/>
      <c r="E54" s="6">
        <v>11565</v>
      </c>
      <c r="F54" s="1" t="s">
        <v>84</v>
      </c>
      <c r="G54" s="1">
        <v>1966</v>
      </c>
      <c r="H54" s="1">
        <v>5</v>
      </c>
      <c r="I54" s="7">
        <v>24201</v>
      </c>
      <c r="J54" s="7">
        <v>28352</v>
      </c>
      <c r="K54" s="8" t="s">
        <v>37</v>
      </c>
      <c r="L54" s="9" t="e">
        <f t="shared" ca="1" si="0"/>
        <v>#NAME?</v>
      </c>
      <c r="M54" s="9" t="e">
        <f t="shared" ca="1" si="1"/>
        <v>#NAME?</v>
      </c>
      <c r="N54" s="10" t="e">
        <f t="shared" ca="1" si="2"/>
        <v>#NAME?</v>
      </c>
      <c r="O54" s="1" t="s">
        <v>38</v>
      </c>
      <c r="P54" s="1"/>
      <c r="Q54" s="1" t="s">
        <v>39</v>
      </c>
      <c r="R54" s="1" t="s">
        <v>223</v>
      </c>
      <c r="S54" s="1" t="s">
        <v>276</v>
      </c>
      <c r="T54" s="1" t="s">
        <v>62</v>
      </c>
      <c r="U54" s="1" t="s">
        <v>277</v>
      </c>
      <c r="X54" s="1">
        <v>1</v>
      </c>
      <c r="Y54" s="7">
        <v>25669</v>
      </c>
      <c r="Z54" s="7">
        <v>25669</v>
      </c>
      <c r="AA54" s="1">
        <v>142</v>
      </c>
      <c r="AB54" s="1">
        <v>0</v>
      </c>
      <c r="AC54" s="1">
        <v>0</v>
      </c>
      <c r="AD54" s="1" t="s">
        <v>243</v>
      </c>
      <c r="AE54" s="6">
        <v>30312</v>
      </c>
    </row>
    <row r="55" spans="1:33" ht="13">
      <c r="A55" s="1" t="s">
        <v>278</v>
      </c>
      <c r="B55" s="1" t="s">
        <v>34</v>
      </c>
      <c r="C55" s="1" t="s">
        <v>35</v>
      </c>
      <c r="D55" s="1"/>
      <c r="E55" s="6">
        <v>11865</v>
      </c>
      <c r="F55" s="1" t="s">
        <v>84</v>
      </c>
      <c r="G55" s="1">
        <v>1966</v>
      </c>
      <c r="H55" s="1">
        <v>5</v>
      </c>
      <c r="I55" s="7">
        <v>24201</v>
      </c>
      <c r="J55" s="7">
        <v>34469</v>
      </c>
      <c r="K55" s="8" t="s">
        <v>37</v>
      </c>
      <c r="L55" s="9" t="e">
        <f t="shared" ca="1" si="0"/>
        <v>#NAME?</v>
      </c>
      <c r="M55" s="9" t="e">
        <f t="shared" ca="1" si="1"/>
        <v>#NAME?</v>
      </c>
      <c r="N55" s="10" t="e">
        <f t="shared" ca="1" si="2"/>
        <v>#NAME?</v>
      </c>
      <c r="O55" s="1" t="s">
        <v>38</v>
      </c>
      <c r="P55" s="1"/>
      <c r="Q55" s="1" t="s">
        <v>90</v>
      </c>
      <c r="R55" s="1" t="s">
        <v>279</v>
      </c>
      <c r="S55" s="1" t="s">
        <v>280</v>
      </c>
      <c r="T55" s="1" t="s">
        <v>42</v>
      </c>
      <c r="U55" s="1" t="s">
        <v>42</v>
      </c>
      <c r="V55" s="1" t="s">
        <v>71</v>
      </c>
      <c r="W55" s="1" t="s">
        <v>44</v>
      </c>
      <c r="X55" s="1">
        <v>2</v>
      </c>
      <c r="Y55" s="7">
        <v>26809</v>
      </c>
      <c r="Z55" s="7">
        <v>30410</v>
      </c>
      <c r="AA55" s="1">
        <v>793</v>
      </c>
      <c r="AB55" s="1">
        <v>1</v>
      </c>
      <c r="AC55" s="1">
        <v>2</v>
      </c>
      <c r="AD55" s="1" t="s">
        <v>281</v>
      </c>
    </row>
    <row r="56" spans="1:33" ht="13">
      <c r="A56" s="1" t="s">
        <v>282</v>
      </c>
      <c r="B56" s="1" t="s">
        <v>34</v>
      </c>
      <c r="C56" s="1" t="s">
        <v>35</v>
      </c>
      <c r="D56" s="1"/>
      <c r="E56" s="6">
        <v>11726</v>
      </c>
      <c r="F56" s="1" t="s">
        <v>84</v>
      </c>
      <c r="G56" s="1">
        <v>1966</v>
      </c>
      <c r="H56" s="1">
        <v>5</v>
      </c>
      <c r="I56" s="7">
        <v>24201</v>
      </c>
      <c r="J56" s="7">
        <v>27638</v>
      </c>
      <c r="K56" s="8" t="s">
        <v>37</v>
      </c>
      <c r="L56" s="9" t="e">
        <f t="shared" ca="1" si="0"/>
        <v>#NAME?</v>
      </c>
      <c r="M56" s="9" t="e">
        <f t="shared" ca="1" si="1"/>
        <v>#NAME?</v>
      </c>
      <c r="N56" s="10" t="e">
        <f t="shared" ca="1" si="2"/>
        <v>#NAME?</v>
      </c>
      <c r="O56" s="1" t="s">
        <v>38</v>
      </c>
      <c r="P56" s="1"/>
      <c r="Q56" s="1" t="s">
        <v>90</v>
      </c>
      <c r="R56" s="1" t="s">
        <v>283</v>
      </c>
      <c r="S56" s="1" t="s">
        <v>117</v>
      </c>
      <c r="T56" s="1" t="s">
        <v>284</v>
      </c>
      <c r="U56" s="1" t="s">
        <v>285</v>
      </c>
      <c r="V56" s="1" t="s">
        <v>49</v>
      </c>
      <c r="W56" s="1" t="s">
        <v>50</v>
      </c>
      <c r="X56" s="1">
        <v>1</v>
      </c>
      <c r="Y56" s="7">
        <v>26140</v>
      </c>
      <c r="Z56" s="7">
        <v>26140</v>
      </c>
      <c r="AA56" s="1">
        <v>295</v>
      </c>
      <c r="AB56" s="1">
        <v>1</v>
      </c>
      <c r="AC56" s="1">
        <v>0.5</v>
      </c>
      <c r="AD56" s="1" t="s">
        <v>246</v>
      </c>
    </row>
    <row r="57" spans="1:33" ht="13">
      <c r="A57" s="1" t="s">
        <v>286</v>
      </c>
      <c r="B57" s="1" t="s">
        <v>34</v>
      </c>
      <c r="C57" s="1" t="s">
        <v>35</v>
      </c>
      <c r="D57" s="1"/>
      <c r="E57" s="6">
        <v>13693</v>
      </c>
      <c r="F57" s="1" t="s">
        <v>124</v>
      </c>
      <c r="G57" s="1">
        <v>1967</v>
      </c>
      <c r="H57" s="1">
        <v>6</v>
      </c>
      <c r="I57" s="7">
        <v>24695</v>
      </c>
      <c r="J57" s="7">
        <v>31229</v>
      </c>
      <c r="K57" s="8" t="s">
        <v>37</v>
      </c>
      <c r="L57" s="9" t="e">
        <f t="shared" ca="1" si="0"/>
        <v>#NAME?</v>
      </c>
      <c r="M57" s="9" t="e">
        <f t="shared" ca="1" si="1"/>
        <v>#NAME?</v>
      </c>
      <c r="N57" s="10" t="e">
        <f t="shared" ca="1" si="2"/>
        <v>#NAME?</v>
      </c>
      <c r="O57" s="1" t="s">
        <v>38</v>
      </c>
      <c r="P57" s="1"/>
      <c r="Q57" s="1" t="s">
        <v>90</v>
      </c>
      <c r="R57" s="1" t="s">
        <v>287</v>
      </c>
      <c r="S57" s="1" t="s">
        <v>288</v>
      </c>
      <c r="T57" s="1" t="s">
        <v>289</v>
      </c>
      <c r="U57" s="1" t="s">
        <v>158</v>
      </c>
      <c r="X57" s="1">
        <v>2</v>
      </c>
      <c r="Y57" s="7">
        <v>30266</v>
      </c>
      <c r="Z57" s="7">
        <v>30994</v>
      </c>
      <c r="AA57" s="1">
        <v>313</v>
      </c>
      <c r="AB57" s="1">
        <v>2</v>
      </c>
      <c r="AC57" s="1">
        <v>12</v>
      </c>
      <c r="AD57" s="1" t="s">
        <v>290</v>
      </c>
    </row>
    <row r="58" spans="1:33" ht="13">
      <c r="A58" s="1" t="s">
        <v>291</v>
      </c>
      <c r="B58" s="1" t="s">
        <v>34</v>
      </c>
      <c r="C58" s="1" t="s">
        <v>35</v>
      </c>
      <c r="D58" s="1"/>
      <c r="E58" s="6">
        <v>12848</v>
      </c>
      <c r="F58" s="1" t="s">
        <v>124</v>
      </c>
      <c r="G58" s="1">
        <v>1967</v>
      </c>
      <c r="H58" s="1">
        <v>6</v>
      </c>
      <c r="I58" s="7">
        <v>24695</v>
      </c>
      <c r="J58" s="7">
        <v>26495</v>
      </c>
      <c r="K58" s="8" t="s">
        <v>37</v>
      </c>
      <c r="L58" s="9" t="e">
        <f t="shared" ca="1" si="0"/>
        <v>#NAME?</v>
      </c>
      <c r="M58" s="9" t="str">
        <f t="shared" si="1"/>
        <v>N/A</v>
      </c>
      <c r="N58" s="10" t="str">
        <f t="shared" si="2"/>
        <v>N/A</v>
      </c>
      <c r="O58" s="1" t="s">
        <v>38</v>
      </c>
      <c r="P58" s="1" t="s">
        <v>292</v>
      </c>
      <c r="Q58" s="1" t="s">
        <v>90</v>
      </c>
      <c r="R58" s="1" t="s">
        <v>293</v>
      </c>
      <c r="S58" s="1" t="s">
        <v>294</v>
      </c>
      <c r="T58" s="1" t="s">
        <v>295</v>
      </c>
      <c r="U58" s="1" t="s">
        <v>296</v>
      </c>
      <c r="X58" s="1">
        <v>0</v>
      </c>
      <c r="Y58" s="7"/>
      <c r="Z58" s="7"/>
      <c r="AA58" s="1">
        <v>0</v>
      </c>
      <c r="AB58" s="1">
        <v>0</v>
      </c>
      <c r="AC58" s="1">
        <v>0</v>
      </c>
      <c r="AG58" s="1" t="s">
        <v>297</v>
      </c>
    </row>
    <row r="59" spans="1:33" ht="13">
      <c r="A59" s="1" t="s">
        <v>298</v>
      </c>
      <c r="B59" s="1" t="s">
        <v>34</v>
      </c>
      <c r="C59" s="1" t="s">
        <v>35</v>
      </c>
      <c r="D59" s="1"/>
      <c r="E59" s="6">
        <v>15476</v>
      </c>
      <c r="F59" s="1" t="s">
        <v>124</v>
      </c>
      <c r="G59" s="1">
        <v>1967</v>
      </c>
      <c r="H59" s="1">
        <v>6</v>
      </c>
      <c r="I59" s="7">
        <v>24695</v>
      </c>
      <c r="J59" s="7">
        <v>32386</v>
      </c>
      <c r="K59" s="8" t="s">
        <v>37</v>
      </c>
      <c r="L59" s="9" t="e">
        <f t="shared" ca="1" si="0"/>
        <v>#NAME?</v>
      </c>
      <c r="M59" s="9" t="e">
        <f t="shared" ca="1" si="1"/>
        <v>#NAME?</v>
      </c>
      <c r="N59" s="10" t="e">
        <f t="shared" ca="1" si="2"/>
        <v>#NAME?</v>
      </c>
      <c r="O59" s="1" t="s">
        <v>38</v>
      </c>
      <c r="P59" s="1"/>
      <c r="Q59" s="1" t="s">
        <v>90</v>
      </c>
      <c r="R59" s="1" t="s">
        <v>299</v>
      </c>
      <c r="S59" s="1" t="s">
        <v>174</v>
      </c>
      <c r="T59" s="1" t="s">
        <v>210</v>
      </c>
      <c r="U59" s="1" t="s">
        <v>300</v>
      </c>
      <c r="X59" s="1">
        <v>1</v>
      </c>
      <c r="Y59" s="7">
        <v>31257</v>
      </c>
      <c r="Z59" s="7">
        <v>31257</v>
      </c>
      <c r="AA59" s="1">
        <v>190</v>
      </c>
      <c r="AB59" s="1">
        <v>0</v>
      </c>
      <c r="AC59" s="1">
        <v>0</v>
      </c>
      <c r="AD59" s="1" t="s">
        <v>301</v>
      </c>
    </row>
    <row r="60" spans="1:33" ht="13">
      <c r="A60" s="1" t="s">
        <v>302</v>
      </c>
      <c r="B60" s="1" t="s">
        <v>34</v>
      </c>
      <c r="C60" s="1" t="s">
        <v>35</v>
      </c>
      <c r="D60" s="1"/>
      <c r="E60" s="6">
        <v>9787</v>
      </c>
      <c r="F60" s="1" t="s">
        <v>124</v>
      </c>
      <c r="G60" s="1">
        <v>1967</v>
      </c>
      <c r="H60" s="1">
        <v>6</v>
      </c>
      <c r="I60" s="7">
        <v>24695</v>
      </c>
      <c r="J60" s="7">
        <v>31517</v>
      </c>
      <c r="K60" s="8" t="s">
        <v>37</v>
      </c>
      <c r="L60" s="9" t="e">
        <f t="shared" ca="1" si="0"/>
        <v>#NAME?</v>
      </c>
      <c r="M60" s="9" t="e">
        <f t="shared" ca="1" si="1"/>
        <v>#NAME?</v>
      </c>
      <c r="N60" s="10" t="e">
        <f t="shared" ca="1" si="2"/>
        <v>#NAME?</v>
      </c>
      <c r="O60" s="1" t="s">
        <v>38</v>
      </c>
      <c r="P60" s="1"/>
      <c r="Q60" s="1" t="s">
        <v>39</v>
      </c>
      <c r="R60" s="1" t="s">
        <v>303</v>
      </c>
      <c r="S60" s="1" t="s">
        <v>304</v>
      </c>
      <c r="T60" s="1" t="s">
        <v>272</v>
      </c>
      <c r="U60" s="1" t="s">
        <v>305</v>
      </c>
      <c r="X60" s="1">
        <v>1</v>
      </c>
      <c r="Y60" s="7">
        <v>31257</v>
      </c>
      <c r="Z60" s="7">
        <v>31257</v>
      </c>
      <c r="AA60" s="1">
        <v>190</v>
      </c>
      <c r="AB60" s="1">
        <v>0</v>
      </c>
      <c r="AC60" s="1">
        <v>0</v>
      </c>
      <c r="AD60" s="1" t="s">
        <v>301</v>
      </c>
      <c r="AE60" s="6">
        <v>34247</v>
      </c>
    </row>
    <row r="61" spans="1:33" ht="13">
      <c r="A61" s="1" t="s">
        <v>306</v>
      </c>
      <c r="B61" s="1" t="s">
        <v>34</v>
      </c>
      <c r="C61" s="1" t="s">
        <v>35</v>
      </c>
      <c r="D61" s="1"/>
      <c r="E61" s="6">
        <v>14342</v>
      </c>
      <c r="F61" s="1" t="s">
        <v>124</v>
      </c>
      <c r="G61" s="1">
        <v>1967</v>
      </c>
      <c r="H61" s="1">
        <v>6</v>
      </c>
      <c r="I61" s="7">
        <v>24695</v>
      </c>
      <c r="J61" s="7">
        <v>26922</v>
      </c>
      <c r="K61" s="8" t="s">
        <v>37</v>
      </c>
      <c r="L61" s="9" t="e">
        <f t="shared" ca="1" si="0"/>
        <v>#NAME?</v>
      </c>
      <c r="M61" s="9" t="str">
        <f t="shared" si="1"/>
        <v>N/A</v>
      </c>
      <c r="N61" s="10" t="str">
        <f t="shared" si="2"/>
        <v>N/A</v>
      </c>
      <c r="O61" s="1" t="s">
        <v>38</v>
      </c>
      <c r="P61" s="1"/>
      <c r="Q61" s="1" t="s">
        <v>90</v>
      </c>
      <c r="R61" s="1" t="s">
        <v>108</v>
      </c>
      <c r="S61" s="1" t="s">
        <v>307</v>
      </c>
      <c r="T61" s="1" t="s">
        <v>139</v>
      </c>
      <c r="U61" s="1" t="s">
        <v>308</v>
      </c>
      <c r="X61" s="1">
        <v>0</v>
      </c>
      <c r="Y61" s="7"/>
      <c r="Z61" s="7"/>
      <c r="AA61" s="1">
        <v>0</v>
      </c>
      <c r="AB61" s="1">
        <v>0</v>
      </c>
      <c r="AC61" s="1">
        <v>0</v>
      </c>
      <c r="AG61" s="1" t="s">
        <v>309</v>
      </c>
    </row>
    <row r="62" spans="1:33" ht="13">
      <c r="A62" s="1" t="s">
        <v>310</v>
      </c>
      <c r="B62" s="1" t="s">
        <v>34</v>
      </c>
      <c r="C62" s="1" t="s">
        <v>35</v>
      </c>
      <c r="D62" s="1"/>
      <c r="E62" s="6">
        <v>14318</v>
      </c>
      <c r="F62" s="1" t="s">
        <v>124</v>
      </c>
      <c r="G62" s="1">
        <v>1967</v>
      </c>
      <c r="H62" s="1">
        <v>6</v>
      </c>
      <c r="I62" s="7">
        <v>24695</v>
      </c>
      <c r="J62" s="7">
        <v>33709</v>
      </c>
      <c r="K62" s="8" t="s">
        <v>37</v>
      </c>
      <c r="L62" s="9" t="e">
        <f t="shared" ca="1" si="0"/>
        <v>#NAME?</v>
      </c>
      <c r="M62" s="9" t="e">
        <f t="shared" ca="1" si="1"/>
        <v>#NAME?</v>
      </c>
      <c r="N62" s="10" t="e">
        <f t="shared" ca="1" si="2"/>
        <v>#NAME?</v>
      </c>
      <c r="O62" s="1" t="s">
        <v>38</v>
      </c>
      <c r="P62" s="1"/>
      <c r="Q62" s="1" t="s">
        <v>39</v>
      </c>
      <c r="R62" s="1" t="s">
        <v>311</v>
      </c>
      <c r="S62" s="1" t="s">
        <v>174</v>
      </c>
      <c r="T62" s="1" t="s">
        <v>139</v>
      </c>
      <c r="U62" s="1" t="s">
        <v>139</v>
      </c>
      <c r="X62" s="1">
        <v>1</v>
      </c>
      <c r="Y62" s="7">
        <v>30266</v>
      </c>
      <c r="Z62" s="7">
        <v>30266</v>
      </c>
      <c r="AA62" s="1">
        <v>122</v>
      </c>
      <c r="AB62" s="1">
        <v>0</v>
      </c>
      <c r="AC62" s="1">
        <v>0</v>
      </c>
      <c r="AD62" s="1" t="s">
        <v>312</v>
      </c>
      <c r="AE62" s="6">
        <v>41147</v>
      </c>
    </row>
    <row r="63" spans="1:33" ht="13">
      <c r="A63" s="1" t="s">
        <v>313</v>
      </c>
      <c r="B63" s="1" t="s">
        <v>34</v>
      </c>
      <c r="C63" s="1" t="s">
        <v>35</v>
      </c>
      <c r="D63" s="1"/>
      <c r="E63" s="6">
        <v>12166</v>
      </c>
      <c r="F63" s="1" t="s">
        <v>124</v>
      </c>
      <c r="G63" s="1">
        <v>1967</v>
      </c>
      <c r="H63" s="1">
        <v>6</v>
      </c>
      <c r="I63" s="7">
        <v>24695</v>
      </c>
      <c r="J63" s="7">
        <v>25096</v>
      </c>
      <c r="K63" s="8" t="s">
        <v>37</v>
      </c>
      <c r="L63" s="9" t="e">
        <f t="shared" ca="1" si="0"/>
        <v>#NAME?</v>
      </c>
      <c r="M63" s="9" t="str">
        <f t="shared" si="1"/>
        <v>N/A</v>
      </c>
      <c r="N63" s="10" t="str">
        <f t="shared" si="2"/>
        <v>N/A</v>
      </c>
      <c r="O63" s="1" t="s">
        <v>38</v>
      </c>
      <c r="P63" s="1"/>
      <c r="Q63" s="1" t="s">
        <v>90</v>
      </c>
      <c r="R63" s="1" t="s">
        <v>314</v>
      </c>
      <c r="S63" s="1" t="s">
        <v>315</v>
      </c>
      <c r="T63" s="1" t="s">
        <v>170</v>
      </c>
      <c r="U63" s="1" t="s">
        <v>170</v>
      </c>
      <c r="X63" s="1">
        <v>0</v>
      </c>
      <c r="Y63" s="7"/>
      <c r="Z63" s="7"/>
      <c r="AA63" s="1">
        <v>0</v>
      </c>
      <c r="AB63" s="1">
        <v>0</v>
      </c>
      <c r="AC63" s="1">
        <v>0</v>
      </c>
      <c r="AG63" s="1" t="s">
        <v>316</v>
      </c>
    </row>
    <row r="64" spans="1:33" ht="13">
      <c r="A64" s="1" t="s">
        <v>317</v>
      </c>
      <c r="B64" s="1" t="s">
        <v>34</v>
      </c>
      <c r="C64" s="1" t="s">
        <v>35</v>
      </c>
      <c r="D64" s="1"/>
      <c r="E64" s="6">
        <v>13015</v>
      </c>
      <c r="F64" s="1" t="s">
        <v>124</v>
      </c>
      <c r="G64" s="1">
        <v>1967</v>
      </c>
      <c r="H64" s="1">
        <v>6</v>
      </c>
      <c r="I64" s="7">
        <v>24695</v>
      </c>
      <c r="J64" s="7">
        <v>35675</v>
      </c>
      <c r="K64" s="8" t="s">
        <v>37</v>
      </c>
      <c r="L64" s="9" t="e">
        <f t="shared" ca="1" si="0"/>
        <v>#NAME?</v>
      </c>
      <c r="M64" s="9" t="e">
        <f t="shared" ca="1" si="1"/>
        <v>#NAME?</v>
      </c>
      <c r="N64" s="10" t="e">
        <f t="shared" ca="1" si="2"/>
        <v>#NAME?</v>
      </c>
      <c r="O64" s="1" t="s">
        <v>38</v>
      </c>
      <c r="P64" s="1"/>
      <c r="Q64" s="1" t="s">
        <v>90</v>
      </c>
      <c r="R64" s="1" t="s">
        <v>258</v>
      </c>
      <c r="S64" s="1" t="s">
        <v>318</v>
      </c>
      <c r="T64" s="1" t="s">
        <v>319</v>
      </c>
      <c r="U64" s="1" t="s">
        <v>320</v>
      </c>
      <c r="X64" s="1">
        <v>6</v>
      </c>
      <c r="Y64" s="7">
        <v>30410</v>
      </c>
      <c r="Z64" s="7">
        <v>35388</v>
      </c>
      <c r="AA64" s="1">
        <v>1281</v>
      </c>
      <c r="AB64" s="1">
        <v>4</v>
      </c>
      <c r="AC64" s="1">
        <v>26</v>
      </c>
      <c r="AD64" s="1" t="s">
        <v>321</v>
      </c>
    </row>
    <row r="65" spans="1:33" ht="13">
      <c r="A65" s="1" t="s">
        <v>322</v>
      </c>
      <c r="B65" s="1" t="s">
        <v>34</v>
      </c>
      <c r="C65" s="1" t="s">
        <v>35</v>
      </c>
      <c r="D65" s="1"/>
      <c r="E65" s="6">
        <v>14637</v>
      </c>
      <c r="F65" s="1" t="s">
        <v>124</v>
      </c>
      <c r="G65" s="1">
        <v>1967</v>
      </c>
      <c r="H65" s="1">
        <v>6</v>
      </c>
      <c r="I65" s="7">
        <v>24695</v>
      </c>
      <c r="J65" s="7">
        <v>24951</v>
      </c>
      <c r="K65" s="8" t="s">
        <v>37</v>
      </c>
      <c r="L65" s="9" t="e">
        <f t="shared" ca="1" si="0"/>
        <v>#NAME?</v>
      </c>
      <c r="M65" s="9" t="str">
        <f t="shared" si="1"/>
        <v>N/A</v>
      </c>
      <c r="N65" s="10" t="str">
        <f t="shared" si="2"/>
        <v>N/A</v>
      </c>
      <c r="O65" s="1" t="s">
        <v>38</v>
      </c>
      <c r="P65" s="1"/>
      <c r="Q65" s="1" t="s">
        <v>39</v>
      </c>
      <c r="R65" s="1" t="s">
        <v>258</v>
      </c>
      <c r="S65" s="1" t="s">
        <v>323</v>
      </c>
      <c r="T65" s="1" t="s">
        <v>158</v>
      </c>
      <c r="U65" s="1" t="s">
        <v>305</v>
      </c>
      <c r="X65" s="1">
        <v>0</v>
      </c>
      <c r="Y65" s="7"/>
      <c r="Z65" s="7"/>
      <c r="AA65" s="1">
        <v>0</v>
      </c>
      <c r="AB65" s="1">
        <v>0</v>
      </c>
      <c r="AC65" s="1">
        <v>0</v>
      </c>
      <c r="AE65" s="6">
        <v>40752</v>
      </c>
      <c r="AG65" s="1" t="s">
        <v>324</v>
      </c>
    </row>
    <row r="66" spans="1:33" ht="13">
      <c r="A66" s="1" t="s">
        <v>325</v>
      </c>
      <c r="B66" s="1" t="s">
        <v>34</v>
      </c>
      <c r="C66" s="1" t="s">
        <v>35</v>
      </c>
      <c r="D66" s="1"/>
      <c r="E66" s="6">
        <v>13498</v>
      </c>
      <c r="F66" s="1" t="s">
        <v>124</v>
      </c>
      <c r="G66" s="1">
        <v>1967</v>
      </c>
      <c r="H66" s="1">
        <v>6</v>
      </c>
      <c r="I66" s="7">
        <v>24695</v>
      </c>
      <c r="J66" s="7">
        <v>38595</v>
      </c>
      <c r="K66" s="8" t="s">
        <v>37</v>
      </c>
      <c r="L66" s="9" t="e">
        <f t="shared" ca="1" si="0"/>
        <v>#NAME?</v>
      </c>
      <c r="M66" s="9" t="e">
        <f t="shared" ca="1" si="1"/>
        <v>#NAME?</v>
      </c>
      <c r="N66" s="10" t="e">
        <f t="shared" ca="1" si="2"/>
        <v>#NAME?</v>
      </c>
      <c r="O66" s="1" t="s">
        <v>38</v>
      </c>
      <c r="P66" s="1"/>
      <c r="Q66" s="1" t="s">
        <v>90</v>
      </c>
      <c r="R66" s="1" t="s">
        <v>326</v>
      </c>
      <c r="S66" s="1" t="s">
        <v>327</v>
      </c>
      <c r="T66" s="1" t="s">
        <v>328</v>
      </c>
      <c r="U66" s="1" t="s">
        <v>305</v>
      </c>
      <c r="X66" s="1">
        <v>2</v>
      </c>
      <c r="Y66" s="7">
        <v>30648</v>
      </c>
      <c r="Z66" s="7">
        <v>33209</v>
      </c>
      <c r="AA66" s="1">
        <v>462</v>
      </c>
      <c r="AB66" s="1">
        <v>0</v>
      </c>
      <c r="AC66" s="1">
        <v>0</v>
      </c>
      <c r="AD66" s="1" t="s">
        <v>329</v>
      </c>
    </row>
    <row r="67" spans="1:33" ht="13">
      <c r="A67" s="1" t="s">
        <v>330</v>
      </c>
      <c r="B67" s="1" t="s">
        <v>34</v>
      </c>
      <c r="C67" s="1" t="s">
        <v>35</v>
      </c>
      <c r="D67" s="1"/>
      <c r="E67" s="6">
        <v>10697</v>
      </c>
      <c r="F67" s="1" t="s">
        <v>124</v>
      </c>
      <c r="G67" s="1">
        <v>1967</v>
      </c>
      <c r="H67" s="1">
        <v>6</v>
      </c>
      <c r="I67" s="7">
        <v>24695</v>
      </c>
      <c r="J67" s="7">
        <v>34485</v>
      </c>
      <c r="K67" s="8" t="s">
        <v>37</v>
      </c>
      <c r="L67" s="9" t="e">
        <f t="shared" ca="1" si="0"/>
        <v>#NAME?</v>
      </c>
      <c r="M67" s="9" t="e">
        <f t="shared" ca="1" si="1"/>
        <v>#NAME?</v>
      </c>
      <c r="N67" s="10" t="e">
        <f t="shared" ca="1" si="2"/>
        <v>#NAME?</v>
      </c>
      <c r="O67" s="1" t="s">
        <v>38</v>
      </c>
      <c r="P67" s="1"/>
      <c r="Q67" s="1" t="s">
        <v>90</v>
      </c>
      <c r="R67" s="1" t="s">
        <v>331</v>
      </c>
      <c r="S67" s="1" t="s">
        <v>332</v>
      </c>
      <c r="T67" s="1" t="s">
        <v>158</v>
      </c>
      <c r="U67" s="1" t="s">
        <v>201</v>
      </c>
      <c r="X67" s="1">
        <v>2</v>
      </c>
      <c r="Y67" s="7">
        <v>30558</v>
      </c>
      <c r="Z67" s="7">
        <v>31166</v>
      </c>
      <c r="AA67" s="1">
        <v>315</v>
      </c>
      <c r="AB67" s="1">
        <v>0</v>
      </c>
      <c r="AC67" s="1">
        <v>0</v>
      </c>
      <c r="AD67" s="1" t="s">
        <v>333</v>
      </c>
    </row>
    <row r="68" spans="1:33" ht="13">
      <c r="A68" s="1" t="s">
        <v>334</v>
      </c>
      <c r="B68" s="1" t="s">
        <v>34</v>
      </c>
      <c r="C68" s="1" t="s">
        <v>35</v>
      </c>
      <c r="D68" s="1"/>
      <c r="E68" s="6">
        <v>13872</v>
      </c>
      <c r="F68" s="1" t="s">
        <v>84</v>
      </c>
      <c r="G68" s="1">
        <v>1969</v>
      </c>
      <c r="H68" s="1">
        <v>7</v>
      </c>
      <c r="I68" s="7">
        <v>25429</v>
      </c>
      <c r="J68" s="7">
        <v>32157</v>
      </c>
      <c r="K68" s="8" t="s">
        <v>37</v>
      </c>
      <c r="L68" s="9" t="e">
        <f t="shared" ca="1" si="0"/>
        <v>#NAME?</v>
      </c>
      <c r="M68" s="9" t="e">
        <f t="shared" ca="1" si="1"/>
        <v>#NAME?</v>
      </c>
      <c r="N68" s="10" t="e">
        <f t="shared" ca="1" si="2"/>
        <v>#NAME?</v>
      </c>
      <c r="O68" s="1" t="s">
        <v>38</v>
      </c>
      <c r="P68" s="1"/>
      <c r="Q68" s="1" t="s">
        <v>90</v>
      </c>
      <c r="R68" s="1" t="s">
        <v>326</v>
      </c>
      <c r="S68" s="1" t="s">
        <v>335</v>
      </c>
      <c r="U68" s="1" t="s">
        <v>87</v>
      </c>
      <c r="V68" s="1" t="s">
        <v>49</v>
      </c>
      <c r="W68" s="1" t="s">
        <v>50</v>
      </c>
      <c r="X68" s="1">
        <v>3</v>
      </c>
      <c r="Y68" s="7">
        <v>30410</v>
      </c>
      <c r="Z68" s="7">
        <v>31323</v>
      </c>
      <c r="AA68" s="1">
        <v>386</v>
      </c>
      <c r="AB68" s="1">
        <v>0</v>
      </c>
      <c r="AC68" s="1">
        <v>0</v>
      </c>
      <c r="AD68" s="1" t="s">
        <v>336</v>
      </c>
    </row>
    <row r="69" spans="1:33" ht="13">
      <c r="A69" s="1" t="s">
        <v>337</v>
      </c>
      <c r="B69" s="1" t="s">
        <v>34</v>
      </c>
      <c r="C69" s="1" t="s">
        <v>35</v>
      </c>
      <c r="D69" s="1"/>
      <c r="E69" s="6">
        <v>13769</v>
      </c>
      <c r="F69" s="1" t="s">
        <v>36</v>
      </c>
      <c r="G69" s="1">
        <v>1969</v>
      </c>
      <c r="H69" s="1">
        <v>7</v>
      </c>
      <c r="I69" s="7">
        <v>25429</v>
      </c>
      <c r="J69" s="7">
        <v>34714</v>
      </c>
      <c r="K69" s="8" t="s">
        <v>37</v>
      </c>
      <c r="L69" s="9" t="e">
        <f t="shared" ca="1" si="0"/>
        <v>#NAME?</v>
      </c>
      <c r="M69" s="9" t="e">
        <f t="shared" ca="1" si="1"/>
        <v>#NAME?</v>
      </c>
      <c r="N69" s="10" t="e">
        <f t="shared" ca="1" si="2"/>
        <v>#NAME?</v>
      </c>
      <c r="O69" s="1" t="s">
        <v>38</v>
      </c>
      <c r="P69" s="1"/>
      <c r="Q69" s="1" t="s">
        <v>90</v>
      </c>
      <c r="R69" s="1" t="s">
        <v>338</v>
      </c>
      <c r="S69" s="1" t="s">
        <v>142</v>
      </c>
      <c r="T69" s="1" t="s">
        <v>87</v>
      </c>
      <c r="V69" s="1" t="s">
        <v>71</v>
      </c>
      <c r="W69" s="1" t="s">
        <v>44</v>
      </c>
      <c r="X69" s="1">
        <v>4</v>
      </c>
      <c r="Y69" s="7">
        <v>29688</v>
      </c>
      <c r="Z69" s="7">
        <v>30960</v>
      </c>
      <c r="AA69" s="1">
        <v>565</v>
      </c>
      <c r="AB69" s="1">
        <v>0</v>
      </c>
      <c r="AC69" s="1">
        <v>0</v>
      </c>
      <c r="AD69" s="1" t="s">
        <v>339</v>
      </c>
    </row>
    <row r="70" spans="1:33" ht="13">
      <c r="A70" s="1" t="s">
        <v>340</v>
      </c>
      <c r="B70" s="1" t="s">
        <v>34</v>
      </c>
      <c r="C70" s="1" t="s">
        <v>35</v>
      </c>
      <c r="D70" s="1"/>
      <c r="E70" s="6">
        <v>13434</v>
      </c>
      <c r="F70" s="1" t="s">
        <v>84</v>
      </c>
      <c r="G70" s="1">
        <v>1969</v>
      </c>
      <c r="H70" s="1">
        <v>7</v>
      </c>
      <c r="I70" s="7">
        <v>25429</v>
      </c>
      <c r="J70" s="7">
        <v>39447</v>
      </c>
      <c r="K70" s="8" t="s">
        <v>37</v>
      </c>
      <c r="L70" s="9" t="e">
        <f t="shared" ca="1" si="0"/>
        <v>#NAME?</v>
      </c>
      <c r="M70" s="9" t="e">
        <f t="shared" ca="1" si="1"/>
        <v>#NAME?</v>
      </c>
      <c r="N70" s="10" t="e">
        <f t="shared" ca="1" si="2"/>
        <v>#NAME?</v>
      </c>
      <c r="O70" s="1" t="s">
        <v>38</v>
      </c>
      <c r="P70" s="1"/>
      <c r="Q70" s="1" t="s">
        <v>90</v>
      </c>
      <c r="R70" s="1" t="s">
        <v>341</v>
      </c>
      <c r="S70" s="1" t="s">
        <v>205</v>
      </c>
      <c r="T70" s="1" t="s">
        <v>62</v>
      </c>
      <c r="U70" s="1" t="s">
        <v>62</v>
      </c>
      <c r="V70" s="1" t="s">
        <v>49</v>
      </c>
      <c r="W70" s="1" t="s">
        <v>50</v>
      </c>
      <c r="X70" s="1">
        <v>2</v>
      </c>
      <c r="Y70" s="7">
        <v>30032</v>
      </c>
      <c r="Z70" s="7">
        <v>31257</v>
      </c>
      <c r="AA70" s="1">
        <v>382</v>
      </c>
      <c r="AB70" s="1">
        <v>0</v>
      </c>
      <c r="AC70" s="1">
        <v>0</v>
      </c>
      <c r="AD70" s="1" t="s">
        <v>342</v>
      </c>
    </row>
    <row r="71" spans="1:33" ht="13">
      <c r="A71" s="1" t="s">
        <v>343</v>
      </c>
      <c r="B71" s="1" t="s">
        <v>34</v>
      </c>
      <c r="C71" s="1" t="s">
        <v>35</v>
      </c>
      <c r="D71" s="1"/>
      <c r="E71" s="6">
        <v>12379</v>
      </c>
      <c r="F71" s="1" t="s">
        <v>84</v>
      </c>
      <c r="G71" s="1">
        <v>1969</v>
      </c>
      <c r="H71" s="1">
        <v>7</v>
      </c>
      <c r="I71" s="7">
        <v>25429</v>
      </c>
      <c r="J71" s="7">
        <v>35869</v>
      </c>
      <c r="K71" s="8" t="s">
        <v>37</v>
      </c>
      <c r="L71" s="9" t="e">
        <f t="shared" ca="1" si="0"/>
        <v>#NAME?</v>
      </c>
      <c r="M71" s="9" t="e">
        <f t="shared" ca="1" si="1"/>
        <v>#NAME?</v>
      </c>
      <c r="N71" s="10" t="e">
        <f t="shared" ca="1" si="2"/>
        <v>#NAME?</v>
      </c>
      <c r="O71" s="1" t="s">
        <v>38</v>
      </c>
      <c r="P71" s="1"/>
      <c r="Q71" s="1" t="s">
        <v>90</v>
      </c>
      <c r="R71" s="1" t="s">
        <v>344</v>
      </c>
      <c r="S71" s="1" t="s">
        <v>345</v>
      </c>
      <c r="T71" s="1" t="s">
        <v>158</v>
      </c>
      <c r="U71" s="1" t="s">
        <v>346</v>
      </c>
      <c r="V71" s="1" t="s">
        <v>49</v>
      </c>
      <c r="W71" s="1" t="s">
        <v>50</v>
      </c>
      <c r="X71" s="1">
        <v>3</v>
      </c>
      <c r="Y71" s="7">
        <v>30129</v>
      </c>
      <c r="Z71" s="7">
        <v>31350</v>
      </c>
      <c r="AA71" s="1">
        <v>482</v>
      </c>
      <c r="AB71" s="1">
        <v>0</v>
      </c>
      <c r="AC71" s="1">
        <v>0</v>
      </c>
      <c r="AD71" s="1" t="s">
        <v>347</v>
      </c>
    </row>
    <row r="72" spans="1:33" ht="13">
      <c r="A72" s="1" t="s">
        <v>348</v>
      </c>
      <c r="B72" s="1" t="s">
        <v>34</v>
      </c>
      <c r="C72" s="1" t="s">
        <v>35</v>
      </c>
      <c r="D72" s="1"/>
      <c r="E72" s="6">
        <v>13345</v>
      </c>
      <c r="F72" s="1" t="s">
        <v>84</v>
      </c>
      <c r="G72" s="1">
        <v>1969</v>
      </c>
      <c r="H72" s="1">
        <v>7</v>
      </c>
      <c r="I72" s="7">
        <v>25429</v>
      </c>
      <c r="J72" s="7">
        <v>31547</v>
      </c>
      <c r="K72" s="8" t="s">
        <v>37</v>
      </c>
      <c r="L72" s="9" t="e">
        <f t="shared" ca="1" si="0"/>
        <v>#NAME?</v>
      </c>
      <c r="M72" s="9" t="e">
        <f t="shared" ca="1" si="1"/>
        <v>#NAME?</v>
      </c>
      <c r="N72" s="10" t="e">
        <f t="shared" ca="1" si="2"/>
        <v>#NAME?</v>
      </c>
      <c r="O72" s="1" t="s">
        <v>38</v>
      </c>
      <c r="P72" s="1"/>
      <c r="Q72" s="1" t="s">
        <v>39</v>
      </c>
      <c r="R72" s="1" t="s">
        <v>349</v>
      </c>
      <c r="S72" s="1" t="s">
        <v>350</v>
      </c>
      <c r="T72" s="1" t="s">
        <v>158</v>
      </c>
      <c r="U72" s="1" t="s">
        <v>228</v>
      </c>
      <c r="V72" s="1" t="s">
        <v>49</v>
      </c>
      <c r="W72" s="1" t="s">
        <v>56</v>
      </c>
      <c r="X72" s="1">
        <v>2</v>
      </c>
      <c r="Y72" s="7">
        <v>30266</v>
      </c>
      <c r="Z72" s="7">
        <v>31166</v>
      </c>
      <c r="AA72" s="1">
        <v>290</v>
      </c>
      <c r="AB72" s="1">
        <v>0</v>
      </c>
      <c r="AC72" s="1">
        <v>0</v>
      </c>
      <c r="AD72" s="1" t="s">
        <v>351</v>
      </c>
      <c r="AE72" s="6">
        <v>35146</v>
      </c>
    </row>
    <row r="73" spans="1:33" ht="13">
      <c r="A73" s="1" t="s">
        <v>352</v>
      </c>
      <c r="B73" s="1" t="s">
        <v>34</v>
      </c>
      <c r="C73" s="1" t="s">
        <v>35</v>
      </c>
      <c r="D73" s="1"/>
      <c r="E73" s="6">
        <v>12349</v>
      </c>
      <c r="F73" s="1" t="s">
        <v>84</v>
      </c>
      <c r="G73" s="1">
        <v>1969</v>
      </c>
      <c r="H73" s="1">
        <v>7</v>
      </c>
      <c r="I73" s="7">
        <v>25429</v>
      </c>
      <c r="J73" s="7">
        <v>31001</v>
      </c>
      <c r="K73" s="8" t="s">
        <v>37</v>
      </c>
      <c r="L73" s="9" t="e">
        <f t="shared" ca="1" si="0"/>
        <v>#NAME?</v>
      </c>
      <c r="M73" s="9" t="e">
        <f t="shared" ca="1" si="1"/>
        <v>#NAME?</v>
      </c>
      <c r="N73" s="10" t="e">
        <f t="shared" ca="1" si="2"/>
        <v>#NAME?</v>
      </c>
      <c r="O73" s="1" t="s">
        <v>38</v>
      </c>
      <c r="P73" s="1"/>
      <c r="Q73" s="1" t="s">
        <v>90</v>
      </c>
      <c r="R73" s="1" t="s">
        <v>353</v>
      </c>
      <c r="S73" s="1" t="s">
        <v>354</v>
      </c>
      <c r="U73" s="1" t="s">
        <v>132</v>
      </c>
      <c r="V73" s="1" t="s">
        <v>49</v>
      </c>
      <c r="W73" s="1" t="s">
        <v>50</v>
      </c>
      <c r="X73" s="1">
        <v>1</v>
      </c>
      <c r="Y73" s="7">
        <v>30410</v>
      </c>
      <c r="Z73" s="7">
        <v>30410</v>
      </c>
      <c r="AA73" s="1">
        <v>120</v>
      </c>
      <c r="AB73" s="1">
        <v>1</v>
      </c>
      <c r="AC73" s="1">
        <v>4</v>
      </c>
      <c r="AD73" s="1" t="s">
        <v>355</v>
      </c>
    </row>
    <row r="74" spans="1:33" ht="13">
      <c r="A74" s="1" t="s">
        <v>356</v>
      </c>
      <c r="B74" s="1" t="s">
        <v>34</v>
      </c>
      <c r="C74" s="1" t="s">
        <v>35</v>
      </c>
      <c r="D74" s="1"/>
      <c r="E74" s="6">
        <v>13831</v>
      </c>
      <c r="F74" s="1" t="s">
        <v>36</v>
      </c>
      <c r="G74" s="1">
        <v>1969</v>
      </c>
      <c r="H74" s="1">
        <v>7</v>
      </c>
      <c r="I74" s="7">
        <v>25429</v>
      </c>
      <c r="J74" s="7">
        <v>33739</v>
      </c>
      <c r="K74" s="8" t="s">
        <v>37</v>
      </c>
      <c r="L74" s="9" t="e">
        <f t="shared" ca="1" si="0"/>
        <v>#NAME?</v>
      </c>
      <c r="M74" s="9" t="e">
        <f t="shared" ca="1" si="1"/>
        <v>#NAME?</v>
      </c>
      <c r="N74" s="10" t="e">
        <f t="shared" ca="1" si="2"/>
        <v>#NAME?</v>
      </c>
      <c r="O74" s="1" t="s">
        <v>38</v>
      </c>
      <c r="P74" s="1"/>
      <c r="Q74" s="1" t="s">
        <v>90</v>
      </c>
      <c r="R74" s="1" t="s">
        <v>357</v>
      </c>
      <c r="S74" s="1" t="s">
        <v>121</v>
      </c>
      <c r="T74" s="1" t="s">
        <v>42</v>
      </c>
      <c r="V74" s="1" t="s">
        <v>358</v>
      </c>
      <c r="W74" s="1" t="s">
        <v>44</v>
      </c>
      <c r="X74" s="1">
        <v>2</v>
      </c>
      <c r="Y74" s="7">
        <v>28349</v>
      </c>
      <c r="Z74" s="7">
        <v>30558</v>
      </c>
      <c r="AA74" s="1">
        <v>199</v>
      </c>
      <c r="AB74" s="1">
        <v>0</v>
      </c>
      <c r="AC74" s="1">
        <v>0</v>
      </c>
      <c r="AD74" s="1" t="s">
        <v>359</v>
      </c>
    </row>
    <row r="75" spans="1:33" ht="13">
      <c r="A75" s="1" t="s">
        <v>365</v>
      </c>
      <c r="B75" s="1" t="s">
        <v>34</v>
      </c>
      <c r="C75" s="1" t="s">
        <v>35</v>
      </c>
      <c r="D75" s="1"/>
      <c r="E75" s="6">
        <v>15723</v>
      </c>
      <c r="F75" s="1" t="s">
        <v>36</v>
      </c>
      <c r="G75" s="1">
        <v>1978</v>
      </c>
      <c r="H75" s="1">
        <v>8</v>
      </c>
      <c r="I75" s="7">
        <v>28506</v>
      </c>
      <c r="J75" s="7">
        <v>33892</v>
      </c>
      <c r="K75" s="8" t="s">
        <v>37</v>
      </c>
      <c r="L75" s="9" t="e">
        <f t="shared" ca="1" si="0"/>
        <v>#NAME?</v>
      </c>
      <c r="M75" s="9" t="e">
        <f t="shared" ca="1" si="1"/>
        <v>#NAME?</v>
      </c>
      <c r="N75" s="10" t="e">
        <f t="shared" ca="1" si="2"/>
        <v>#NAME?</v>
      </c>
      <c r="O75" s="1" t="s">
        <v>38</v>
      </c>
      <c r="P75" s="1"/>
      <c r="Q75" s="1" t="s">
        <v>90</v>
      </c>
      <c r="R75" s="1" t="s">
        <v>366</v>
      </c>
      <c r="S75" s="1" t="s">
        <v>367</v>
      </c>
      <c r="T75" s="1" t="s">
        <v>289</v>
      </c>
      <c r="V75" s="1" t="s">
        <v>71</v>
      </c>
      <c r="W75" s="1" t="s">
        <v>44</v>
      </c>
      <c r="X75" s="1">
        <v>4</v>
      </c>
      <c r="Y75" s="7">
        <v>30558</v>
      </c>
      <c r="Z75" s="7">
        <v>33731</v>
      </c>
      <c r="AA75" s="1">
        <v>789</v>
      </c>
      <c r="AB75" s="1">
        <v>0</v>
      </c>
      <c r="AC75" s="1">
        <v>0</v>
      </c>
      <c r="AD75" s="1" t="s">
        <v>368</v>
      </c>
    </row>
    <row r="76" spans="1:33" ht="13">
      <c r="A76" s="1" t="s">
        <v>369</v>
      </c>
      <c r="B76" s="1" t="s">
        <v>34</v>
      </c>
      <c r="C76" s="1" t="s">
        <v>35</v>
      </c>
      <c r="D76" s="1"/>
      <c r="E76" s="6">
        <v>16608</v>
      </c>
      <c r="F76" s="1" t="s">
        <v>84</v>
      </c>
      <c r="G76" s="1">
        <v>1978</v>
      </c>
      <c r="H76" s="1">
        <v>8</v>
      </c>
      <c r="I76" s="7">
        <v>28506</v>
      </c>
      <c r="J76" s="7">
        <v>33848</v>
      </c>
      <c r="K76" s="8" t="s">
        <v>37</v>
      </c>
      <c r="L76" s="9" t="e">
        <f t="shared" ca="1" si="0"/>
        <v>#NAME?</v>
      </c>
      <c r="M76" s="9" t="e">
        <f t="shared" ca="1" si="1"/>
        <v>#NAME?</v>
      </c>
      <c r="N76" s="10" t="e">
        <f t="shared" ca="1" si="2"/>
        <v>#NAME?</v>
      </c>
      <c r="O76" s="1" t="s">
        <v>38</v>
      </c>
      <c r="P76" s="1"/>
      <c r="Q76" s="1" t="s">
        <v>90</v>
      </c>
      <c r="R76" s="1" t="s">
        <v>370</v>
      </c>
      <c r="S76" s="1" t="s">
        <v>371</v>
      </c>
      <c r="T76" s="1" t="s">
        <v>42</v>
      </c>
      <c r="U76" s="1" t="s">
        <v>372</v>
      </c>
      <c r="V76" s="1" t="s">
        <v>49</v>
      </c>
      <c r="W76" s="1" t="s">
        <v>56</v>
      </c>
      <c r="X76" s="1">
        <v>4</v>
      </c>
      <c r="Y76" s="7">
        <v>31071</v>
      </c>
      <c r="Z76" s="7">
        <v>33493</v>
      </c>
      <c r="AA76" s="1">
        <v>490</v>
      </c>
      <c r="AB76" s="1">
        <v>0</v>
      </c>
      <c r="AC76" s="1">
        <v>0</v>
      </c>
      <c r="AD76" s="1" t="s">
        <v>373</v>
      </c>
    </row>
    <row r="77" spans="1:33" ht="13">
      <c r="A77" s="1" t="s">
        <v>374</v>
      </c>
      <c r="B77" s="1" t="s">
        <v>34</v>
      </c>
      <c r="C77" s="1" t="s">
        <v>35</v>
      </c>
      <c r="D77" s="1"/>
      <c r="E77" s="6">
        <v>16818</v>
      </c>
      <c r="F77" s="1" t="s">
        <v>84</v>
      </c>
      <c r="G77" s="1">
        <v>1978</v>
      </c>
      <c r="H77" s="1">
        <v>8</v>
      </c>
      <c r="I77" s="7">
        <v>28506</v>
      </c>
      <c r="J77" s="7">
        <v>33451</v>
      </c>
      <c r="K77" s="8" t="s">
        <v>37</v>
      </c>
      <c r="L77" s="9" t="e">
        <f t="shared" ca="1" si="0"/>
        <v>#NAME?</v>
      </c>
      <c r="M77" s="9" t="e">
        <f t="shared" ca="1" si="1"/>
        <v>#NAME?</v>
      </c>
      <c r="N77" s="10" t="e">
        <f t="shared" ca="1" si="2"/>
        <v>#NAME?</v>
      </c>
      <c r="O77" s="1" t="s">
        <v>38</v>
      </c>
      <c r="P77" s="1"/>
      <c r="Q77" s="1" t="s">
        <v>90</v>
      </c>
      <c r="R77" s="1" t="s">
        <v>375</v>
      </c>
      <c r="S77" s="1" t="s">
        <v>376</v>
      </c>
      <c r="U77" s="1" t="s">
        <v>377</v>
      </c>
      <c r="V77" s="1" t="s">
        <v>71</v>
      </c>
      <c r="W77" s="1" t="s">
        <v>44</v>
      </c>
      <c r="X77" s="1">
        <v>3</v>
      </c>
      <c r="Y77" s="7">
        <v>30924</v>
      </c>
      <c r="Z77" s="7">
        <v>33356</v>
      </c>
      <c r="AA77" s="1">
        <v>463</v>
      </c>
      <c r="AB77" s="1">
        <v>0</v>
      </c>
      <c r="AC77" s="1">
        <v>0</v>
      </c>
      <c r="AD77" s="1" t="s">
        <v>378</v>
      </c>
    </row>
    <row r="78" spans="1:33" ht="13">
      <c r="A78" s="1" t="s">
        <v>379</v>
      </c>
      <c r="B78" s="1" t="s">
        <v>34</v>
      </c>
      <c r="C78" s="1" t="s">
        <v>35</v>
      </c>
      <c r="D78" s="1"/>
      <c r="E78" s="6">
        <v>17015</v>
      </c>
      <c r="F78" s="1" t="s">
        <v>84</v>
      </c>
      <c r="G78" s="1">
        <v>1978</v>
      </c>
      <c r="H78" s="1">
        <v>8</v>
      </c>
      <c r="I78" s="7">
        <v>28506</v>
      </c>
      <c r="J78" s="7">
        <v>34547</v>
      </c>
      <c r="K78" s="8" t="s">
        <v>37</v>
      </c>
      <c r="L78" s="9" t="e">
        <f t="shared" ca="1" si="0"/>
        <v>#NAME?</v>
      </c>
      <c r="M78" s="9" t="e">
        <f t="shared" ca="1" si="1"/>
        <v>#NAME?</v>
      </c>
      <c r="N78" s="10" t="e">
        <f t="shared" ca="1" si="2"/>
        <v>#NAME?</v>
      </c>
      <c r="O78" s="1" t="s">
        <v>38</v>
      </c>
      <c r="P78" s="1"/>
      <c r="Q78" s="1" t="s">
        <v>90</v>
      </c>
      <c r="R78" s="1" t="s">
        <v>380</v>
      </c>
      <c r="S78" s="1" t="s">
        <v>381</v>
      </c>
      <c r="T78" s="1" t="s">
        <v>346</v>
      </c>
      <c r="U78" s="1" t="s">
        <v>175</v>
      </c>
      <c r="V78" s="1" t="s">
        <v>49</v>
      </c>
      <c r="W78" s="1" t="s">
        <v>50</v>
      </c>
      <c r="X78" s="1">
        <v>4</v>
      </c>
      <c r="Y78" s="7">
        <v>31286</v>
      </c>
      <c r="Z78" s="7">
        <v>34305</v>
      </c>
      <c r="AA78" s="1">
        <v>645</v>
      </c>
      <c r="AB78" s="1">
        <v>0</v>
      </c>
      <c r="AC78" s="1">
        <v>0</v>
      </c>
      <c r="AD78" s="1" t="s">
        <v>382</v>
      </c>
    </row>
    <row r="79" spans="1:33" ht="13">
      <c r="A79" s="1" t="s">
        <v>383</v>
      </c>
      <c r="B79" s="1" t="s">
        <v>34</v>
      </c>
      <c r="C79" s="1" t="s">
        <v>35</v>
      </c>
      <c r="D79" s="1"/>
      <c r="E79" s="6">
        <v>15824</v>
      </c>
      <c r="F79" s="1" t="s">
        <v>84</v>
      </c>
      <c r="G79" s="1">
        <v>1978</v>
      </c>
      <c r="H79" s="1">
        <v>8</v>
      </c>
      <c r="I79" s="7">
        <v>28506</v>
      </c>
      <c r="J79" s="7">
        <v>33786</v>
      </c>
      <c r="K79" s="8" t="s">
        <v>37</v>
      </c>
      <c r="L79" s="9" t="e">
        <f t="shared" ca="1" si="0"/>
        <v>#NAME?</v>
      </c>
      <c r="M79" s="9" t="e">
        <f t="shared" ca="1" si="1"/>
        <v>#NAME?</v>
      </c>
      <c r="N79" s="10" t="e">
        <f t="shared" ca="1" si="2"/>
        <v>#NAME?</v>
      </c>
      <c r="O79" s="1" t="s">
        <v>38</v>
      </c>
      <c r="P79" s="1"/>
      <c r="Q79" s="1" t="s">
        <v>90</v>
      </c>
      <c r="R79" s="1" t="s">
        <v>384</v>
      </c>
      <c r="S79" s="1" t="s">
        <v>385</v>
      </c>
      <c r="U79" s="1" t="s">
        <v>386</v>
      </c>
      <c r="V79" s="1" t="s">
        <v>71</v>
      </c>
      <c r="W79" s="1" t="s">
        <v>44</v>
      </c>
      <c r="X79" s="1">
        <v>3</v>
      </c>
      <c r="Y79" s="7">
        <v>31215</v>
      </c>
      <c r="Z79" s="7">
        <v>33493</v>
      </c>
      <c r="AA79" s="1">
        <v>404</v>
      </c>
      <c r="AB79" s="1">
        <v>0</v>
      </c>
      <c r="AC79" s="1">
        <v>0</v>
      </c>
      <c r="AD79" s="1" t="s">
        <v>387</v>
      </c>
    </row>
    <row r="80" spans="1:33" ht="13">
      <c r="A80" s="1" t="s">
        <v>388</v>
      </c>
      <c r="B80" s="1" t="s">
        <v>34</v>
      </c>
      <c r="C80" s="1" t="s">
        <v>35</v>
      </c>
      <c r="D80" s="1"/>
      <c r="E80" s="6">
        <v>14273</v>
      </c>
      <c r="F80" s="1" t="s">
        <v>124</v>
      </c>
      <c r="G80" s="1">
        <v>1978</v>
      </c>
      <c r="H80" s="1">
        <v>8</v>
      </c>
      <c r="I80" s="7">
        <v>28506</v>
      </c>
      <c r="J80" s="7">
        <v>31413</v>
      </c>
      <c r="K80" s="8" t="s">
        <v>37</v>
      </c>
      <c r="L80" s="9" t="e">
        <f t="shared" ca="1" si="0"/>
        <v>#NAME?</v>
      </c>
      <c r="M80" s="9" t="e">
        <f t="shared" ca="1" si="1"/>
        <v>#NAME?</v>
      </c>
      <c r="N80" s="10" t="e">
        <f t="shared" ca="1" si="2"/>
        <v>#NAME?</v>
      </c>
      <c r="O80" s="1" t="s">
        <v>38</v>
      </c>
      <c r="P80" s="1"/>
      <c r="Q80" s="1" t="s">
        <v>90</v>
      </c>
      <c r="R80" s="1" t="s">
        <v>389</v>
      </c>
      <c r="S80" s="1" t="s">
        <v>390</v>
      </c>
      <c r="T80" s="1" t="s">
        <v>62</v>
      </c>
      <c r="U80" s="1" t="s">
        <v>391</v>
      </c>
      <c r="V80" s="1" t="s">
        <v>49</v>
      </c>
      <c r="W80" s="1" t="s">
        <v>50</v>
      </c>
      <c r="X80" s="1">
        <v>2</v>
      </c>
      <c r="Y80" s="7">
        <v>30485</v>
      </c>
      <c r="Z80" s="7">
        <v>31215</v>
      </c>
      <c r="AA80" s="1">
        <v>316</v>
      </c>
      <c r="AB80" s="1">
        <v>0</v>
      </c>
      <c r="AC80" s="1">
        <v>0</v>
      </c>
      <c r="AD80" s="1" t="s">
        <v>392</v>
      </c>
    </row>
    <row r="81" spans="1:33" ht="13">
      <c r="A81" s="15" t="s">
        <v>393</v>
      </c>
      <c r="B81" s="15" t="s">
        <v>394</v>
      </c>
      <c r="C81" s="15" t="s">
        <v>35</v>
      </c>
      <c r="D81" s="15"/>
      <c r="E81" s="16">
        <v>18134</v>
      </c>
      <c r="F81" s="15" t="s">
        <v>124</v>
      </c>
      <c r="G81" s="15">
        <v>1978</v>
      </c>
      <c r="H81" s="15">
        <v>8</v>
      </c>
      <c r="I81" s="7">
        <v>28506</v>
      </c>
      <c r="J81" s="17">
        <v>42853</v>
      </c>
      <c r="K81" s="8" t="s">
        <v>37</v>
      </c>
      <c r="L81" s="9" t="e">
        <f t="shared" ca="1" si="0"/>
        <v>#NAME?</v>
      </c>
      <c r="M81" s="9" t="e">
        <f t="shared" ca="1" si="1"/>
        <v>#NAME?</v>
      </c>
      <c r="N81" s="10" t="e">
        <f t="shared" ca="1" si="2"/>
        <v>#NAME?</v>
      </c>
      <c r="O81" s="15" t="s">
        <v>38</v>
      </c>
      <c r="P81" s="15"/>
      <c r="Q81" s="15" t="s">
        <v>90</v>
      </c>
      <c r="R81" s="15" t="s">
        <v>326</v>
      </c>
      <c r="S81" s="15" t="s">
        <v>157</v>
      </c>
      <c r="T81" s="15" t="s">
        <v>170</v>
      </c>
      <c r="U81" s="15" t="s">
        <v>395</v>
      </c>
      <c r="V81" s="18"/>
      <c r="W81" s="18"/>
      <c r="X81" s="15">
        <v>1</v>
      </c>
      <c r="Y81" s="7">
        <v>30994</v>
      </c>
      <c r="Z81" s="7">
        <v>30994</v>
      </c>
      <c r="AA81" s="15">
        <v>191</v>
      </c>
      <c r="AB81" s="15">
        <v>0</v>
      </c>
      <c r="AC81" s="15">
        <v>0</v>
      </c>
      <c r="AD81" s="15" t="s">
        <v>396</v>
      </c>
      <c r="AE81" s="18"/>
      <c r="AF81" s="18"/>
      <c r="AG81" s="18"/>
    </row>
    <row r="82" spans="1:33" ht="13">
      <c r="A82" s="1" t="s">
        <v>397</v>
      </c>
      <c r="B82" s="1" t="s">
        <v>34</v>
      </c>
      <c r="C82" s="1" t="s">
        <v>35</v>
      </c>
      <c r="D82" s="1"/>
      <c r="E82" s="6">
        <v>17845</v>
      </c>
      <c r="F82" s="1" t="s">
        <v>36</v>
      </c>
      <c r="G82" s="1">
        <v>1978</v>
      </c>
      <c r="H82" s="1">
        <v>8</v>
      </c>
      <c r="I82" s="7">
        <v>28506</v>
      </c>
      <c r="J82" s="7">
        <v>31700</v>
      </c>
      <c r="K82" s="8" t="s">
        <v>37</v>
      </c>
      <c r="L82" s="9" t="e">
        <f t="shared" ca="1" si="0"/>
        <v>#NAME?</v>
      </c>
      <c r="M82" s="9" t="e">
        <f t="shared" ca="1" si="1"/>
        <v>#NAME?</v>
      </c>
      <c r="N82" s="10" t="e">
        <f t="shared" ca="1" si="2"/>
        <v>#NAME?</v>
      </c>
      <c r="O82" s="1" t="s">
        <v>38</v>
      </c>
      <c r="P82" s="1"/>
      <c r="Q82" s="1" t="s">
        <v>90</v>
      </c>
      <c r="R82" s="1" t="s">
        <v>398</v>
      </c>
      <c r="S82" s="1" t="s">
        <v>399</v>
      </c>
      <c r="T82" s="1" t="s">
        <v>400</v>
      </c>
      <c r="V82" s="1" t="s">
        <v>71</v>
      </c>
      <c r="W82" s="1" t="s">
        <v>44</v>
      </c>
      <c r="X82" s="1">
        <v>2</v>
      </c>
      <c r="Y82" s="7">
        <v>30558</v>
      </c>
      <c r="Z82" s="7">
        <v>30994</v>
      </c>
      <c r="AA82" s="1">
        <v>336</v>
      </c>
      <c r="AB82" s="1">
        <v>2</v>
      </c>
      <c r="AC82" s="1">
        <v>12</v>
      </c>
      <c r="AD82" s="1" t="s">
        <v>401</v>
      </c>
    </row>
    <row r="83" spans="1:33" ht="13">
      <c r="A83" s="1" t="s">
        <v>402</v>
      </c>
      <c r="B83" s="1" t="s">
        <v>34</v>
      </c>
      <c r="C83" s="1" t="s">
        <v>35</v>
      </c>
      <c r="D83" s="1"/>
      <c r="E83" s="6">
        <v>17105</v>
      </c>
      <c r="F83" s="1" t="s">
        <v>36</v>
      </c>
      <c r="G83" s="1">
        <v>1978</v>
      </c>
      <c r="H83" s="1">
        <v>8</v>
      </c>
      <c r="I83" s="7">
        <v>28506</v>
      </c>
      <c r="J83" s="7">
        <v>35384</v>
      </c>
      <c r="K83" s="8" t="s">
        <v>37</v>
      </c>
      <c r="L83" s="9" t="e">
        <f t="shared" ca="1" si="0"/>
        <v>#NAME?</v>
      </c>
      <c r="M83" s="9" t="e">
        <f t="shared" ca="1" si="1"/>
        <v>#NAME?</v>
      </c>
      <c r="N83" s="10" t="e">
        <f t="shared" ca="1" si="2"/>
        <v>#NAME?</v>
      </c>
      <c r="O83" s="1" t="s">
        <v>38</v>
      </c>
      <c r="P83" s="1"/>
      <c r="Q83" s="1" t="s">
        <v>90</v>
      </c>
      <c r="R83" s="1" t="s">
        <v>403</v>
      </c>
      <c r="S83" s="1" t="s">
        <v>404</v>
      </c>
      <c r="T83" s="1" t="s">
        <v>42</v>
      </c>
      <c r="V83" s="1" t="s">
        <v>71</v>
      </c>
      <c r="W83" s="1" t="s">
        <v>44</v>
      </c>
      <c r="X83" s="1">
        <v>5</v>
      </c>
      <c r="Y83" s="7">
        <v>30715</v>
      </c>
      <c r="Z83" s="7">
        <v>34877</v>
      </c>
      <c r="AA83" s="1">
        <v>868</v>
      </c>
      <c r="AB83" s="1">
        <v>0</v>
      </c>
      <c r="AC83" s="1">
        <v>0</v>
      </c>
      <c r="AD83" s="1" t="s">
        <v>405</v>
      </c>
    </row>
    <row r="84" spans="1:33" ht="13">
      <c r="A84" s="1" t="s">
        <v>406</v>
      </c>
      <c r="B84" s="1" t="s">
        <v>34</v>
      </c>
      <c r="C84" s="1" t="s">
        <v>35</v>
      </c>
      <c r="D84" s="1"/>
      <c r="E84" s="6">
        <v>14983</v>
      </c>
      <c r="F84" s="1" t="s">
        <v>84</v>
      </c>
      <c r="G84" s="1">
        <v>1978</v>
      </c>
      <c r="H84" s="1">
        <v>8</v>
      </c>
      <c r="I84" s="7">
        <v>28506</v>
      </c>
      <c r="J84" s="7">
        <v>38640</v>
      </c>
      <c r="K84" s="8" t="s">
        <v>37</v>
      </c>
      <c r="L84" s="9" t="e">
        <f t="shared" ca="1" si="0"/>
        <v>#NAME?</v>
      </c>
      <c r="M84" s="9" t="e">
        <f t="shared" ca="1" si="1"/>
        <v>#NAME?</v>
      </c>
      <c r="N84" s="10" t="e">
        <f t="shared" ca="1" si="2"/>
        <v>#NAME?</v>
      </c>
      <c r="O84" s="1" t="s">
        <v>38</v>
      </c>
      <c r="P84" s="1"/>
      <c r="Q84" s="1" t="s">
        <v>90</v>
      </c>
      <c r="R84" s="1" t="s">
        <v>407</v>
      </c>
      <c r="S84" s="1" t="s">
        <v>408</v>
      </c>
      <c r="U84" s="1" t="s">
        <v>409</v>
      </c>
      <c r="V84" s="1" t="s">
        <v>49</v>
      </c>
      <c r="W84" s="1" t="s">
        <v>50</v>
      </c>
      <c r="X84" s="1">
        <v>3</v>
      </c>
      <c r="Y84" s="7">
        <v>31166</v>
      </c>
      <c r="Z84" s="7">
        <v>33566</v>
      </c>
      <c r="AA84" s="1">
        <v>455</v>
      </c>
      <c r="AB84" s="1">
        <v>0</v>
      </c>
      <c r="AC84" s="1">
        <v>0</v>
      </c>
      <c r="AD84" s="1" t="s">
        <v>410</v>
      </c>
    </row>
    <row r="85" spans="1:33" ht="13">
      <c r="A85" s="1" t="s">
        <v>411</v>
      </c>
      <c r="B85" s="1" t="s">
        <v>34</v>
      </c>
      <c r="C85" s="1" t="s">
        <v>35</v>
      </c>
      <c r="D85" s="1"/>
      <c r="E85" s="6">
        <v>14495</v>
      </c>
      <c r="F85" s="1" t="s">
        <v>84</v>
      </c>
      <c r="G85" s="1">
        <v>1978</v>
      </c>
      <c r="H85" s="1">
        <v>8</v>
      </c>
      <c r="I85" s="7">
        <v>28506</v>
      </c>
      <c r="J85" s="12">
        <v>32676</v>
      </c>
      <c r="K85" s="13" t="s">
        <v>59</v>
      </c>
      <c r="L85" s="9" t="e">
        <f t="shared" ca="1" si="0"/>
        <v>#NAME?</v>
      </c>
      <c r="M85" s="9" t="e">
        <f t="shared" ca="1" si="1"/>
        <v>#NAME?</v>
      </c>
      <c r="N85" s="10" t="e">
        <f t="shared" ca="1" si="2"/>
        <v>#NAME?</v>
      </c>
      <c r="O85" s="1" t="s">
        <v>38</v>
      </c>
      <c r="P85" s="1"/>
      <c r="Q85" s="1" t="s">
        <v>39</v>
      </c>
      <c r="R85" s="1" t="s">
        <v>412</v>
      </c>
      <c r="S85" s="1" t="s">
        <v>385</v>
      </c>
      <c r="U85" s="1" t="s">
        <v>216</v>
      </c>
      <c r="X85" s="1">
        <v>1</v>
      </c>
      <c r="Y85" s="7">
        <v>31149</v>
      </c>
      <c r="Z85" s="7">
        <v>31149</v>
      </c>
      <c r="AA85" s="1">
        <v>167</v>
      </c>
      <c r="AB85" s="1">
        <v>1</v>
      </c>
      <c r="AC85" s="1">
        <v>3</v>
      </c>
      <c r="AD85" s="1" t="s">
        <v>413</v>
      </c>
      <c r="AE85" s="6">
        <v>32676</v>
      </c>
    </row>
    <row r="86" spans="1:33" ht="13">
      <c r="A86" s="1" t="s">
        <v>414</v>
      </c>
      <c r="B86" s="1" t="s">
        <v>34</v>
      </c>
      <c r="C86" s="1" t="s">
        <v>35</v>
      </c>
      <c r="D86" s="1"/>
      <c r="E86" s="6">
        <v>17102</v>
      </c>
      <c r="F86" s="1" t="s">
        <v>84</v>
      </c>
      <c r="G86" s="1">
        <v>1978</v>
      </c>
      <c r="H86" s="1">
        <v>8</v>
      </c>
      <c r="I86" s="7">
        <v>28506</v>
      </c>
      <c r="J86" s="7">
        <v>30848</v>
      </c>
      <c r="K86" s="8" t="s">
        <v>37</v>
      </c>
      <c r="L86" s="9" t="e">
        <f t="shared" ca="1" si="0"/>
        <v>#NAME?</v>
      </c>
      <c r="M86" s="9" t="e">
        <f t="shared" ca="1" si="1"/>
        <v>#NAME?</v>
      </c>
      <c r="N86" s="10" t="e">
        <f t="shared" ca="1" si="2"/>
        <v>#NAME?</v>
      </c>
      <c r="O86" s="1" t="s">
        <v>38</v>
      </c>
      <c r="P86" s="1"/>
      <c r="Q86" s="1" t="s">
        <v>90</v>
      </c>
      <c r="R86" s="1" t="s">
        <v>245</v>
      </c>
      <c r="S86" s="1" t="s">
        <v>415</v>
      </c>
      <c r="T86" s="1" t="s">
        <v>62</v>
      </c>
      <c r="U86" s="1" t="s">
        <v>416</v>
      </c>
      <c r="X86" s="1">
        <v>1</v>
      </c>
      <c r="Y86" s="7">
        <v>30778</v>
      </c>
      <c r="Z86" s="7">
        <v>30778</v>
      </c>
      <c r="AA86" s="1">
        <v>167</v>
      </c>
      <c r="AB86" s="1">
        <v>0</v>
      </c>
      <c r="AC86" s="1">
        <v>0</v>
      </c>
      <c r="AD86" s="1" t="s">
        <v>417</v>
      </c>
    </row>
    <row r="87" spans="1:33" ht="13">
      <c r="A87" s="1" t="s">
        <v>418</v>
      </c>
      <c r="B87" s="1" t="s">
        <v>34</v>
      </c>
      <c r="C87" s="1" t="s">
        <v>35</v>
      </c>
      <c r="D87" s="1"/>
      <c r="E87" s="6">
        <v>15077</v>
      </c>
      <c r="F87" s="1" t="s">
        <v>84</v>
      </c>
      <c r="G87" s="1">
        <v>1978</v>
      </c>
      <c r="H87" s="1">
        <v>8</v>
      </c>
      <c r="I87" s="7">
        <v>28506</v>
      </c>
      <c r="J87" s="7">
        <v>33025</v>
      </c>
      <c r="K87" s="8" t="s">
        <v>37</v>
      </c>
      <c r="L87" s="9" t="e">
        <f t="shared" ca="1" si="0"/>
        <v>#NAME?</v>
      </c>
      <c r="M87" s="9" t="e">
        <f t="shared" ca="1" si="1"/>
        <v>#NAME?</v>
      </c>
      <c r="N87" s="10" t="e">
        <f t="shared" ca="1" si="2"/>
        <v>#NAME?</v>
      </c>
      <c r="O87" s="1" t="s">
        <v>38</v>
      </c>
      <c r="P87" s="1"/>
      <c r="Q87" s="1" t="s">
        <v>90</v>
      </c>
      <c r="R87" s="1" t="s">
        <v>419</v>
      </c>
      <c r="S87" s="1" t="s">
        <v>420</v>
      </c>
      <c r="T87" s="1" t="s">
        <v>158</v>
      </c>
      <c r="U87" s="1" t="s">
        <v>132</v>
      </c>
      <c r="V87" s="1" t="s">
        <v>71</v>
      </c>
      <c r="W87" s="1" t="s">
        <v>44</v>
      </c>
      <c r="X87" s="1">
        <v>3</v>
      </c>
      <c r="Y87" s="7">
        <v>30485</v>
      </c>
      <c r="Z87" s="7">
        <v>32415</v>
      </c>
      <c r="AA87" s="1">
        <v>435</v>
      </c>
      <c r="AB87" s="1">
        <v>0</v>
      </c>
      <c r="AC87" s="1">
        <v>0</v>
      </c>
      <c r="AD87" s="1" t="s">
        <v>421</v>
      </c>
    </row>
    <row r="88" spans="1:33" ht="13">
      <c r="A88" s="1" t="s">
        <v>422</v>
      </c>
      <c r="B88" s="1" t="s">
        <v>34</v>
      </c>
      <c r="C88" s="1" t="s">
        <v>35</v>
      </c>
      <c r="D88" s="1"/>
      <c r="E88" s="6">
        <v>18974</v>
      </c>
      <c r="F88" s="1" t="s">
        <v>124</v>
      </c>
      <c r="G88" s="1">
        <v>1978</v>
      </c>
      <c r="H88" s="1">
        <v>8</v>
      </c>
      <c r="I88" s="7">
        <v>28506</v>
      </c>
      <c r="J88" s="7">
        <v>39583</v>
      </c>
      <c r="K88" s="8" t="s">
        <v>37</v>
      </c>
      <c r="L88" s="9" t="e">
        <f t="shared" ca="1" si="0"/>
        <v>#NAME?</v>
      </c>
      <c r="M88" s="9" t="e">
        <f t="shared" ca="1" si="1"/>
        <v>#NAME?</v>
      </c>
      <c r="N88" s="10" t="e">
        <f t="shared" ca="1" si="2"/>
        <v>#NAME?</v>
      </c>
      <c r="O88" s="1" t="s">
        <v>38</v>
      </c>
      <c r="P88" s="1"/>
      <c r="Q88" s="1" t="s">
        <v>90</v>
      </c>
      <c r="R88" s="1" t="s">
        <v>423</v>
      </c>
      <c r="S88" s="1" t="s">
        <v>424</v>
      </c>
      <c r="T88" s="1" t="s">
        <v>328</v>
      </c>
      <c r="U88" s="1" t="s">
        <v>425</v>
      </c>
      <c r="X88" s="1">
        <v>5</v>
      </c>
      <c r="Y88" s="7">
        <v>30924</v>
      </c>
      <c r="Z88" s="7">
        <v>36363</v>
      </c>
      <c r="AA88" s="1">
        <v>770</v>
      </c>
      <c r="AB88" s="1">
        <v>0</v>
      </c>
      <c r="AC88" s="1">
        <v>0</v>
      </c>
      <c r="AD88" s="1" t="s">
        <v>426</v>
      </c>
    </row>
    <row r="89" spans="1:33" ht="13">
      <c r="A89" s="1" t="s">
        <v>427</v>
      </c>
      <c r="B89" s="1" t="s">
        <v>34</v>
      </c>
      <c r="C89" s="1" t="s">
        <v>35</v>
      </c>
      <c r="D89" s="1"/>
      <c r="E89" s="6">
        <v>16378</v>
      </c>
      <c r="F89" s="1" t="s">
        <v>124</v>
      </c>
      <c r="G89" s="1">
        <v>1978</v>
      </c>
      <c r="H89" s="1">
        <v>8</v>
      </c>
      <c r="I89" s="7">
        <v>28506</v>
      </c>
      <c r="J89" s="7">
        <v>37118</v>
      </c>
      <c r="K89" s="8" t="s">
        <v>37</v>
      </c>
      <c r="L89" s="9" t="e">
        <f t="shared" ca="1" si="0"/>
        <v>#NAME?</v>
      </c>
      <c r="M89" s="9" t="e">
        <f t="shared" ca="1" si="1"/>
        <v>#NAME?</v>
      </c>
      <c r="N89" s="10" t="e">
        <f t="shared" ca="1" si="2"/>
        <v>#NAME?</v>
      </c>
      <c r="O89" s="1" t="s">
        <v>38</v>
      </c>
      <c r="P89" s="1"/>
      <c r="Q89" s="1" t="s">
        <v>90</v>
      </c>
      <c r="R89" s="1" t="s">
        <v>428</v>
      </c>
      <c r="S89" s="1" t="s">
        <v>429</v>
      </c>
      <c r="T89" s="1" t="s">
        <v>305</v>
      </c>
      <c r="U89" s="1" t="s">
        <v>430</v>
      </c>
      <c r="X89" s="1">
        <v>5</v>
      </c>
      <c r="Y89" s="7">
        <v>31149</v>
      </c>
      <c r="Z89" s="7">
        <v>35117</v>
      </c>
      <c r="AA89" s="1">
        <v>1211</v>
      </c>
      <c r="AB89" s="1">
        <v>4</v>
      </c>
      <c r="AC89" s="1">
        <v>25</v>
      </c>
      <c r="AD89" s="1" t="s">
        <v>431</v>
      </c>
    </row>
    <row r="90" spans="1:33" ht="13">
      <c r="A90" s="1" t="s">
        <v>432</v>
      </c>
      <c r="B90" s="1" t="s">
        <v>394</v>
      </c>
      <c r="C90" s="1" t="s">
        <v>35</v>
      </c>
      <c r="D90" s="1"/>
      <c r="E90" s="6">
        <v>15720</v>
      </c>
      <c r="F90" s="1" t="s">
        <v>124</v>
      </c>
      <c r="G90" s="1">
        <v>1978</v>
      </c>
      <c r="H90" s="1">
        <v>8</v>
      </c>
      <c r="I90" s="7">
        <v>28506</v>
      </c>
      <c r="J90" s="7">
        <v>40939</v>
      </c>
      <c r="K90" s="8" t="s">
        <v>37</v>
      </c>
      <c r="L90" s="9" t="e">
        <f t="shared" ca="1" si="0"/>
        <v>#NAME?</v>
      </c>
      <c r="M90" s="9" t="e">
        <f t="shared" ca="1" si="1"/>
        <v>#NAME?</v>
      </c>
      <c r="N90" s="10" t="e">
        <f t="shared" ca="1" si="2"/>
        <v>#NAME?</v>
      </c>
      <c r="O90" s="1" t="s">
        <v>38</v>
      </c>
      <c r="P90" s="1"/>
      <c r="Q90" s="1" t="s">
        <v>90</v>
      </c>
      <c r="R90" s="1" t="s">
        <v>433</v>
      </c>
      <c r="S90" s="1" t="s">
        <v>242</v>
      </c>
      <c r="T90" s="1" t="s">
        <v>170</v>
      </c>
      <c r="U90" s="1" t="s">
        <v>434</v>
      </c>
      <c r="X90" s="1">
        <v>5</v>
      </c>
      <c r="Y90" s="7">
        <v>31215</v>
      </c>
      <c r="Z90" s="7">
        <v>35146</v>
      </c>
      <c r="AA90" s="1">
        <v>5354</v>
      </c>
      <c r="AB90" s="1">
        <v>0</v>
      </c>
      <c r="AC90" s="1">
        <v>0</v>
      </c>
      <c r="AD90" s="1" t="s">
        <v>435</v>
      </c>
    </row>
    <row r="91" spans="1:33" ht="13">
      <c r="A91" s="1" t="s">
        <v>436</v>
      </c>
      <c r="B91" s="1" t="s">
        <v>34</v>
      </c>
      <c r="C91" s="1" t="s">
        <v>35</v>
      </c>
      <c r="D91" s="1"/>
      <c r="E91" s="6">
        <v>15932</v>
      </c>
      <c r="F91" s="1" t="s">
        <v>36</v>
      </c>
      <c r="G91" s="1">
        <v>1978</v>
      </c>
      <c r="H91" s="1">
        <v>8</v>
      </c>
      <c r="I91" s="7">
        <v>28506</v>
      </c>
      <c r="J91" s="7">
        <v>32640</v>
      </c>
      <c r="K91" s="8" t="s">
        <v>37</v>
      </c>
      <c r="L91" s="9" t="e">
        <f t="shared" ca="1" si="0"/>
        <v>#NAME?</v>
      </c>
      <c r="M91" s="9" t="e">
        <f t="shared" ca="1" si="1"/>
        <v>#NAME?</v>
      </c>
      <c r="N91" s="10" t="e">
        <f t="shared" ca="1" si="2"/>
        <v>#NAME?</v>
      </c>
      <c r="O91" s="1" t="s">
        <v>38</v>
      </c>
      <c r="P91" s="1"/>
      <c r="Q91" s="1" t="s">
        <v>90</v>
      </c>
      <c r="R91" s="1" t="s">
        <v>437</v>
      </c>
      <c r="S91" s="1" t="s">
        <v>438</v>
      </c>
      <c r="T91" s="1" t="s">
        <v>42</v>
      </c>
      <c r="V91" s="1" t="s">
        <v>71</v>
      </c>
      <c r="W91" s="1" t="s">
        <v>44</v>
      </c>
      <c r="X91" s="1">
        <v>1</v>
      </c>
      <c r="Y91" s="7">
        <v>30960</v>
      </c>
      <c r="Z91" s="7">
        <v>30960</v>
      </c>
      <c r="AA91" s="1">
        <v>197</v>
      </c>
      <c r="AB91" s="1">
        <v>0</v>
      </c>
      <c r="AC91" s="1">
        <v>0</v>
      </c>
      <c r="AD91" s="1" t="s">
        <v>439</v>
      </c>
    </row>
    <row r="92" spans="1:33" ht="13">
      <c r="A92" s="1" t="s">
        <v>445</v>
      </c>
      <c r="B92" s="1" t="s">
        <v>34</v>
      </c>
      <c r="C92" s="1" t="s">
        <v>35</v>
      </c>
      <c r="D92" s="1"/>
      <c r="E92" s="6">
        <v>16690</v>
      </c>
      <c r="F92" s="1" t="s">
        <v>84</v>
      </c>
      <c r="G92" s="1">
        <v>1978</v>
      </c>
      <c r="H92" s="1">
        <v>8</v>
      </c>
      <c r="I92" s="7">
        <v>28506</v>
      </c>
      <c r="J92" s="7">
        <v>33131</v>
      </c>
      <c r="K92" s="8" t="s">
        <v>37</v>
      </c>
      <c r="L92" s="9" t="e">
        <f t="shared" ca="1" si="0"/>
        <v>#NAME?</v>
      </c>
      <c r="M92" s="9" t="e">
        <f t="shared" ca="1" si="1"/>
        <v>#NAME?</v>
      </c>
      <c r="N92" s="10" t="e">
        <f t="shared" ca="1" si="2"/>
        <v>#NAME?</v>
      </c>
      <c r="O92" s="1" t="s">
        <v>38</v>
      </c>
      <c r="P92" s="1"/>
      <c r="Q92" s="1" t="s">
        <v>90</v>
      </c>
      <c r="R92" s="1" t="s">
        <v>446</v>
      </c>
      <c r="S92" s="1" t="s">
        <v>354</v>
      </c>
      <c r="T92" s="1" t="s">
        <v>447</v>
      </c>
      <c r="U92" s="1" t="s">
        <v>42</v>
      </c>
      <c r="V92" s="1" t="s">
        <v>49</v>
      </c>
      <c r="W92" s="1" t="s">
        <v>50</v>
      </c>
      <c r="X92" s="1">
        <v>3</v>
      </c>
      <c r="Y92" s="7">
        <v>30924</v>
      </c>
      <c r="Z92" s="7">
        <v>32932</v>
      </c>
      <c r="AA92" s="1">
        <v>356</v>
      </c>
      <c r="AB92" s="1">
        <v>0</v>
      </c>
      <c r="AC92" s="1">
        <v>0</v>
      </c>
      <c r="AD92" s="1" t="s">
        <v>448</v>
      </c>
    </row>
    <row r="93" spans="1:33" ht="13">
      <c r="A93" s="1" t="s">
        <v>449</v>
      </c>
      <c r="B93" s="1" t="s">
        <v>34</v>
      </c>
      <c r="C93" s="1" t="s">
        <v>35</v>
      </c>
      <c r="D93" s="1"/>
      <c r="E93" s="6">
        <v>17102</v>
      </c>
      <c r="F93" s="1" t="s">
        <v>84</v>
      </c>
      <c r="G93" s="1">
        <v>1978</v>
      </c>
      <c r="H93" s="1">
        <v>8</v>
      </c>
      <c r="I93" s="7">
        <v>28506</v>
      </c>
      <c r="J93" s="7">
        <v>34759</v>
      </c>
      <c r="K93" s="8" t="s">
        <v>37</v>
      </c>
      <c r="L93" s="9" t="e">
        <f t="shared" ca="1" si="0"/>
        <v>#NAME?</v>
      </c>
      <c r="M93" s="9" t="e">
        <f t="shared" ca="1" si="1"/>
        <v>#NAME?</v>
      </c>
      <c r="N93" s="10" t="e">
        <f t="shared" ca="1" si="2"/>
        <v>#NAME?</v>
      </c>
      <c r="O93" s="1" t="s">
        <v>38</v>
      </c>
      <c r="P93" s="1"/>
      <c r="Q93" s="1" t="s">
        <v>90</v>
      </c>
      <c r="R93" s="1" t="s">
        <v>450</v>
      </c>
      <c r="S93" s="1" t="s">
        <v>451</v>
      </c>
      <c r="T93" s="1" t="s">
        <v>87</v>
      </c>
      <c r="U93" s="1" t="s">
        <v>452</v>
      </c>
      <c r="V93" s="1" t="s">
        <v>49</v>
      </c>
      <c r="W93" s="1" t="s">
        <v>50</v>
      </c>
      <c r="X93" s="1">
        <v>4</v>
      </c>
      <c r="Y93" s="7">
        <v>31215</v>
      </c>
      <c r="Z93" s="7">
        <v>34085</v>
      </c>
      <c r="AA93" s="1">
        <v>721</v>
      </c>
      <c r="AB93" s="1">
        <v>0</v>
      </c>
      <c r="AC93" s="1">
        <v>0</v>
      </c>
      <c r="AD93" s="1" t="s">
        <v>453</v>
      </c>
    </row>
    <row r="94" spans="1:33" ht="13">
      <c r="A94" s="1" t="s">
        <v>454</v>
      </c>
      <c r="B94" s="1" t="s">
        <v>34</v>
      </c>
      <c r="C94" s="1" t="s">
        <v>35</v>
      </c>
      <c r="D94" s="1"/>
      <c r="E94" s="6">
        <v>18457</v>
      </c>
      <c r="F94" s="1" t="s">
        <v>124</v>
      </c>
      <c r="G94" s="1">
        <v>1978</v>
      </c>
      <c r="H94" s="1">
        <v>8</v>
      </c>
      <c r="I94" s="7">
        <v>28506</v>
      </c>
      <c r="J94" s="7">
        <v>32689</v>
      </c>
      <c r="K94" s="8" t="s">
        <v>37</v>
      </c>
      <c r="L94" s="9" t="e">
        <f t="shared" ca="1" si="0"/>
        <v>#NAME?</v>
      </c>
      <c r="M94" s="9" t="e">
        <f t="shared" ca="1" si="1"/>
        <v>#NAME?</v>
      </c>
      <c r="N94" s="10" t="e">
        <f t="shared" ca="1" si="2"/>
        <v>#NAME?</v>
      </c>
      <c r="O94" s="1" t="s">
        <v>38</v>
      </c>
      <c r="P94" s="1"/>
      <c r="Q94" s="1" t="s">
        <v>90</v>
      </c>
      <c r="R94" s="1" t="s">
        <v>455</v>
      </c>
      <c r="S94" s="1" t="s">
        <v>456</v>
      </c>
      <c r="T94" s="1" t="s">
        <v>158</v>
      </c>
      <c r="U94" s="1" t="s">
        <v>305</v>
      </c>
      <c r="X94" s="1">
        <v>3</v>
      </c>
      <c r="Y94" s="7">
        <v>31424</v>
      </c>
      <c r="Z94" s="7">
        <v>31424</v>
      </c>
      <c r="AA94" s="1">
        <v>411</v>
      </c>
      <c r="AB94" s="1">
        <v>2</v>
      </c>
      <c r="AC94" s="1">
        <v>10</v>
      </c>
      <c r="AD94" s="1" t="s">
        <v>457</v>
      </c>
    </row>
    <row r="95" spans="1:33" ht="13">
      <c r="A95" s="1" t="s">
        <v>463</v>
      </c>
      <c r="B95" s="1" t="s">
        <v>394</v>
      </c>
      <c r="C95" s="1" t="s">
        <v>35</v>
      </c>
      <c r="D95" s="1"/>
      <c r="E95" s="6">
        <v>17993</v>
      </c>
      <c r="F95" s="1" t="s">
        <v>124</v>
      </c>
      <c r="G95" s="1">
        <v>1978</v>
      </c>
      <c r="H95" s="1">
        <v>8</v>
      </c>
      <c r="I95" s="7">
        <v>28506</v>
      </c>
      <c r="J95" s="12">
        <v>31440</v>
      </c>
      <c r="K95" s="13" t="s">
        <v>59</v>
      </c>
      <c r="L95" s="9" t="e">
        <f t="shared" ca="1" si="0"/>
        <v>#NAME?</v>
      </c>
      <c r="M95" s="9" t="e">
        <f t="shared" ca="1" si="1"/>
        <v>#NAME?</v>
      </c>
      <c r="N95" s="10" t="e">
        <f t="shared" ca="1" si="2"/>
        <v>#NAME?</v>
      </c>
      <c r="O95" s="1" t="s">
        <v>38</v>
      </c>
      <c r="P95" s="1"/>
      <c r="Q95" s="1" t="s">
        <v>39</v>
      </c>
      <c r="R95" s="1" t="s">
        <v>464</v>
      </c>
      <c r="S95" s="1" t="s">
        <v>465</v>
      </c>
      <c r="T95" s="1" t="s">
        <v>139</v>
      </c>
      <c r="U95" s="1" t="s">
        <v>139</v>
      </c>
      <c r="X95" s="1">
        <v>2</v>
      </c>
      <c r="Y95" s="7">
        <v>30924</v>
      </c>
      <c r="Z95" s="7">
        <v>31440</v>
      </c>
      <c r="AA95" s="1">
        <v>144</v>
      </c>
      <c r="AB95" s="1">
        <v>0</v>
      </c>
      <c r="AC95" s="1">
        <v>0</v>
      </c>
      <c r="AD95" s="1" t="s">
        <v>466</v>
      </c>
      <c r="AE95" s="6">
        <v>31440</v>
      </c>
      <c r="AF95" s="1" t="s">
        <v>444</v>
      </c>
    </row>
    <row r="96" spans="1:33" ht="13">
      <c r="A96" s="1" t="s">
        <v>467</v>
      </c>
      <c r="B96" s="1" t="s">
        <v>394</v>
      </c>
      <c r="C96" s="1" t="s">
        <v>35</v>
      </c>
      <c r="D96" s="1"/>
      <c r="E96" s="6">
        <v>18774</v>
      </c>
      <c r="F96" s="1" t="s">
        <v>124</v>
      </c>
      <c r="G96" s="1">
        <v>1978</v>
      </c>
      <c r="H96" s="1">
        <v>8</v>
      </c>
      <c r="I96" s="7">
        <v>28506</v>
      </c>
      <c r="J96" s="7">
        <v>32004</v>
      </c>
      <c r="K96" s="8" t="s">
        <v>37</v>
      </c>
      <c r="L96" s="9" t="e">
        <f t="shared" ca="1" si="0"/>
        <v>#NAME?</v>
      </c>
      <c r="M96" s="9" t="e">
        <f t="shared" ca="1" si="1"/>
        <v>#NAME?</v>
      </c>
      <c r="N96" s="10" t="e">
        <f t="shared" ca="1" si="2"/>
        <v>#NAME?</v>
      </c>
      <c r="O96" s="1" t="s">
        <v>38</v>
      </c>
      <c r="P96" s="1"/>
      <c r="Q96" s="1" t="s">
        <v>39</v>
      </c>
      <c r="R96" s="1" t="s">
        <v>468</v>
      </c>
      <c r="S96" s="1" t="s">
        <v>469</v>
      </c>
      <c r="T96" s="1" t="s">
        <v>470</v>
      </c>
      <c r="U96" s="1" t="s">
        <v>158</v>
      </c>
      <c r="X96" s="1">
        <v>2</v>
      </c>
      <c r="Y96" s="7">
        <v>30485</v>
      </c>
      <c r="Z96" s="7">
        <v>30960</v>
      </c>
      <c r="AA96" s="1">
        <v>343</v>
      </c>
      <c r="AB96" s="1">
        <v>0</v>
      </c>
      <c r="AC96" s="1">
        <v>0</v>
      </c>
      <c r="AD96" s="1" t="s">
        <v>471</v>
      </c>
      <c r="AE96" s="6">
        <v>41113</v>
      </c>
    </row>
    <row r="97" spans="1:32" ht="13">
      <c r="A97" s="1" t="s">
        <v>472</v>
      </c>
      <c r="B97" s="1" t="s">
        <v>34</v>
      </c>
      <c r="C97" s="1" t="s">
        <v>35</v>
      </c>
      <c r="D97" s="1"/>
      <c r="E97" s="6">
        <v>14384</v>
      </c>
      <c r="F97" s="1" t="s">
        <v>36</v>
      </c>
      <c r="G97" s="1">
        <v>1978</v>
      </c>
      <c r="H97" s="1">
        <v>8</v>
      </c>
      <c r="I97" s="7">
        <v>28506</v>
      </c>
      <c r="J97" s="12">
        <v>31440</v>
      </c>
      <c r="K97" s="13" t="s">
        <v>59</v>
      </c>
      <c r="L97" s="9" t="e">
        <f t="shared" ca="1" si="0"/>
        <v>#NAME?</v>
      </c>
      <c r="M97" s="9" t="e">
        <f t="shared" ca="1" si="1"/>
        <v>#NAME?</v>
      </c>
      <c r="N97" s="10" t="e">
        <f t="shared" ca="1" si="2"/>
        <v>#NAME?</v>
      </c>
      <c r="O97" s="1" t="s">
        <v>38</v>
      </c>
      <c r="P97" s="1"/>
      <c r="Q97" s="1" t="s">
        <v>39</v>
      </c>
      <c r="R97" s="1" t="s">
        <v>473</v>
      </c>
      <c r="S97" s="1" t="s">
        <v>474</v>
      </c>
      <c r="T97" s="1" t="s">
        <v>87</v>
      </c>
      <c r="V97" s="1" t="s">
        <v>80</v>
      </c>
      <c r="W97" s="1" t="s">
        <v>50</v>
      </c>
      <c r="X97" s="1">
        <v>2</v>
      </c>
      <c r="Y97" s="7">
        <v>30778</v>
      </c>
      <c r="Z97" s="7">
        <v>31440</v>
      </c>
      <c r="AA97" s="1">
        <v>167</v>
      </c>
      <c r="AB97" s="1">
        <v>0</v>
      </c>
      <c r="AC97" s="1">
        <v>0</v>
      </c>
      <c r="AD97" s="1" t="s">
        <v>475</v>
      </c>
      <c r="AE97" s="6">
        <v>31440</v>
      </c>
      <c r="AF97" s="1" t="s">
        <v>444</v>
      </c>
    </row>
    <row r="98" spans="1:32" ht="13">
      <c r="A98" s="1" t="s">
        <v>476</v>
      </c>
      <c r="B98" s="1" t="s">
        <v>394</v>
      </c>
      <c r="C98" s="1" t="s">
        <v>35</v>
      </c>
      <c r="D98" s="1"/>
      <c r="E98" s="6">
        <v>17479</v>
      </c>
      <c r="F98" s="1" t="s">
        <v>124</v>
      </c>
      <c r="G98" s="1">
        <v>1978</v>
      </c>
      <c r="H98" s="1">
        <v>8</v>
      </c>
      <c r="I98" s="7">
        <v>28506</v>
      </c>
      <c r="J98" s="7">
        <v>35749</v>
      </c>
      <c r="K98" s="8" t="s">
        <v>37</v>
      </c>
      <c r="L98" s="9" t="e">
        <f t="shared" ca="1" si="0"/>
        <v>#NAME?</v>
      </c>
      <c r="M98" s="9" t="e">
        <f t="shared" ca="1" si="1"/>
        <v>#NAME?</v>
      </c>
      <c r="N98" s="10" t="e">
        <f t="shared" ca="1" si="2"/>
        <v>#NAME?</v>
      </c>
      <c r="O98" s="1" t="s">
        <v>38</v>
      </c>
      <c r="P98" s="1"/>
      <c r="Q98" s="1" t="s">
        <v>90</v>
      </c>
      <c r="R98" s="1" t="s">
        <v>477</v>
      </c>
      <c r="S98" s="1" t="s">
        <v>478</v>
      </c>
      <c r="T98" s="1" t="s">
        <v>479</v>
      </c>
      <c r="U98" s="1" t="s">
        <v>201</v>
      </c>
      <c r="X98" s="1">
        <v>3</v>
      </c>
      <c r="Y98" s="7">
        <v>31149</v>
      </c>
      <c r="Z98" s="7">
        <v>34260</v>
      </c>
      <c r="AA98" s="1">
        <v>722</v>
      </c>
      <c r="AB98" s="1">
        <v>0</v>
      </c>
      <c r="AC98" s="1">
        <v>0</v>
      </c>
      <c r="AD98" s="1" t="s">
        <v>480</v>
      </c>
    </row>
    <row r="99" spans="1:32" ht="13">
      <c r="A99" s="1" t="s">
        <v>481</v>
      </c>
      <c r="B99" s="1" t="s">
        <v>34</v>
      </c>
      <c r="C99" s="1" t="s">
        <v>35</v>
      </c>
      <c r="D99" s="1"/>
      <c r="E99" s="6">
        <v>16573</v>
      </c>
      <c r="F99" s="1" t="s">
        <v>84</v>
      </c>
      <c r="G99" s="1">
        <v>1978</v>
      </c>
      <c r="H99" s="1">
        <v>8</v>
      </c>
      <c r="I99" s="7">
        <v>28506</v>
      </c>
      <c r="J99" s="7">
        <v>35079</v>
      </c>
      <c r="K99" s="8" t="s">
        <v>37</v>
      </c>
      <c r="L99" s="9" t="e">
        <f t="shared" ca="1" si="0"/>
        <v>#NAME?</v>
      </c>
      <c r="M99" s="9" t="e">
        <f t="shared" ca="1" si="1"/>
        <v>#NAME?</v>
      </c>
      <c r="N99" s="10" t="e">
        <f t="shared" ca="1" si="2"/>
        <v>#NAME?</v>
      </c>
      <c r="O99" s="1" t="s">
        <v>38</v>
      </c>
      <c r="P99" s="1"/>
      <c r="Q99" s="1" t="s">
        <v>90</v>
      </c>
      <c r="R99" s="1" t="s">
        <v>482</v>
      </c>
      <c r="S99" s="1" t="s">
        <v>367</v>
      </c>
      <c r="T99" s="1" t="s">
        <v>483</v>
      </c>
      <c r="U99" s="1" t="s">
        <v>483</v>
      </c>
      <c r="V99" s="1" t="s">
        <v>49</v>
      </c>
      <c r="W99" s="1" t="s">
        <v>50</v>
      </c>
      <c r="X99" s="1">
        <v>3</v>
      </c>
      <c r="Y99" s="7">
        <v>30648</v>
      </c>
      <c r="Z99" s="7">
        <v>32728</v>
      </c>
      <c r="AA99" s="1">
        <v>533</v>
      </c>
      <c r="AB99" s="1">
        <v>0</v>
      </c>
      <c r="AC99" s="1">
        <v>0</v>
      </c>
      <c r="AD99" s="1" t="s">
        <v>484</v>
      </c>
    </row>
    <row r="100" spans="1:32" ht="13">
      <c r="A100" s="1" t="s">
        <v>485</v>
      </c>
      <c r="B100" s="1" t="s">
        <v>34</v>
      </c>
      <c r="C100" s="1" t="s">
        <v>35</v>
      </c>
      <c r="D100" s="1"/>
      <c r="E100" s="6">
        <v>16338</v>
      </c>
      <c r="F100" s="1" t="s">
        <v>84</v>
      </c>
      <c r="G100" s="1">
        <v>1978</v>
      </c>
      <c r="H100" s="1">
        <v>8</v>
      </c>
      <c r="I100" s="7">
        <v>28506</v>
      </c>
      <c r="J100" s="7">
        <v>34104</v>
      </c>
      <c r="K100" s="8" t="s">
        <v>37</v>
      </c>
      <c r="L100" s="9" t="e">
        <f t="shared" ca="1" si="0"/>
        <v>#NAME?</v>
      </c>
      <c r="M100" s="9" t="e">
        <f t="shared" ca="1" si="1"/>
        <v>#NAME?</v>
      </c>
      <c r="N100" s="10" t="e">
        <f t="shared" ca="1" si="2"/>
        <v>#NAME?</v>
      </c>
      <c r="O100" s="1" t="s">
        <v>38</v>
      </c>
      <c r="P100" s="1"/>
      <c r="Q100" s="1" t="s">
        <v>90</v>
      </c>
      <c r="R100" s="1" t="s">
        <v>486</v>
      </c>
      <c r="S100" s="1" t="s">
        <v>381</v>
      </c>
      <c r="T100" s="1" t="s">
        <v>42</v>
      </c>
      <c r="U100" s="1" t="s">
        <v>104</v>
      </c>
      <c r="V100" s="1" t="s">
        <v>49</v>
      </c>
      <c r="W100" s="1" t="s">
        <v>50</v>
      </c>
      <c r="X100" s="1">
        <v>3</v>
      </c>
      <c r="Y100" s="7">
        <v>31071</v>
      </c>
      <c r="Z100" s="7">
        <v>33816</v>
      </c>
      <c r="AA100" s="1">
        <v>386</v>
      </c>
      <c r="AB100" s="1">
        <v>0</v>
      </c>
      <c r="AC100" s="1">
        <v>0</v>
      </c>
      <c r="AD100" s="1" t="s">
        <v>487</v>
      </c>
    </row>
    <row r="101" spans="1:32" ht="13">
      <c r="A101" s="1" t="s">
        <v>488</v>
      </c>
      <c r="B101" s="1" t="s">
        <v>34</v>
      </c>
      <c r="C101" s="1" t="s">
        <v>35</v>
      </c>
      <c r="D101" s="1"/>
      <c r="E101" s="6">
        <v>15566</v>
      </c>
      <c r="F101" s="1" t="s">
        <v>84</v>
      </c>
      <c r="G101" s="1">
        <v>1978</v>
      </c>
      <c r="H101" s="1">
        <v>8</v>
      </c>
      <c r="I101" s="7">
        <v>28506</v>
      </c>
      <c r="J101" s="7">
        <v>31670</v>
      </c>
      <c r="K101" s="8" t="s">
        <v>37</v>
      </c>
      <c r="L101" s="9" t="e">
        <f t="shared" ca="1" si="0"/>
        <v>#NAME?</v>
      </c>
      <c r="M101" s="9" t="e">
        <f t="shared" ca="1" si="1"/>
        <v>#NAME?</v>
      </c>
      <c r="N101" s="10" t="e">
        <f t="shared" ca="1" si="2"/>
        <v>#NAME?</v>
      </c>
      <c r="O101" s="1" t="s">
        <v>38</v>
      </c>
      <c r="P101" s="1"/>
      <c r="Q101" s="1" t="s">
        <v>90</v>
      </c>
      <c r="R101" s="1" t="s">
        <v>407</v>
      </c>
      <c r="S101" s="1" t="s">
        <v>489</v>
      </c>
      <c r="T101" s="1" t="s">
        <v>272</v>
      </c>
      <c r="U101" s="1" t="s">
        <v>87</v>
      </c>
      <c r="V101" s="1" t="s">
        <v>105</v>
      </c>
      <c r="W101" s="1" t="s">
        <v>490</v>
      </c>
      <c r="X101" s="1">
        <v>2</v>
      </c>
      <c r="Y101" s="7">
        <v>30715</v>
      </c>
      <c r="Z101" s="7">
        <v>31323</v>
      </c>
      <c r="AA101" s="1">
        <v>289</v>
      </c>
      <c r="AB101" s="1">
        <v>2</v>
      </c>
      <c r="AC101" s="1">
        <v>12</v>
      </c>
      <c r="AD101" s="1" t="s">
        <v>491</v>
      </c>
    </row>
    <row r="102" spans="1:32" ht="13">
      <c r="A102" s="1" t="s">
        <v>492</v>
      </c>
      <c r="B102" s="1" t="s">
        <v>394</v>
      </c>
      <c r="C102" s="1" t="s">
        <v>35</v>
      </c>
      <c r="D102" s="1"/>
      <c r="E102" s="6">
        <v>18904</v>
      </c>
      <c r="F102" s="1" t="s">
        <v>124</v>
      </c>
      <c r="G102" s="1">
        <v>1978</v>
      </c>
      <c r="H102" s="1">
        <v>8</v>
      </c>
      <c r="I102" s="7">
        <v>28506</v>
      </c>
      <c r="J102" s="7">
        <v>34135</v>
      </c>
      <c r="K102" s="8" t="s">
        <v>37</v>
      </c>
      <c r="L102" s="9" t="e">
        <f t="shared" ca="1" si="0"/>
        <v>#NAME?</v>
      </c>
      <c r="M102" s="9" t="e">
        <f t="shared" ca="1" si="1"/>
        <v>#NAME?</v>
      </c>
      <c r="N102" s="10" t="e">
        <f t="shared" ca="1" si="2"/>
        <v>#NAME?</v>
      </c>
      <c r="O102" s="1" t="s">
        <v>38</v>
      </c>
      <c r="P102" s="1"/>
      <c r="Q102" s="1" t="s">
        <v>90</v>
      </c>
      <c r="R102" s="1" t="s">
        <v>493</v>
      </c>
      <c r="S102" s="1" t="s">
        <v>494</v>
      </c>
      <c r="T102" s="1" t="s">
        <v>495</v>
      </c>
      <c r="U102" s="1" t="s">
        <v>496</v>
      </c>
      <c r="X102" s="1">
        <v>3</v>
      </c>
      <c r="Y102" s="7">
        <v>30960</v>
      </c>
      <c r="Z102" s="7">
        <v>33687</v>
      </c>
      <c r="AA102" s="1">
        <v>532</v>
      </c>
      <c r="AB102" s="1">
        <v>1</v>
      </c>
      <c r="AC102" s="1">
        <v>3</v>
      </c>
      <c r="AD102" s="1" t="s">
        <v>497</v>
      </c>
    </row>
    <row r="103" spans="1:32" ht="13">
      <c r="A103" s="1" t="s">
        <v>498</v>
      </c>
      <c r="B103" s="1" t="s">
        <v>34</v>
      </c>
      <c r="C103" s="1" t="s">
        <v>35</v>
      </c>
      <c r="D103" s="1"/>
      <c r="E103" s="6">
        <v>15890</v>
      </c>
      <c r="F103" s="1" t="s">
        <v>84</v>
      </c>
      <c r="G103" s="1">
        <v>1978</v>
      </c>
      <c r="H103" s="1">
        <v>8</v>
      </c>
      <c r="I103" s="7">
        <v>28506</v>
      </c>
      <c r="J103" s="7">
        <v>35048</v>
      </c>
      <c r="K103" s="8" t="s">
        <v>37</v>
      </c>
      <c r="L103" s="9" t="e">
        <f t="shared" ca="1" si="0"/>
        <v>#NAME?</v>
      </c>
      <c r="M103" s="9" t="e">
        <f t="shared" ca="1" si="1"/>
        <v>#NAME?</v>
      </c>
      <c r="N103" s="10" t="e">
        <f t="shared" ca="1" si="2"/>
        <v>#NAME?</v>
      </c>
      <c r="O103" s="1" t="s">
        <v>38</v>
      </c>
      <c r="P103" s="1"/>
      <c r="Q103" s="1" t="s">
        <v>90</v>
      </c>
      <c r="R103" s="1" t="s">
        <v>499</v>
      </c>
      <c r="S103" s="1" t="s">
        <v>500</v>
      </c>
      <c r="T103" s="1" t="s">
        <v>346</v>
      </c>
      <c r="U103" s="1" t="s">
        <v>501</v>
      </c>
      <c r="X103" s="1">
        <v>5</v>
      </c>
      <c r="Y103" s="7">
        <v>30475</v>
      </c>
      <c r="Z103" s="7">
        <v>34772</v>
      </c>
      <c r="AA103" s="1">
        <v>3373</v>
      </c>
      <c r="AB103" s="1">
        <v>0</v>
      </c>
      <c r="AC103" s="1">
        <v>0</v>
      </c>
      <c r="AD103" s="1" t="s">
        <v>502</v>
      </c>
    </row>
    <row r="104" spans="1:32" ht="13">
      <c r="A104" s="1" t="s">
        <v>503</v>
      </c>
      <c r="B104" s="1" t="s">
        <v>34</v>
      </c>
      <c r="C104" s="1" t="s">
        <v>35</v>
      </c>
      <c r="D104" s="1"/>
      <c r="E104" s="6">
        <v>16234</v>
      </c>
      <c r="F104" s="1" t="s">
        <v>124</v>
      </c>
      <c r="G104" s="1">
        <v>1978</v>
      </c>
      <c r="H104" s="1">
        <v>8</v>
      </c>
      <c r="I104" s="7">
        <v>28506</v>
      </c>
      <c r="J104" s="7">
        <v>31639</v>
      </c>
      <c r="K104" s="8" t="s">
        <v>37</v>
      </c>
      <c r="L104" s="9" t="e">
        <f t="shared" ca="1" si="0"/>
        <v>#NAME?</v>
      </c>
      <c r="M104" s="9" t="e">
        <f t="shared" ca="1" si="1"/>
        <v>#NAME?</v>
      </c>
      <c r="N104" s="10" t="e">
        <f t="shared" ca="1" si="2"/>
        <v>#NAME?</v>
      </c>
      <c r="O104" s="1" t="s">
        <v>38</v>
      </c>
      <c r="P104" s="1"/>
      <c r="Q104" s="1" t="s">
        <v>90</v>
      </c>
      <c r="R104" s="1" t="s">
        <v>504</v>
      </c>
      <c r="S104" s="1" t="s">
        <v>505</v>
      </c>
      <c r="T104" s="1" t="s">
        <v>506</v>
      </c>
      <c r="U104" s="1" t="s">
        <v>507</v>
      </c>
      <c r="X104" s="1">
        <v>2</v>
      </c>
      <c r="Y104" s="7">
        <v>30778</v>
      </c>
      <c r="Z104" s="7">
        <v>31286</v>
      </c>
      <c r="AA104" s="1">
        <v>338</v>
      </c>
      <c r="AB104" s="1">
        <v>4</v>
      </c>
      <c r="AC104" s="1">
        <v>22</v>
      </c>
      <c r="AD104" s="1" t="s">
        <v>508</v>
      </c>
    </row>
    <row r="105" spans="1:32" ht="13">
      <c r="A105" s="1" t="s">
        <v>509</v>
      </c>
      <c r="B105" s="1" t="s">
        <v>34</v>
      </c>
      <c r="C105" s="1" t="s">
        <v>35</v>
      </c>
      <c r="D105" s="1"/>
      <c r="E105" s="6">
        <v>16212</v>
      </c>
      <c r="F105" s="1" t="s">
        <v>36</v>
      </c>
      <c r="G105" s="1">
        <v>1978</v>
      </c>
      <c r="H105" s="1">
        <v>8</v>
      </c>
      <c r="I105" s="7">
        <v>28506</v>
      </c>
      <c r="J105" s="7">
        <v>35170</v>
      </c>
      <c r="K105" s="8" t="s">
        <v>37</v>
      </c>
      <c r="L105" s="9" t="e">
        <f t="shared" ca="1" si="0"/>
        <v>#NAME?</v>
      </c>
      <c r="M105" s="9" t="e">
        <f t="shared" ca="1" si="1"/>
        <v>#NAME?</v>
      </c>
      <c r="N105" s="10" t="e">
        <f t="shared" ca="1" si="2"/>
        <v>#NAME?</v>
      </c>
      <c r="O105" s="1" t="s">
        <v>38</v>
      </c>
      <c r="P105" s="1"/>
      <c r="Q105" s="1" t="s">
        <v>39</v>
      </c>
      <c r="R105" s="1" t="s">
        <v>510</v>
      </c>
      <c r="S105" s="1" t="s">
        <v>69</v>
      </c>
      <c r="T105" s="1" t="s">
        <v>70</v>
      </c>
      <c r="V105" s="1" t="s">
        <v>71</v>
      </c>
      <c r="W105" s="1" t="s">
        <v>44</v>
      </c>
      <c r="X105" s="1">
        <v>4</v>
      </c>
      <c r="Y105" s="7">
        <v>30994</v>
      </c>
      <c r="Z105" s="7">
        <v>34949</v>
      </c>
      <c r="AA105" s="1">
        <v>724</v>
      </c>
      <c r="AB105" s="1">
        <v>0</v>
      </c>
      <c r="AC105" s="1">
        <v>0</v>
      </c>
      <c r="AD105" s="1" t="s">
        <v>511</v>
      </c>
      <c r="AE105" s="6">
        <v>37004</v>
      </c>
    </row>
    <row r="106" spans="1:32" ht="13">
      <c r="A106" s="1" t="s">
        <v>512</v>
      </c>
      <c r="B106" s="1" t="s">
        <v>34</v>
      </c>
      <c r="C106" s="1" t="s">
        <v>35</v>
      </c>
      <c r="D106" s="1"/>
      <c r="E106" s="6">
        <v>21229</v>
      </c>
      <c r="F106" s="1" t="s">
        <v>36</v>
      </c>
      <c r="G106" s="1">
        <v>1978</v>
      </c>
      <c r="H106" s="1">
        <v>8</v>
      </c>
      <c r="I106" s="7">
        <v>28506</v>
      </c>
      <c r="J106" s="7">
        <v>32947</v>
      </c>
      <c r="K106" s="8" t="s">
        <v>37</v>
      </c>
      <c r="L106" s="9" t="e">
        <f t="shared" ca="1" si="0"/>
        <v>#NAME?</v>
      </c>
      <c r="M106" s="9" t="e">
        <f t="shared" ca="1" si="1"/>
        <v>#NAME?</v>
      </c>
      <c r="N106" s="10" t="e">
        <f t="shared" ca="1" si="2"/>
        <v>#NAME?</v>
      </c>
      <c r="O106" s="1" t="s">
        <v>38</v>
      </c>
      <c r="P106" s="1"/>
      <c r="Q106" s="1" t="s">
        <v>90</v>
      </c>
      <c r="R106" s="1" t="s">
        <v>513</v>
      </c>
      <c r="S106" s="1" t="s">
        <v>61</v>
      </c>
      <c r="T106" s="1" t="s">
        <v>62</v>
      </c>
      <c r="V106" s="1" t="s">
        <v>71</v>
      </c>
      <c r="W106" s="1" t="s">
        <v>44</v>
      </c>
      <c r="X106" s="1">
        <v>2</v>
      </c>
      <c r="Y106" s="7">
        <v>31149</v>
      </c>
      <c r="Z106" s="7">
        <v>32799</v>
      </c>
      <c r="AA106" s="1">
        <v>287</v>
      </c>
      <c r="AB106" s="1">
        <v>0</v>
      </c>
      <c r="AC106" s="1">
        <v>0</v>
      </c>
      <c r="AD106" s="1" t="s">
        <v>514</v>
      </c>
    </row>
    <row r="107" spans="1:32" ht="13">
      <c r="A107" s="1" t="s">
        <v>515</v>
      </c>
      <c r="B107" s="1" t="s">
        <v>34</v>
      </c>
      <c r="C107" s="1" t="s">
        <v>35</v>
      </c>
      <c r="D107" s="1"/>
      <c r="E107" s="6">
        <v>19046</v>
      </c>
      <c r="F107" s="1" t="s">
        <v>124</v>
      </c>
      <c r="G107" s="1">
        <v>1980</v>
      </c>
      <c r="H107" s="1">
        <v>9</v>
      </c>
      <c r="I107" s="7">
        <v>29370</v>
      </c>
      <c r="J107" s="7">
        <v>34926</v>
      </c>
      <c r="K107" s="8" t="s">
        <v>37</v>
      </c>
      <c r="L107" s="9" t="e">
        <f t="shared" ca="1" si="0"/>
        <v>#NAME?</v>
      </c>
      <c r="M107" s="9" t="e">
        <f t="shared" ca="1" si="1"/>
        <v>#NAME?</v>
      </c>
      <c r="N107" s="10" t="e">
        <f t="shared" ca="1" si="2"/>
        <v>#NAME?</v>
      </c>
      <c r="O107" s="1" t="s">
        <v>38</v>
      </c>
      <c r="P107" s="1"/>
      <c r="Q107" s="1" t="s">
        <v>90</v>
      </c>
      <c r="R107" s="1" t="s">
        <v>95</v>
      </c>
      <c r="S107" s="1" t="s">
        <v>516</v>
      </c>
      <c r="T107" s="1" t="s">
        <v>62</v>
      </c>
      <c r="U107" s="1" t="s">
        <v>201</v>
      </c>
      <c r="X107" s="1">
        <v>2</v>
      </c>
      <c r="Y107" s="7">
        <v>32580</v>
      </c>
      <c r="Z107" s="7">
        <v>33394</v>
      </c>
      <c r="AA107" s="1">
        <v>337</v>
      </c>
      <c r="AB107" s="1">
        <v>0</v>
      </c>
      <c r="AC107" s="1">
        <v>0</v>
      </c>
      <c r="AD107" s="1" t="s">
        <v>517</v>
      </c>
    </row>
    <row r="108" spans="1:32" ht="13">
      <c r="A108" s="1" t="s">
        <v>518</v>
      </c>
      <c r="B108" s="1" t="s">
        <v>34</v>
      </c>
      <c r="C108" s="1" t="s">
        <v>35</v>
      </c>
      <c r="D108" s="1"/>
      <c r="E108" s="6">
        <v>15579</v>
      </c>
      <c r="F108" s="1" t="s">
        <v>84</v>
      </c>
      <c r="G108" s="1">
        <v>1980</v>
      </c>
      <c r="H108" s="1">
        <v>9</v>
      </c>
      <c r="I108" s="7">
        <v>29370</v>
      </c>
      <c r="J108" s="7">
        <v>35699</v>
      </c>
      <c r="K108" s="8" t="s">
        <v>37</v>
      </c>
      <c r="L108" s="9" t="e">
        <f t="shared" ca="1" si="0"/>
        <v>#NAME?</v>
      </c>
      <c r="M108" s="9" t="e">
        <f t="shared" ca="1" si="1"/>
        <v>#NAME?</v>
      </c>
      <c r="N108" s="10" t="e">
        <f t="shared" ca="1" si="2"/>
        <v>#NAME?</v>
      </c>
      <c r="O108" s="1" t="s">
        <v>38</v>
      </c>
      <c r="P108" s="1"/>
      <c r="Q108" s="1" t="s">
        <v>90</v>
      </c>
      <c r="R108" s="1" t="s">
        <v>116</v>
      </c>
      <c r="S108" s="1" t="s">
        <v>381</v>
      </c>
      <c r="T108" s="1" t="s">
        <v>346</v>
      </c>
      <c r="U108" s="1" t="s">
        <v>104</v>
      </c>
      <c r="V108" s="1" t="s">
        <v>49</v>
      </c>
      <c r="W108" s="1" t="s">
        <v>50</v>
      </c>
      <c r="X108" s="1">
        <v>5</v>
      </c>
      <c r="Y108" s="7">
        <v>32580</v>
      </c>
      <c r="Z108" s="7">
        <v>35324</v>
      </c>
      <c r="AA108" s="1">
        <v>3861</v>
      </c>
      <c r="AB108" s="1">
        <v>0</v>
      </c>
      <c r="AC108" s="1">
        <v>0</v>
      </c>
      <c r="AD108" s="1" t="s">
        <v>519</v>
      </c>
    </row>
    <row r="109" spans="1:32" ht="13">
      <c r="A109" s="1" t="s">
        <v>527</v>
      </c>
      <c r="B109" s="1" t="s">
        <v>34</v>
      </c>
      <c r="C109" s="1" t="s">
        <v>35</v>
      </c>
      <c r="D109" s="1"/>
      <c r="E109" s="6">
        <v>15906</v>
      </c>
      <c r="F109" s="1" t="s">
        <v>36</v>
      </c>
      <c r="G109" s="1">
        <v>1980</v>
      </c>
      <c r="H109" s="1">
        <v>9</v>
      </c>
      <c r="I109" s="7">
        <v>29370</v>
      </c>
      <c r="J109" s="7">
        <v>35490</v>
      </c>
      <c r="K109" s="8" t="s">
        <v>37</v>
      </c>
      <c r="L109" s="9" t="e">
        <f t="shared" ca="1" si="0"/>
        <v>#NAME?</v>
      </c>
      <c r="M109" s="9" t="e">
        <f t="shared" ca="1" si="1"/>
        <v>#NAME?</v>
      </c>
      <c r="N109" s="10" t="e">
        <f t="shared" ca="1" si="2"/>
        <v>#NAME?</v>
      </c>
      <c r="O109" s="1" t="s">
        <v>38</v>
      </c>
      <c r="P109" s="1"/>
      <c r="Q109" s="1" t="s">
        <v>90</v>
      </c>
      <c r="R109" s="1" t="s">
        <v>528</v>
      </c>
      <c r="S109" s="1" t="s">
        <v>381</v>
      </c>
      <c r="T109" s="1" t="s">
        <v>346</v>
      </c>
      <c r="U109" s="1" t="s">
        <v>127</v>
      </c>
      <c r="V109" s="1" t="s">
        <v>133</v>
      </c>
      <c r="W109" s="1" t="s">
        <v>50</v>
      </c>
      <c r="X109" s="1">
        <v>1</v>
      </c>
      <c r="Y109" s="7">
        <v>31257</v>
      </c>
      <c r="Z109" s="7">
        <v>31257</v>
      </c>
      <c r="AA109" s="1">
        <v>190</v>
      </c>
      <c r="AB109" s="1">
        <v>0</v>
      </c>
      <c r="AC109" s="1">
        <v>0</v>
      </c>
      <c r="AD109" s="1" t="s">
        <v>301</v>
      </c>
    </row>
    <row r="110" spans="1:32" ht="13">
      <c r="A110" s="1" t="s">
        <v>536</v>
      </c>
      <c r="B110" s="1" t="s">
        <v>394</v>
      </c>
      <c r="C110" s="1" t="s">
        <v>35</v>
      </c>
      <c r="D110" s="1"/>
      <c r="E110" s="6">
        <v>17203</v>
      </c>
      <c r="F110" s="1" t="s">
        <v>124</v>
      </c>
      <c r="G110" s="1">
        <v>1980</v>
      </c>
      <c r="H110" s="1">
        <v>9</v>
      </c>
      <c r="I110" s="7">
        <v>29370</v>
      </c>
      <c r="J110" s="7">
        <v>39128</v>
      </c>
      <c r="K110" s="8" t="s">
        <v>37</v>
      </c>
      <c r="L110" s="9" t="e">
        <f t="shared" ca="1" si="0"/>
        <v>#NAME?</v>
      </c>
      <c r="M110" s="9" t="e">
        <f t="shared" ca="1" si="1"/>
        <v>#NAME?</v>
      </c>
      <c r="N110" s="10" t="e">
        <f t="shared" ca="1" si="2"/>
        <v>#NAME?</v>
      </c>
      <c r="O110" s="1" t="s">
        <v>38</v>
      </c>
      <c r="P110" s="1"/>
      <c r="Q110" s="1" t="s">
        <v>90</v>
      </c>
      <c r="R110" s="1" t="s">
        <v>537</v>
      </c>
      <c r="S110" s="1" t="s">
        <v>538</v>
      </c>
      <c r="T110" s="1" t="s">
        <v>539</v>
      </c>
      <c r="U110" s="1" t="s">
        <v>540</v>
      </c>
      <c r="X110" s="1">
        <v>2</v>
      </c>
      <c r="Y110" s="7">
        <v>31377</v>
      </c>
      <c r="Z110" s="7">
        <v>32632</v>
      </c>
      <c r="AA110" s="1">
        <v>262</v>
      </c>
      <c r="AB110" s="1">
        <v>0</v>
      </c>
      <c r="AC110" s="1">
        <v>0</v>
      </c>
      <c r="AD110" s="1" t="s">
        <v>541</v>
      </c>
    </row>
    <row r="111" spans="1:32" ht="13">
      <c r="A111" s="1" t="s">
        <v>542</v>
      </c>
      <c r="B111" s="1" t="s">
        <v>394</v>
      </c>
      <c r="C111" s="1" t="s">
        <v>35</v>
      </c>
      <c r="D111" s="1"/>
      <c r="E111" s="6">
        <v>17960</v>
      </c>
      <c r="F111" s="1" t="s">
        <v>124</v>
      </c>
      <c r="G111" s="1">
        <v>1980</v>
      </c>
      <c r="H111" s="1">
        <v>9</v>
      </c>
      <c r="I111" s="7">
        <v>29370</v>
      </c>
      <c r="J111" s="7">
        <v>38610</v>
      </c>
      <c r="K111" s="8" t="s">
        <v>37</v>
      </c>
      <c r="L111" s="9" t="e">
        <f t="shared" ca="1" si="0"/>
        <v>#NAME?</v>
      </c>
      <c r="M111" s="9" t="e">
        <f t="shared" ca="1" si="1"/>
        <v>#NAME?</v>
      </c>
      <c r="N111" s="10" t="e">
        <f t="shared" ca="1" si="2"/>
        <v>#NAME?</v>
      </c>
      <c r="O111" s="1" t="s">
        <v>38</v>
      </c>
      <c r="P111" s="1"/>
      <c r="Q111" s="1" t="s">
        <v>90</v>
      </c>
      <c r="R111" s="1" t="s">
        <v>543</v>
      </c>
      <c r="S111" s="1" t="s">
        <v>544</v>
      </c>
      <c r="T111" s="1" t="s">
        <v>545</v>
      </c>
      <c r="U111" s="1" t="s">
        <v>546</v>
      </c>
      <c r="X111" s="1">
        <v>5</v>
      </c>
      <c r="Y111" s="7">
        <v>31350</v>
      </c>
      <c r="Z111" s="7">
        <v>35817</v>
      </c>
      <c r="AA111" s="1">
        <v>1207</v>
      </c>
      <c r="AB111" s="1">
        <v>0</v>
      </c>
      <c r="AC111" s="1">
        <v>0</v>
      </c>
      <c r="AD111" s="1" t="s">
        <v>547</v>
      </c>
    </row>
    <row r="112" spans="1:32" ht="13">
      <c r="A112" s="1" t="s">
        <v>548</v>
      </c>
      <c r="B112" s="1" t="s">
        <v>34</v>
      </c>
      <c r="C112" s="1" t="s">
        <v>35</v>
      </c>
      <c r="D112" s="1"/>
      <c r="E112" s="6">
        <v>16893</v>
      </c>
      <c r="F112" s="1" t="s">
        <v>84</v>
      </c>
      <c r="G112" s="1">
        <v>1980</v>
      </c>
      <c r="H112" s="1">
        <v>9</v>
      </c>
      <c r="I112" s="7">
        <v>29370</v>
      </c>
      <c r="J112" s="7">
        <v>33269</v>
      </c>
      <c r="K112" s="8" t="s">
        <v>37</v>
      </c>
      <c r="L112" s="9" t="e">
        <f t="shared" ca="1" si="0"/>
        <v>#NAME?</v>
      </c>
      <c r="M112" s="9" t="e">
        <f t="shared" ca="1" si="1"/>
        <v>#NAME?</v>
      </c>
      <c r="N112" s="10" t="e">
        <f t="shared" ca="1" si="2"/>
        <v>#NAME?</v>
      </c>
      <c r="O112" s="1" t="s">
        <v>38</v>
      </c>
      <c r="P112" s="1"/>
      <c r="Q112" s="1" t="s">
        <v>90</v>
      </c>
      <c r="R112" s="1" t="s">
        <v>108</v>
      </c>
      <c r="S112" s="1" t="s">
        <v>549</v>
      </c>
      <c r="U112" s="1" t="s">
        <v>550</v>
      </c>
      <c r="X112" s="1">
        <v>1</v>
      </c>
      <c r="Y112" s="7">
        <v>31286</v>
      </c>
      <c r="Z112" s="7">
        <v>31286</v>
      </c>
      <c r="AA112" s="1">
        <v>170</v>
      </c>
      <c r="AB112" s="1">
        <v>2</v>
      </c>
      <c r="AC112" s="1">
        <v>12</v>
      </c>
      <c r="AD112" s="1" t="s">
        <v>551</v>
      </c>
    </row>
    <row r="113" spans="1:32" ht="13">
      <c r="A113" s="1" t="s">
        <v>552</v>
      </c>
      <c r="B113" s="1" t="s">
        <v>34</v>
      </c>
      <c r="C113" s="1" t="s">
        <v>35</v>
      </c>
      <c r="D113" s="1"/>
      <c r="E113" s="6">
        <v>17538</v>
      </c>
      <c r="F113" s="1" t="s">
        <v>84</v>
      </c>
      <c r="G113" s="1">
        <v>1980</v>
      </c>
      <c r="H113" s="1">
        <v>9</v>
      </c>
      <c r="I113" s="7">
        <v>29370</v>
      </c>
      <c r="J113" s="7">
        <v>33404</v>
      </c>
      <c r="K113" s="8" t="s">
        <v>37</v>
      </c>
      <c r="L113" s="9" t="e">
        <f t="shared" ca="1" si="0"/>
        <v>#NAME?</v>
      </c>
      <c r="M113" s="9" t="e">
        <f t="shared" ca="1" si="1"/>
        <v>#NAME?</v>
      </c>
      <c r="N113" s="10" t="e">
        <f t="shared" ca="1" si="2"/>
        <v>#NAME?</v>
      </c>
      <c r="O113" s="1" t="s">
        <v>38</v>
      </c>
      <c r="P113" s="1"/>
      <c r="Q113" s="1" t="s">
        <v>90</v>
      </c>
      <c r="R113" s="1" t="s">
        <v>553</v>
      </c>
      <c r="S113" s="1" t="s">
        <v>381</v>
      </c>
      <c r="T113" s="1" t="s">
        <v>554</v>
      </c>
      <c r="U113" s="1" t="s">
        <v>127</v>
      </c>
      <c r="V113" s="1" t="s">
        <v>49</v>
      </c>
      <c r="W113" s="1" t="s">
        <v>50</v>
      </c>
      <c r="X113" s="1">
        <v>2</v>
      </c>
      <c r="Y113" s="7">
        <v>32479</v>
      </c>
      <c r="Z113" s="7">
        <v>33209</v>
      </c>
      <c r="AA113" s="1">
        <v>320</v>
      </c>
      <c r="AB113" s="1">
        <v>0</v>
      </c>
      <c r="AC113" s="1">
        <v>0</v>
      </c>
      <c r="AD113" s="1" t="s">
        <v>555</v>
      </c>
    </row>
    <row r="114" spans="1:32" ht="13">
      <c r="A114" s="1" t="s">
        <v>556</v>
      </c>
      <c r="B114" s="1" t="s">
        <v>34</v>
      </c>
      <c r="C114" s="1" t="s">
        <v>35</v>
      </c>
      <c r="D114" s="1"/>
      <c r="E114" s="6">
        <v>16601</v>
      </c>
      <c r="F114" s="1" t="s">
        <v>36</v>
      </c>
      <c r="G114" s="1">
        <v>1980</v>
      </c>
      <c r="H114" s="1">
        <v>9</v>
      </c>
      <c r="I114" s="7">
        <v>29370</v>
      </c>
      <c r="J114" s="7">
        <v>34435</v>
      </c>
      <c r="K114" s="8" t="s">
        <v>37</v>
      </c>
      <c r="L114" s="9" t="e">
        <f t="shared" ca="1" si="0"/>
        <v>#NAME?</v>
      </c>
      <c r="M114" s="9" t="e">
        <f t="shared" ca="1" si="1"/>
        <v>#NAME?</v>
      </c>
      <c r="N114" s="10" t="e">
        <f t="shared" ca="1" si="2"/>
        <v>#NAME?</v>
      </c>
      <c r="O114" s="1" t="s">
        <v>38</v>
      </c>
      <c r="P114" s="1"/>
      <c r="Q114" s="1" t="s">
        <v>90</v>
      </c>
      <c r="R114" s="1" t="s">
        <v>326</v>
      </c>
      <c r="S114" s="1" t="s">
        <v>557</v>
      </c>
      <c r="T114" s="1" t="s">
        <v>346</v>
      </c>
      <c r="V114" s="1" t="s">
        <v>49</v>
      </c>
      <c r="W114" s="1" t="s">
        <v>50</v>
      </c>
      <c r="X114" s="1">
        <v>4</v>
      </c>
      <c r="Y114" s="7">
        <v>31323</v>
      </c>
      <c r="Z114" s="7">
        <v>34141</v>
      </c>
      <c r="AA114" s="1">
        <v>627</v>
      </c>
      <c r="AB114" s="1">
        <v>0</v>
      </c>
      <c r="AC114" s="1">
        <v>0</v>
      </c>
      <c r="AD114" s="1" t="s">
        <v>558</v>
      </c>
    </row>
    <row r="115" spans="1:32" ht="13">
      <c r="A115" s="1" t="s">
        <v>559</v>
      </c>
      <c r="B115" s="1" t="s">
        <v>34</v>
      </c>
      <c r="C115" s="1" t="s">
        <v>35</v>
      </c>
      <c r="D115" s="1"/>
      <c r="E115" s="6">
        <v>18291</v>
      </c>
      <c r="F115" s="1" t="s">
        <v>124</v>
      </c>
      <c r="G115" s="1">
        <v>1980</v>
      </c>
      <c r="H115" s="1">
        <v>9</v>
      </c>
      <c r="I115" s="7">
        <v>29370</v>
      </c>
      <c r="J115" s="7">
        <v>33892</v>
      </c>
      <c r="K115" s="8" t="s">
        <v>37</v>
      </c>
      <c r="L115" s="9" t="e">
        <f t="shared" ca="1" si="0"/>
        <v>#NAME?</v>
      </c>
      <c r="M115" s="9" t="e">
        <f t="shared" ca="1" si="1"/>
        <v>#NAME?</v>
      </c>
      <c r="N115" s="10" t="e">
        <f t="shared" ca="1" si="2"/>
        <v>#NAME?</v>
      </c>
      <c r="O115" s="1" t="s">
        <v>38</v>
      </c>
      <c r="P115" s="1"/>
      <c r="Q115" s="1" t="s">
        <v>90</v>
      </c>
      <c r="R115" s="1" t="s">
        <v>560</v>
      </c>
      <c r="S115" s="1" t="s">
        <v>561</v>
      </c>
      <c r="T115" s="1" t="s">
        <v>272</v>
      </c>
      <c r="U115" s="1" t="s">
        <v>139</v>
      </c>
      <c r="V115" s="1" t="s">
        <v>49</v>
      </c>
      <c r="W115" s="1" t="s">
        <v>56</v>
      </c>
      <c r="X115" s="1">
        <v>4</v>
      </c>
      <c r="Y115" s="7">
        <v>31323</v>
      </c>
      <c r="Z115" s="7">
        <v>33625</v>
      </c>
      <c r="AA115" s="1">
        <v>494</v>
      </c>
      <c r="AB115" s="1">
        <v>0</v>
      </c>
      <c r="AC115" s="1">
        <v>0</v>
      </c>
      <c r="AD115" s="1" t="s">
        <v>562</v>
      </c>
    </row>
    <row r="116" spans="1:32" ht="13">
      <c r="A116" s="1" t="s">
        <v>563</v>
      </c>
      <c r="B116" s="1" t="s">
        <v>34</v>
      </c>
      <c r="C116" s="1" t="s">
        <v>35</v>
      </c>
      <c r="D116" s="1"/>
      <c r="E116" s="6">
        <v>18024</v>
      </c>
      <c r="F116" s="1" t="s">
        <v>84</v>
      </c>
      <c r="G116" s="1">
        <v>1980</v>
      </c>
      <c r="H116" s="1">
        <v>9</v>
      </c>
      <c r="I116" s="7">
        <v>29370</v>
      </c>
      <c r="J116" s="7">
        <v>41789</v>
      </c>
      <c r="K116" s="8" t="s">
        <v>37</v>
      </c>
      <c r="L116" s="9" t="e">
        <f t="shared" ca="1" si="0"/>
        <v>#NAME?</v>
      </c>
      <c r="M116" s="9" t="e">
        <f t="shared" ca="1" si="1"/>
        <v>#NAME?</v>
      </c>
      <c r="N116" s="10" t="e">
        <f t="shared" ca="1" si="2"/>
        <v>#NAME?</v>
      </c>
      <c r="O116" s="1" t="s">
        <v>38</v>
      </c>
      <c r="P116" s="1"/>
      <c r="Q116" s="1" t="s">
        <v>521</v>
      </c>
      <c r="R116" s="1" t="s">
        <v>564</v>
      </c>
      <c r="S116" s="1" t="s">
        <v>565</v>
      </c>
      <c r="T116" s="1" t="s">
        <v>42</v>
      </c>
      <c r="U116" s="1" t="s">
        <v>42</v>
      </c>
      <c r="V116" s="1" t="s">
        <v>71</v>
      </c>
      <c r="W116" s="1" t="s">
        <v>44</v>
      </c>
      <c r="X116" s="1">
        <v>3</v>
      </c>
      <c r="Y116" s="7">
        <v>30960</v>
      </c>
      <c r="Z116" s="7">
        <v>33687</v>
      </c>
      <c r="AA116" s="1">
        <v>532</v>
      </c>
      <c r="AB116" s="1">
        <v>1</v>
      </c>
      <c r="AC116" s="1">
        <v>3</v>
      </c>
      <c r="AD116" s="1" t="s">
        <v>566</v>
      </c>
    </row>
    <row r="117" spans="1:32" ht="13">
      <c r="A117" s="1" t="s">
        <v>567</v>
      </c>
      <c r="B117" s="1" t="s">
        <v>34</v>
      </c>
      <c r="C117" s="1" t="s">
        <v>35</v>
      </c>
      <c r="D117" s="1"/>
      <c r="E117" s="6">
        <v>16981</v>
      </c>
      <c r="F117" s="1" t="s">
        <v>84</v>
      </c>
      <c r="G117" s="1">
        <v>1980</v>
      </c>
      <c r="H117" s="1">
        <v>9</v>
      </c>
      <c r="I117" s="7">
        <v>29370</v>
      </c>
      <c r="J117" s="7">
        <v>33409</v>
      </c>
      <c r="K117" s="8" t="s">
        <v>37</v>
      </c>
      <c r="L117" s="9" t="e">
        <f t="shared" ca="1" si="0"/>
        <v>#NAME?</v>
      </c>
      <c r="M117" s="9" t="e">
        <f t="shared" ca="1" si="1"/>
        <v>#NAME?</v>
      </c>
      <c r="N117" s="10" t="e">
        <f t="shared" ca="1" si="2"/>
        <v>#NAME?</v>
      </c>
      <c r="O117" s="1" t="s">
        <v>38</v>
      </c>
      <c r="P117" s="1"/>
      <c r="Q117" s="1" t="s">
        <v>39</v>
      </c>
      <c r="R117" s="1" t="s">
        <v>223</v>
      </c>
      <c r="S117" s="1" t="s">
        <v>568</v>
      </c>
      <c r="T117" s="1" t="s">
        <v>289</v>
      </c>
      <c r="U117" s="1" t="s">
        <v>569</v>
      </c>
      <c r="X117" s="1">
        <v>3</v>
      </c>
      <c r="Y117" s="7">
        <v>31286</v>
      </c>
      <c r="Z117" s="7">
        <v>33209</v>
      </c>
      <c r="AA117" s="1">
        <v>483</v>
      </c>
      <c r="AB117" s="1">
        <v>0</v>
      </c>
      <c r="AC117" s="1">
        <v>0</v>
      </c>
      <c r="AD117" s="1" t="s">
        <v>570</v>
      </c>
      <c r="AE117" s="6">
        <v>40603</v>
      </c>
    </row>
    <row r="118" spans="1:32" ht="13">
      <c r="A118" s="1" t="s">
        <v>571</v>
      </c>
      <c r="B118" s="1" t="s">
        <v>34</v>
      </c>
      <c r="C118" s="1" t="s">
        <v>35</v>
      </c>
      <c r="D118" s="1"/>
      <c r="E118" s="6">
        <v>17051</v>
      </c>
      <c r="F118" s="1" t="s">
        <v>84</v>
      </c>
      <c r="G118" s="1">
        <v>1980</v>
      </c>
      <c r="H118" s="1">
        <v>9</v>
      </c>
      <c r="I118" s="7">
        <v>29370</v>
      </c>
      <c r="J118" s="7">
        <v>40770</v>
      </c>
      <c r="K118" s="8" t="s">
        <v>37</v>
      </c>
      <c r="L118" s="9" t="e">
        <f t="shared" ca="1" si="0"/>
        <v>#NAME?</v>
      </c>
      <c r="M118" s="9" t="e">
        <f t="shared" ca="1" si="1"/>
        <v>#NAME?</v>
      </c>
      <c r="N118" s="10" t="e">
        <f t="shared" ca="1" si="2"/>
        <v>#NAME?</v>
      </c>
      <c r="O118" s="1" t="s">
        <v>38</v>
      </c>
      <c r="P118" s="1"/>
      <c r="Q118" s="1" t="s">
        <v>90</v>
      </c>
      <c r="R118" s="1" t="s">
        <v>572</v>
      </c>
      <c r="S118" s="1" t="s">
        <v>573</v>
      </c>
      <c r="T118" s="1" t="s">
        <v>55</v>
      </c>
      <c r="U118" s="1" t="s">
        <v>574</v>
      </c>
      <c r="V118" s="1" t="s">
        <v>49</v>
      </c>
      <c r="W118" s="1" t="s">
        <v>56</v>
      </c>
      <c r="X118" s="1">
        <v>2</v>
      </c>
      <c r="Y118" s="7">
        <v>31377</v>
      </c>
      <c r="Z118" s="7">
        <v>33394</v>
      </c>
      <c r="AA118" s="1">
        <v>383</v>
      </c>
      <c r="AB118" s="1">
        <v>0</v>
      </c>
      <c r="AC118" s="1">
        <v>0</v>
      </c>
      <c r="AD118" s="1" t="s">
        <v>575</v>
      </c>
    </row>
    <row r="119" spans="1:32" ht="13">
      <c r="A119" s="1" t="s">
        <v>576</v>
      </c>
      <c r="B119" s="1" t="s">
        <v>34</v>
      </c>
      <c r="C119" s="1" t="s">
        <v>35</v>
      </c>
      <c r="D119" s="1"/>
      <c r="E119" s="6">
        <v>17038</v>
      </c>
      <c r="F119" s="1" t="s">
        <v>84</v>
      </c>
      <c r="G119" s="1">
        <v>1980</v>
      </c>
      <c r="H119" s="1">
        <v>9</v>
      </c>
      <c r="I119" s="7">
        <v>29370</v>
      </c>
      <c r="J119" s="7">
        <v>36022</v>
      </c>
      <c r="K119" s="8" t="s">
        <v>37</v>
      </c>
      <c r="L119" s="9" t="e">
        <f t="shared" ca="1" si="0"/>
        <v>#NAME?</v>
      </c>
      <c r="M119" s="9" t="e">
        <f t="shared" ca="1" si="1"/>
        <v>#NAME?</v>
      </c>
      <c r="N119" s="10" t="e">
        <f t="shared" ca="1" si="2"/>
        <v>#NAME?</v>
      </c>
      <c r="O119" s="1" t="s">
        <v>38</v>
      </c>
      <c r="P119" s="1"/>
      <c r="Q119" s="1" t="s">
        <v>90</v>
      </c>
      <c r="R119" s="1" t="s">
        <v>577</v>
      </c>
      <c r="S119" s="1" t="s">
        <v>578</v>
      </c>
      <c r="T119" s="1" t="s">
        <v>579</v>
      </c>
      <c r="U119" s="1" t="s">
        <v>574</v>
      </c>
      <c r="V119" s="1" t="s">
        <v>71</v>
      </c>
      <c r="W119" s="1" t="s">
        <v>44</v>
      </c>
      <c r="X119" s="1">
        <v>4</v>
      </c>
      <c r="Y119" s="7">
        <v>32728</v>
      </c>
      <c r="Z119" s="7">
        <v>34586</v>
      </c>
      <c r="AA119" s="1">
        <v>813</v>
      </c>
      <c r="AB119" s="1">
        <v>0</v>
      </c>
      <c r="AC119" s="1">
        <v>0</v>
      </c>
      <c r="AD119" s="1" t="s">
        <v>580</v>
      </c>
    </row>
    <row r="120" spans="1:32" ht="13">
      <c r="A120" s="1" t="s">
        <v>581</v>
      </c>
      <c r="B120" s="1" t="s">
        <v>34</v>
      </c>
      <c r="C120" s="1" t="s">
        <v>35</v>
      </c>
      <c r="D120" s="1"/>
      <c r="E120" s="6">
        <v>17552</v>
      </c>
      <c r="F120" s="1" t="s">
        <v>84</v>
      </c>
      <c r="G120" s="1">
        <v>1980</v>
      </c>
      <c r="H120" s="1">
        <v>9</v>
      </c>
      <c r="I120" s="7">
        <v>29370</v>
      </c>
      <c r="J120" s="7">
        <v>40928</v>
      </c>
      <c r="K120" s="8" t="s">
        <v>37</v>
      </c>
      <c r="L120" s="9" t="e">
        <f t="shared" ca="1" si="0"/>
        <v>#NAME?</v>
      </c>
      <c r="M120" s="9" t="e">
        <f t="shared" ca="1" si="1"/>
        <v>#NAME?</v>
      </c>
      <c r="N120" s="10" t="e">
        <f t="shared" ca="1" si="2"/>
        <v>#NAME?</v>
      </c>
      <c r="O120" s="1" t="s">
        <v>38</v>
      </c>
      <c r="P120" s="1"/>
      <c r="Q120" s="1" t="s">
        <v>90</v>
      </c>
      <c r="R120" s="1" t="s">
        <v>582</v>
      </c>
      <c r="S120" s="1" t="s">
        <v>61</v>
      </c>
      <c r="T120" s="1" t="s">
        <v>62</v>
      </c>
      <c r="U120" s="1" t="s">
        <v>62</v>
      </c>
      <c r="V120" s="1" t="s">
        <v>49</v>
      </c>
      <c r="W120" s="1" t="s">
        <v>50</v>
      </c>
      <c r="X120" s="1">
        <v>7</v>
      </c>
      <c r="Y120" s="7">
        <v>31377</v>
      </c>
      <c r="Z120" s="7">
        <v>37354</v>
      </c>
      <c r="AA120" s="1">
        <v>1393</v>
      </c>
      <c r="AB120" s="1">
        <v>9</v>
      </c>
      <c r="AC120" s="1">
        <v>58</v>
      </c>
      <c r="AD120" s="1" t="s">
        <v>583</v>
      </c>
    </row>
    <row r="121" spans="1:32" ht="13">
      <c r="A121" s="1" t="s">
        <v>584</v>
      </c>
      <c r="B121" s="1" t="s">
        <v>34</v>
      </c>
      <c r="C121" s="1" t="s">
        <v>35</v>
      </c>
      <c r="D121" s="1"/>
      <c r="E121" s="6">
        <v>16557</v>
      </c>
      <c r="F121" s="1" t="s">
        <v>84</v>
      </c>
      <c r="G121" s="1">
        <v>1980</v>
      </c>
      <c r="H121" s="1">
        <v>9</v>
      </c>
      <c r="I121" s="7">
        <v>29370</v>
      </c>
      <c r="J121" s="12">
        <v>31440</v>
      </c>
      <c r="K121" s="13" t="s">
        <v>59</v>
      </c>
      <c r="L121" s="9" t="e">
        <f t="shared" ca="1" si="0"/>
        <v>#NAME?</v>
      </c>
      <c r="M121" s="9" t="e">
        <f t="shared" ca="1" si="1"/>
        <v>#NAME?</v>
      </c>
      <c r="N121" s="10" t="e">
        <f t="shared" ca="1" si="2"/>
        <v>#NAME?</v>
      </c>
      <c r="O121" s="1" t="s">
        <v>38</v>
      </c>
      <c r="P121" s="1"/>
      <c r="Q121" s="1" t="s">
        <v>39</v>
      </c>
      <c r="R121" s="1" t="s">
        <v>585</v>
      </c>
      <c r="S121" s="1" t="s">
        <v>565</v>
      </c>
      <c r="T121" s="1" t="s">
        <v>70</v>
      </c>
      <c r="U121" s="1" t="s">
        <v>42</v>
      </c>
      <c r="V121" s="1" t="s">
        <v>71</v>
      </c>
      <c r="W121" s="1" t="s">
        <v>150</v>
      </c>
      <c r="X121" s="1">
        <v>1</v>
      </c>
      <c r="Y121" s="7">
        <v>31440</v>
      </c>
      <c r="Z121" s="7">
        <v>31440</v>
      </c>
      <c r="AA121" s="1">
        <v>0</v>
      </c>
      <c r="AB121" s="1">
        <v>0</v>
      </c>
      <c r="AC121" s="1">
        <v>0</v>
      </c>
      <c r="AD121" s="1" t="s">
        <v>444</v>
      </c>
      <c r="AE121" s="6">
        <v>31440</v>
      </c>
      <c r="AF121" s="1" t="s">
        <v>444</v>
      </c>
    </row>
    <row r="122" spans="1:32" ht="13">
      <c r="A122" s="1" t="s">
        <v>586</v>
      </c>
      <c r="B122" s="1" t="s">
        <v>34</v>
      </c>
      <c r="C122" s="1" t="s">
        <v>35</v>
      </c>
      <c r="D122" s="1"/>
      <c r="E122" s="6">
        <v>16338</v>
      </c>
      <c r="F122" s="1" t="s">
        <v>84</v>
      </c>
      <c r="G122" s="1">
        <v>1980</v>
      </c>
      <c r="H122" s="1">
        <v>9</v>
      </c>
      <c r="I122" s="7">
        <v>29370</v>
      </c>
      <c r="J122" s="7">
        <v>32370</v>
      </c>
      <c r="K122" s="8" t="s">
        <v>37</v>
      </c>
      <c r="L122" s="9" t="e">
        <f t="shared" ca="1" si="0"/>
        <v>#NAME?</v>
      </c>
      <c r="M122" s="9" t="e">
        <f t="shared" ca="1" si="1"/>
        <v>#NAME?</v>
      </c>
      <c r="N122" s="10" t="e">
        <f t="shared" ca="1" si="2"/>
        <v>#NAME?</v>
      </c>
      <c r="O122" s="1" t="s">
        <v>38</v>
      </c>
      <c r="P122" s="1"/>
      <c r="Q122" s="1" t="s">
        <v>90</v>
      </c>
      <c r="R122" s="1" t="s">
        <v>587</v>
      </c>
      <c r="S122" s="1" t="s">
        <v>588</v>
      </c>
      <c r="T122" s="1" t="s">
        <v>55</v>
      </c>
      <c r="U122" s="1" t="s">
        <v>87</v>
      </c>
      <c r="V122" s="1" t="s">
        <v>49</v>
      </c>
      <c r="W122" s="1" t="s">
        <v>490</v>
      </c>
      <c r="X122" s="1">
        <v>1</v>
      </c>
      <c r="Y122" s="7">
        <v>31377</v>
      </c>
      <c r="Z122" s="7">
        <v>31377</v>
      </c>
      <c r="AA122" s="1">
        <v>165</v>
      </c>
      <c r="AB122" s="1">
        <v>2</v>
      </c>
      <c r="AC122" s="1">
        <v>12</v>
      </c>
      <c r="AD122" s="1" t="s">
        <v>589</v>
      </c>
    </row>
    <row r="123" spans="1:32" ht="13">
      <c r="A123" s="1" t="s">
        <v>590</v>
      </c>
      <c r="B123" s="1" t="s">
        <v>34</v>
      </c>
      <c r="C123" s="1" t="s">
        <v>35</v>
      </c>
      <c r="D123" s="1"/>
      <c r="E123" s="6">
        <v>15482</v>
      </c>
      <c r="F123" s="1" t="s">
        <v>84</v>
      </c>
      <c r="G123" s="1">
        <v>1980</v>
      </c>
      <c r="H123" s="1">
        <v>9</v>
      </c>
      <c r="I123" s="7">
        <v>29370</v>
      </c>
      <c r="J123" s="7">
        <v>33222</v>
      </c>
      <c r="K123" s="8" t="s">
        <v>37</v>
      </c>
      <c r="L123" s="9" t="e">
        <f t="shared" ca="1" si="0"/>
        <v>#NAME?</v>
      </c>
      <c r="M123" s="9" t="e">
        <f t="shared" ca="1" si="1"/>
        <v>#NAME?</v>
      </c>
      <c r="N123" s="10" t="e">
        <f t="shared" ca="1" si="2"/>
        <v>#NAME?</v>
      </c>
      <c r="O123" s="1" t="s">
        <v>38</v>
      </c>
      <c r="P123" s="1"/>
      <c r="Q123" s="1" t="s">
        <v>90</v>
      </c>
      <c r="R123" s="1" t="s">
        <v>591</v>
      </c>
      <c r="S123" s="1" t="s">
        <v>565</v>
      </c>
      <c r="T123" s="1" t="s">
        <v>70</v>
      </c>
      <c r="U123" s="1" t="s">
        <v>592</v>
      </c>
      <c r="V123" s="1" t="s">
        <v>49</v>
      </c>
      <c r="W123" s="1" t="s">
        <v>56</v>
      </c>
      <c r="X123" s="1">
        <v>2</v>
      </c>
      <c r="Y123" s="7">
        <v>32580</v>
      </c>
      <c r="Z123" s="7">
        <v>33192</v>
      </c>
      <c r="AA123" s="1">
        <v>237</v>
      </c>
      <c r="AB123" s="1">
        <v>0</v>
      </c>
      <c r="AC123" s="1">
        <v>0</v>
      </c>
      <c r="AD123" s="1" t="s">
        <v>593</v>
      </c>
    </row>
    <row r="124" spans="1:32" ht="13">
      <c r="A124" s="1" t="s">
        <v>594</v>
      </c>
      <c r="B124" s="1" t="s">
        <v>34</v>
      </c>
      <c r="C124" s="1" t="s">
        <v>35</v>
      </c>
      <c r="D124" s="1"/>
      <c r="E124" s="6">
        <v>16864</v>
      </c>
      <c r="F124" s="1" t="s">
        <v>84</v>
      </c>
      <c r="G124" s="1">
        <v>1984</v>
      </c>
      <c r="H124" s="1">
        <v>10</v>
      </c>
      <c r="I124" s="7">
        <v>30825</v>
      </c>
      <c r="J124" s="20">
        <v>33756</v>
      </c>
      <c r="K124" s="8" t="s">
        <v>37</v>
      </c>
      <c r="L124" s="9" t="e">
        <f t="shared" ca="1" si="0"/>
        <v>#NAME?</v>
      </c>
      <c r="M124" s="9" t="e">
        <f t="shared" ca="1" si="1"/>
        <v>#NAME?</v>
      </c>
      <c r="N124" s="10" t="e">
        <f t="shared" ca="1" si="2"/>
        <v>#NAME?</v>
      </c>
      <c r="O124" s="1" t="s">
        <v>38</v>
      </c>
      <c r="P124" s="1"/>
      <c r="Q124" s="1" t="s">
        <v>90</v>
      </c>
      <c r="R124" s="1" t="s">
        <v>595</v>
      </c>
      <c r="S124" s="1" t="s">
        <v>596</v>
      </c>
      <c r="T124" s="1" t="s">
        <v>55</v>
      </c>
      <c r="U124" s="1" t="s">
        <v>87</v>
      </c>
      <c r="V124" s="1" t="s">
        <v>49</v>
      </c>
      <c r="W124" s="1" t="s">
        <v>490</v>
      </c>
      <c r="X124" s="1">
        <v>2</v>
      </c>
      <c r="Y124" s="7">
        <v>32728</v>
      </c>
      <c r="Z124" s="7">
        <v>33452</v>
      </c>
      <c r="AA124" s="1">
        <v>334</v>
      </c>
      <c r="AB124" s="1">
        <v>0</v>
      </c>
      <c r="AC124" s="1">
        <v>0</v>
      </c>
      <c r="AD124" s="1" t="s">
        <v>597</v>
      </c>
    </row>
    <row r="125" spans="1:32" ht="13">
      <c r="A125" s="1" t="s">
        <v>598</v>
      </c>
      <c r="B125" s="1" t="s">
        <v>394</v>
      </c>
      <c r="C125" s="1" t="s">
        <v>35</v>
      </c>
      <c r="D125" s="1"/>
      <c r="E125" s="6">
        <v>19476</v>
      </c>
      <c r="F125" s="1" t="s">
        <v>124</v>
      </c>
      <c r="G125" s="1">
        <v>1984</v>
      </c>
      <c r="H125" s="1">
        <v>10</v>
      </c>
      <c r="I125" s="7">
        <v>30825</v>
      </c>
      <c r="J125" s="7">
        <v>40892</v>
      </c>
      <c r="K125" s="8" t="s">
        <v>37</v>
      </c>
      <c r="L125" s="9" t="e">
        <f t="shared" ca="1" si="0"/>
        <v>#NAME?</v>
      </c>
      <c r="M125" s="9" t="e">
        <f t="shared" ca="1" si="1"/>
        <v>#NAME?</v>
      </c>
      <c r="N125" s="10" t="e">
        <f t="shared" ca="1" si="2"/>
        <v>#NAME?</v>
      </c>
      <c r="O125" s="1" t="s">
        <v>38</v>
      </c>
      <c r="P125" s="1"/>
      <c r="Q125" s="1" t="s">
        <v>90</v>
      </c>
      <c r="R125" s="1" t="s">
        <v>599</v>
      </c>
      <c r="S125" s="1" t="s">
        <v>600</v>
      </c>
      <c r="T125" s="1" t="s">
        <v>210</v>
      </c>
      <c r="U125" s="1" t="s">
        <v>601</v>
      </c>
      <c r="X125" s="1">
        <v>3</v>
      </c>
      <c r="Y125" s="7">
        <v>32799</v>
      </c>
      <c r="Z125" s="7">
        <v>34877</v>
      </c>
      <c r="AA125" s="1">
        <v>686</v>
      </c>
      <c r="AB125" s="1">
        <v>0</v>
      </c>
      <c r="AC125" s="1">
        <v>0</v>
      </c>
      <c r="AD125" s="1" t="s">
        <v>602</v>
      </c>
    </row>
    <row r="126" spans="1:32" ht="13">
      <c r="A126" s="1" t="s">
        <v>603</v>
      </c>
      <c r="B126" s="1" t="s">
        <v>34</v>
      </c>
      <c r="C126" s="1" t="s">
        <v>35</v>
      </c>
      <c r="D126" s="1"/>
      <c r="E126" s="6">
        <v>18950</v>
      </c>
      <c r="F126" s="1" t="s">
        <v>84</v>
      </c>
      <c r="G126" s="1">
        <v>1984</v>
      </c>
      <c r="H126" s="1">
        <v>10</v>
      </c>
      <c r="I126" s="7">
        <v>30825</v>
      </c>
      <c r="J126" s="7">
        <v>34165</v>
      </c>
      <c r="K126" s="8" t="s">
        <v>37</v>
      </c>
      <c r="L126" s="9" t="e">
        <f t="shared" ca="1" si="0"/>
        <v>#NAME?</v>
      </c>
      <c r="M126" s="9" t="e">
        <f t="shared" ca="1" si="1"/>
        <v>#NAME?</v>
      </c>
      <c r="N126" s="10" t="e">
        <f t="shared" ca="1" si="2"/>
        <v>#NAME?</v>
      </c>
      <c r="O126" s="1" t="s">
        <v>38</v>
      </c>
      <c r="P126" s="1"/>
      <c r="Q126" s="1" t="s">
        <v>90</v>
      </c>
      <c r="R126" s="1" t="s">
        <v>604</v>
      </c>
      <c r="S126" s="1" t="s">
        <v>605</v>
      </c>
      <c r="T126" s="1" t="s">
        <v>285</v>
      </c>
      <c r="U126" s="1" t="s">
        <v>104</v>
      </c>
      <c r="V126" s="1" t="s">
        <v>49</v>
      </c>
      <c r="W126" s="1" t="s">
        <v>50</v>
      </c>
      <c r="X126" s="1">
        <v>2</v>
      </c>
      <c r="Y126" s="7">
        <v>32728</v>
      </c>
      <c r="Z126" s="7">
        <v>33493</v>
      </c>
      <c r="AA126" s="1">
        <v>249</v>
      </c>
      <c r="AB126" s="1">
        <v>0</v>
      </c>
      <c r="AC126" s="1">
        <v>0</v>
      </c>
      <c r="AD126" s="1" t="s">
        <v>606</v>
      </c>
    </row>
    <row r="127" spans="1:32" ht="13">
      <c r="A127" s="1" t="s">
        <v>607</v>
      </c>
      <c r="B127" s="1" t="s">
        <v>34</v>
      </c>
      <c r="C127" s="1" t="s">
        <v>35</v>
      </c>
      <c r="D127" s="1"/>
      <c r="E127" s="6">
        <v>18231</v>
      </c>
      <c r="F127" s="1" t="s">
        <v>84</v>
      </c>
      <c r="G127" s="1">
        <v>1984</v>
      </c>
      <c r="H127" s="1">
        <v>10</v>
      </c>
      <c r="I127" s="7">
        <v>30825</v>
      </c>
      <c r="J127" s="7">
        <v>39797</v>
      </c>
      <c r="K127" s="8" t="s">
        <v>37</v>
      </c>
      <c r="L127" s="9" t="e">
        <f t="shared" ca="1" si="0"/>
        <v>#NAME?</v>
      </c>
      <c r="M127" s="9" t="e">
        <f t="shared" ca="1" si="1"/>
        <v>#NAME?</v>
      </c>
      <c r="N127" s="10" t="e">
        <f t="shared" ca="1" si="2"/>
        <v>#NAME?</v>
      </c>
      <c r="O127" s="1" t="s">
        <v>38</v>
      </c>
      <c r="P127" s="1"/>
      <c r="Q127" s="1" t="s">
        <v>90</v>
      </c>
      <c r="R127" s="1" t="s">
        <v>99</v>
      </c>
      <c r="S127" s="1" t="s">
        <v>608</v>
      </c>
      <c r="T127" s="1" t="s">
        <v>175</v>
      </c>
      <c r="U127" s="1" t="s">
        <v>609</v>
      </c>
      <c r="V127" s="1" t="s">
        <v>49</v>
      </c>
      <c r="W127" s="1" t="s">
        <v>56</v>
      </c>
      <c r="X127" s="1">
        <v>3</v>
      </c>
      <c r="Y127" s="7">
        <v>33333</v>
      </c>
      <c r="Z127" s="7">
        <v>35015</v>
      </c>
      <c r="AA127" s="1">
        <v>562</v>
      </c>
      <c r="AB127" s="1">
        <v>0</v>
      </c>
      <c r="AC127" s="1">
        <v>0</v>
      </c>
      <c r="AD127" s="1" t="s">
        <v>610</v>
      </c>
    </row>
    <row r="128" spans="1:32" ht="13">
      <c r="A128" s="1" t="s">
        <v>611</v>
      </c>
      <c r="B128" s="1" t="s">
        <v>34</v>
      </c>
      <c r="C128" s="1" t="s">
        <v>35</v>
      </c>
      <c r="D128" s="1"/>
      <c r="E128" s="6">
        <v>17394</v>
      </c>
      <c r="F128" s="1" t="s">
        <v>124</v>
      </c>
      <c r="G128" s="1">
        <v>1984</v>
      </c>
      <c r="H128" s="1">
        <v>10</v>
      </c>
      <c r="I128" s="7">
        <v>30825</v>
      </c>
      <c r="J128" s="12">
        <v>33333</v>
      </c>
      <c r="K128" s="13" t="s">
        <v>59</v>
      </c>
      <c r="L128" s="9" t="e">
        <f t="shared" ca="1" si="0"/>
        <v>#NAME?</v>
      </c>
      <c r="M128" s="9" t="e">
        <f t="shared" ca="1" si="1"/>
        <v>#NAME?</v>
      </c>
      <c r="N128" s="10" t="e">
        <f t="shared" ca="1" si="2"/>
        <v>#NAME?</v>
      </c>
      <c r="O128" s="1" t="s">
        <v>38</v>
      </c>
      <c r="P128" s="1"/>
      <c r="Q128" s="1" t="s">
        <v>39</v>
      </c>
      <c r="R128" s="1" t="s">
        <v>612</v>
      </c>
      <c r="S128" s="1" t="s">
        <v>613</v>
      </c>
      <c r="T128" s="1" t="s">
        <v>170</v>
      </c>
      <c r="U128" s="1" t="s">
        <v>201</v>
      </c>
      <c r="V128" s="1" t="s">
        <v>71</v>
      </c>
      <c r="W128" s="1" t="s">
        <v>150</v>
      </c>
      <c r="X128" s="1">
        <v>1</v>
      </c>
      <c r="Y128" s="7">
        <v>32834</v>
      </c>
      <c r="Z128" s="7">
        <v>32834</v>
      </c>
      <c r="AA128" s="1">
        <v>120</v>
      </c>
      <c r="AB128" s="1">
        <v>0</v>
      </c>
      <c r="AC128" s="1">
        <v>0</v>
      </c>
      <c r="AD128" s="1" t="s">
        <v>614</v>
      </c>
      <c r="AE128" s="6">
        <v>33333</v>
      </c>
    </row>
    <row r="129" spans="1:31" ht="13">
      <c r="A129" s="1" t="s">
        <v>615</v>
      </c>
      <c r="B129" s="1" t="s">
        <v>34</v>
      </c>
      <c r="C129" s="1" t="s">
        <v>35</v>
      </c>
      <c r="D129" s="1"/>
      <c r="E129" s="6">
        <v>15896</v>
      </c>
      <c r="F129" s="1" t="s">
        <v>84</v>
      </c>
      <c r="G129" s="1">
        <v>1984</v>
      </c>
      <c r="H129" s="1">
        <v>10</v>
      </c>
      <c r="I129" s="7">
        <v>30825</v>
      </c>
      <c r="J129" s="12">
        <v>39800</v>
      </c>
      <c r="K129" s="13" t="s">
        <v>59</v>
      </c>
      <c r="L129" s="9" t="e">
        <f t="shared" ca="1" si="0"/>
        <v>#NAME?</v>
      </c>
      <c r="M129" s="9" t="e">
        <f t="shared" ca="1" si="1"/>
        <v>#NAME?</v>
      </c>
      <c r="N129" s="10" t="e">
        <f t="shared" ca="1" si="2"/>
        <v>#NAME?</v>
      </c>
      <c r="O129" s="1" t="s">
        <v>38</v>
      </c>
      <c r="P129" s="1"/>
      <c r="Q129" s="1" t="s">
        <v>521</v>
      </c>
      <c r="R129" s="1" t="s">
        <v>616</v>
      </c>
      <c r="S129" s="1" t="s">
        <v>381</v>
      </c>
      <c r="T129" s="1" t="s">
        <v>346</v>
      </c>
      <c r="U129" s="1" t="s">
        <v>127</v>
      </c>
      <c r="V129" s="1" t="s">
        <v>49</v>
      </c>
      <c r="W129" s="1" t="s">
        <v>50</v>
      </c>
      <c r="X129" s="1">
        <v>4</v>
      </c>
      <c r="Y129" s="7">
        <v>32932</v>
      </c>
      <c r="Z129" s="7">
        <v>35204</v>
      </c>
      <c r="AA129" s="1">
        <v>825</v>
      </c>
      <c r="AB129" s="1">
        <v>0</v>
      </c>
      <c r="AC129" s="1">
        <v>0</v>
      </c>
      <c r="AD129" s="1" t="s">
        <v>617</v>
      </c>
    </row>
    <row r="130" spans="1:31" ht="13">
      <c r="A130" s="1" t="s">
        <v>618</v>
      </c>
      <c r="B130" s="1" t="s">
        <v>34</v>
      </c>
      <c r="C130" s="1" t="s">
        <v>35</v>
      </c>
      <c r="D130" s="1"/>
      <c r="E130" s="6">
        <v>18033</v>
      </c>
      <c r="F130" s="1" t="s">
        <v>36</v>
      </c>
      <c r="G130" s="1">
        <v>1984</v>
      </c>
      <c r="H130" s="1">
        <v>10</v>
      </c>
      <c r="I130" s="7">
        <v>30825</v>
      </c>
      <c r="J130" s="7">
        <v>37492</v>
      </c>
      <c r="K130" s="8" t="s">
        <v>37</v>
      </c>
      <c r="L130" s="9" t="e">
        <f t="shared" ca="1" si="0"/>
        <v>#NAME?</v>
      </c>
      <c r="M130" s="9" t="e">
        <f t="shared" ca="1" si="1"/>
        <v>#NAME?</v>
      </c>
      <c r="N130" s="10" t="e">
        <f t="shared" ca="1" si="2"/>
        <v>#NAME?</v>
      </c>
      <c r="O130" s="1" t="s">
        <v>38</v>
      </c>
      <c r="P130" s="1"/>
      <c r="Q130" s="1" t="s">
        <v>90</v>
      </c>
      <c r="R130" s="1" t="s">
        <v>619</v>
      </c>
      <c r="S130" s="1" t="s">
        <v>69</v>
      </c>
      <c r="T130" s="1" t="s">
        <v>87</v>
      </c>
      <c r="V130" s="1" t="s">
        <v>71</v>
      </c>
      <c r="W130" s="1" t="s">
        <v>44</v>
      </c>
      <c r="X130" s="1">
        <v>3</v>
      </c>
      <c r="Y130" s="7">
        <v>33192</v>
      </c>
      <c r="Z130" s="7">
        <v>37205</v>
      </c>
      <c r="AA130" s="1">
        <v>3446</v>
      </c>
      <c r="AB130" s="1">
        <v>1</v>
      </c>
      <c r="AC130" s="1">
        <v>5</v>
      </c>
      <c r="AD130" s="1" t="s">
        <v>620</v>
      </c>
    </row>
    <row r="131" spans="1:31" ht="13">
      <c r="A131" s="1" t="s">
        <v>626</v>
      </c>
      <c r="B131" s="1" t="s">
        <v>34</v>
      </c>
      <c r="C131" s="1" t="s">
        <v>35</v>
      </c>
      <c r="D131" s="1"/>
      <c r="E131" s="6">
        <v>19009</v>
      </c>
      <c r="F131" s="1" t="s">
        <v>84</v>
      </c>
      <c r="G131" s="1">
        <v>1984</v>
      </c>
      <c r="H131" s="1">
        <v>10</v>
      </c>
      <c r="I131" s="7">
        <v>30825</v>
      </c>
      <c r="J131" s="7">
        <v>35849</v>
      </c>
      <c r="K131" s="8" t="s">
        <v>37</v>
      </c>
      <c r="L131" s="9" t="e">
        <f t="shared" ca="1" si="0"/>
        <v>#NAME?</v>
      </c>
      <c r="M131" s="9" t="e">
        <f t="shared" ca="1" si="1"/>
        <v>#NAME?</v>
      </c>
      <c r="N131" s="10" t="e">
        <f t="shared" ca="1" si="2"/>
        <v>#NAME?</v>
      </c>
      <c r="O131" s="1" t="s">
        <v>38</v>
      </c>
      <c r="P131" s="1"/>
      <c r="Q131" s="1" t="s">
        <v>90</v>
      </c>
      <c r="R131" s="1" t="s">
        <v>627</v>
      </c>
      <c r="S131" s="1" t="s">
        <v>628</v>
      </c>
      <c r="T131" s="1" t="s">
        <v>346</v>
      </c>
      <c r="U131" s="1" t="s">
        <v>346</v>
      </c>
      <c r="V131" s="1" t="s">
        <v>49</v>
      </c>
      <c r="W131" s="1" t="s">
        <v>50</v>
      </c>
      <c r="X131" s="1">
        <v>2</v>
      </c>
      <c r="Y131" s="7">
        <v>33356</v>
      </c>
      <c r="Z131" s="7">
        <v>34586</v>
      </c>
      <c r="AA131" s="1">
        <v>462</v>
      </c>
      <c r="AB131" s="1">
        <v>0</v>
      </c>
      <c r="AC131" s="1">
        <v>0</v>
      </c>
      <c r="AD131" s="1" t="s">
        <v>629</v>
      </c>
    </row>
    <row r="132" spans="1:31" ht="13">
      <c r="A132" s="1" t="s">
        <v>630</v>
      </c>
      <c r="B132" s="1" t="s">
        <v>394</v>
      </c>
      <c r="C132" s="1" t="s">
        <v>35</v>
      </c>
      <c r="D132" s="1"/>
      <c r="E132" s="6">
        <v>18733</v>
      </c>
      <c r="F132" s="1" t="s">
        <v>36</v>
      </c>
      <c r="G132" s="1">
        <v>1984</v>
      </c>
      <c r="H132" s="1">
        <v>10</v>
      </c>
      <c r="I132" s="7">
        <v>30825</v>
      </c>
      <c r="J132" s="7">
        <v>40543</v>
      </c>
      <c r="K132" s="8" t="s">
        <v>37</v>
      </c>
      <c r="L132" s="9" t="e">
        <f t="shared" ca="1" si="0"/>
        <v>#NAME?</v>
      </c>
      <c r="M132" s="9" t="e">
        <f t="shared" ca="1" si="1"/>
        <v>#NAME?</v>
      </c>
      <c r="N132" s="10" t="e">
        <f t="shared" ca="1" si="2"/>
        <v>#NAME?</v>
      </c>
      <c r="O132" s="1" t="s">
        <v>38</v>
      </c>
      <c r="P132" s="1"/>
      <c r="Q132" s="1" t="s">
        <v>90</v>
      </c>
      <c r="R132" s="1" t="s">
        <v>631</v>
      </c>
      <c r="S132" s="1" t="s">
        <v>41</v>
      </c>
      <c r="T132" s="1" t="s">
        <v>87</v>
      </c>
      <c r="X132" s="1">
        <v>5</v>
      </c>
      <c r="Y132" s="7">
        <v>32882</v>
      </c>
      <c r="Z132" s="7">
        <v>36929</v>
      </c>
      <c r="AA132" s="1">
        <v>1341</v>
      </c>
      <c r="AB132" s="1">
        <v>0</v>
      </c>
      <c r="AC132" s="1">
        <v>0</v>
      </c>
      <c r="AD132" s="1" t="s">
        <v>632</v>
      </c>
    </row>
    <row r="133" spans="1:31" ht="13">
      <c r="A133" s="1" t="s">
        <v>633</v>
      </c>
      <c r="B133" s="1" t="s">
        <v>34</v>
      </c>
      <c r="C133" s="1" t="s">
        <v>35</v>
      </c>
      <c r="D133" s="1"/>
      <c r="E133" s="6">
        <v>19220</v>
      </c>
      <c r="F133" s="1" t="s">
        <v>84</v>
      </c>
      <c r="G133" s="1">
        <v>1984</v>
      </c>
      <c r="H133" s="1">
        <v>10</v>
      </c>
      <c r="I133" s="7">
        <v>30825</v>
      </c>
      <c r="J133" s="7">
        <v>37073</v>
      </c>
      <c r="K133" s="8" t="s">
        <v>37</v>
      </c>
      <c r="L133" s="9" t="e">
        <f t="shared" ca="1" si="0"/>
        <v>#NAME?</v>
      </c>
      <c r="M133" s="9" t="e">
        <f t="shared" ca="1" si="1"/>
        <v>#NAME?</v>
      </c>
      <c r="N133" s="10" t="e">
        <f t="shared" ca="1" si="2"/>
        <v>#NAME?</v>
      </c>
      <c r="O133" s="1" t="s">
        <v>38</v>
      </c>
      <c r="P133" s="1"/>
      <c r="Q133" s="1" t="s">
        <v>90</v>
      </c>
      <c r="R133" s="1" t="s">
        <v>634</v>
      </c>
      <c r="S133" s="1" t="s">
        <v>635</v>
      </c>
      <c r="T133" s="1" t="s">
        <v>506</v>
      </c>
      <c r="U133" s="1" t="s">
        <v>62</v>
      </c>
      <c r="V133" s="1" t="s">
        <v>49</v>
      </c>
      <c r="W133" s="1" t="s">
        <v>50</v>
      </c>
      <c r="X133" s="1">
        <v>4</v>
      </c>
      <c r="Y133" s="7">
        <v>32632</v>
      </c>
      <c r="Z133" s="7">
        <v>35482</v>
      </c>
      <c r="AA133" s="1">
        <v>789</v>
      </c>
      <c r="AB133" s="1">
        <v>4</v>
      </c>
      <c r="AC133" s="1">
        <v>26</v>
      </c>
      <c r="AD133" s="1" t="s">
        <v>636</v>
      </c>
    </row>
    <row r="134" spans="1:31" ht="13">
      <c r="A134" s="1" t="s">
        <v>637</v>
      </c>
      <c r="B134" s="1" t="s">
        <v>34</v>
      </c>
      <c r="C134" s="1" t="s">
        <v>35</v>
      </c>
      <c r="D134" s="1"/>
      <c r="E134" s="6">
        <v>20504</v>
      </c>
      <c r="F134" s="1" t="s">
        <v>84</v>
      </c>
      <c r="G134" s="1">
        <v>1984</v>
      </c>
      <c r="H134" s="1">
        <v>10</v>
      </c>
      <c r="I134" s="7">
        <v>30825</v>
      </c>
      <c r="J134" s="7">
        <v>35115</v>
      </c>
      <c r="K134" s="8" t="s">
        <v>37</v>
      </c>
      <c r="L134" s="9" t="e">
        <f t="shared" ca="1" si="0"/>
        <v>#NAME?</v>
      </c>
      <c r="M134" s="9" t="e">
        <f t="shared" ca="1" si="1"/>
        <v>#NAME?</v>
      </c>
      <c r="N134" s="10" t="e">
        <f t="shared" ca="1" si="2"/>
        <v>#NAME?</v>
      </c>
      <c r="O134" s="1" t="s">
        <v>38</v>
      </c>
      <c r="P134" s="1"/>
      <c r="Q134" s="1" t="s">
        <v>39</v>
      </c>
      <c r="R134" s="1" t="s">
        <v>99</v>
      </c>
      <c r="S134" s="1" t="s">
        <v>638</v>
      </c>
      <c r="T134" s="1" t="s">
        <v>639</v>
      </c>
      <c r="U134" s="1" t="s">
        <v>640</v>
      </c>
      <c r="X134" s="1">
        <v>3</v>
      </c>
      <c r="Y134" s="7">
        <v>32882</v>
      </c>
      <c r="Z134" s="7">
        <v>34141</v>
      </c>
      <c r="AA134" s="1">
        <v>714</v>
      </c>
      <c r="AB134" s="1">
        <v>1</v>
      </c>
      <c r="AC134" s="1">
        <v>6</v>
      </c>
      <c r="AD134" s="1" t="s">
        <v>641</v>
      </c>
      <c r="AE134" s="6">
        <v>39522</v>
      </c>
    </row>
    <row r="135" spans="1:31" ht="13">
      <c r="A135" s="1" t="s">
        <v>642</v>
      </c>
      <c r="B135" s="1" t="s">
        <v>34</v>
      </c>
      <c r="C135" s="1" t="s">
        <v>35</v>
      </c>
      <c r="D135" s="1"/>
      <c r="E135" s="6">
        <v>15922</v>
      </c>
      <c r="F135" s="1" t="s">
        <v>84</v>
      </c>
      <c r="G135" s="1">
        <v>1984</v>
      </c>
      <c r="H135" s="1">
        <v>10</v>
      </c>
      <c r="I135" s="7">
        <v>30825</v>
      </c>
      <c r="J135" s="7">
        <v>33161</v>
      </c>
      <c r="K135" s="8" t="s">
        <v>37</v>
      </c>
      <c r="L135" s="9" t="e">
        <f t="shared" ca="1" si="0"/>
        <v>#NAME?</v>
      </c>
      <c r="M135" s="9" t="e">
        <f t="shared" ca="1" si="1"/>
        <v>#NAME?</v>
      </c>
      <c r="N135" s="10" t="e">
        <f t="shared" ca="1" si="2"/>
        <v>#NAME?</v>
      </c>
      <c r="O135" s="1" t="s">
        <v>38</v>
      </c>
      <c r="P135" s="1"/>
      <c r="Q135" s="1" t="s">
        <v>90</v>
      </c>
      <c r="R135" s="1" t="s">
        <v>643</v>
      </c>
      <c r="S135" s="1" t="s">
        <v>61</v>
      </c>
      <c r="T135" s="1" t="s">
        <v>644</v>
      </c>
      <c r="U135" s="1" t="s">
        <v>644</v>
      </c>
      <c r="V135" s="1" t="s">
        <v>71</v>
      </c>
      <c r="W135" s="1" t="s">
        <v>44</v>
      </c>
      <c r="X135" s="1">
        <v>1</v>
      </c>
      <c r="Y135" s="7">
        <v>32799</v>
      </c>
      <c r="Z135" s="7">
        <v>32799</v>
      </c>
      <c r="AA135" s="1">
        <v>119</v>
      </c>
      <c r="AB135" s="1">
        <v>0</v>
      </c>
      <c r="AC135" s="1">
        <v>0</v>
      </c>
      <c r="AD135" s="1" t="s">
        <v>645</v>
      </c>
    </row>
    <row r="136" spans="1:31" ht="13">
      <c r="A136" s="1" t="s">
        <v>646</v>
      </c>
      <c r="B136" s="1" t="s">
        <v>34</v>
      </c>
      <c r="C136" s="1" t="s">
        <v>35</v>
      </c>
      <c r="D136" s="1"/>
      <c r="E136" s="6">
        <v>18105</v>
      </c>
      <c r="F136" s="1" t="s">
        <v>84</v>
      </c>
      <c r="G136" s="1">
        <v>1984</v>
      </c>
      <c r="H136" s="1">
        <v>10</v>
      </c>
      <c r="I136" s="7">
        <v>30825</v>
      </c>
      <c r="J136" s="7">
        <v>37271</v>
      </c>
      <c r="K136" s="8" t="s">
        <v>37</v>
      </c>
      <c r="L136" s="9" t="e">
        <f t="shared" ca="1" si="0"/>
        <v>#NAME?</v>
      </c>
      <c r="M136" s="9" t="e">
        <f t="shared" ca="1" si="1"/>
        <v>#NAME?</v>
      </c>
      <c r="N136" s="10" t="e">
        <f t="shared" ca="1" si="2"/>
        <v>#NAME?</v>
      </c>
      <c r="O136" s="1" t="s">
        <v>38</v>
      </c>
      <c r="P136" s="1"/>
      <c r="Q136" s="1" t="s">
        <v>90</v>
      </c>
      <c r="R136" s="1" t="s">
        <v>647</v>
      </c>
      <c r="S136" s="1" t="s">
        <v>227</v>
      </c>
      <c r="T136" s="1" t="s">
        <v>87</v>
      </c>
      <c r="U136" s="1" t="s">
        <v>452</v>
      </c>
      <c r="V136" s="1" t="s">
        <v>71</v>
      </c>
      <c r="W136" s="1" t="s">
        <v>44</v>
      </c>
      <c r="X136" s="1">
        <v>4</v>
      </c>
      <c r="Y136" s="7">
        <v>32479</v>
      </c>
      <c r="Z136" s="7">
        <v>33899</v>
      </c>
      <c r="AA136" s="1">
        <v>3823</v>
      </c>
      <c r="AB136" s="1">
        <v>0</v>
      </c>
      <c r="AC136" s="1">
        <v>0</v>
      </c>
      <c r="AD136" s="1" t="s">
        <v>648</v>
      </c>
    </row>
    <row r="137" spans="1:31" ht="13">
      <c r="A137" s="1" t="s">
        <v>649</v>
      </c>
      <c r="B137" s="1" t="s">
        <v>394</v>
      </c>
      <c r="C137" s="1" t="s">
        <v>35</v>
      </c>
      <c r="D137" s="1"/>
      <c r="E137" s="6">
        <v>19223</v>
      </c>
      <c r="F137" s="1" t="s">
        <v>124</v>
      </c>
      <c r="G137" s="1">
        <v>1984</v>
      </c>
      <c r="H137" s="1">
        <v>10</v>
      </c>
      <c r="I137" s="7">
        <v>30825</v>
      </c>
      <c r="J137" s="7">
        <v>35278</v>
      </c>
      <c r="K137" s="8" t="s">
        <v>37</v>
      </c>
      <c r="L137" s="9" t="e">
        <f t="shared" ca="1" si="0"/>
        <v>#NAME?</v>
      </c>
      <c r="M137" s="9" t="e">
        <f t="shared" ca="1" si="1"/>
        <v>#NAME?</v>
      </c>
      <c r="N137" s="10" t="e">
        <f t="shared" ca="1" si="2"/>
        <v>#NAME?</v>
      </c>
      <c r="O137" s="1" t="s">
        <v>38</v>
      </c>
      <c r="P137" s="1"/>
      <c r="Q137" s="1" t="s">
        <v>90</v>
      </c>
      <c r="R137" s="1" t="s">
        <v>650</v>
      </c>
      <c r="S137" s="1" t="s">
        <v>651</v>
      </c>
      <c r="T137" s="1" t="s">
        <v>158</v>
      </c>
      <c r="U137" s="1" t="s">
        <v>158</v>
      </c>
      <c r="X137" s="1">
        <v>4</v>
      </c>
      <c r="Y137" s="7">
        <v>32834</v>
      </c>
      <c r="Z137" s="7">
        <v>34992</v>
      </c>
      <c r="AA137" s="1">
        <v>975</v>
      </c>
      <c r="AB137" s="1">
        <v>3</v>
      </c>
      <c r="AC137" s="1">
        <v>21</v>
      </c>
      <c r="AD137" s="1" t="s">
        <v>652</v>
      </c>
    </row>
    <row r="138" spans="1:31" ht="13">
      <c r="A138" s="1" t="s">
        <v>653</v>
      </c>
      <c r="B138" s="1" t="s">
        <v>34</v>
      </c>
      <c r="C138" s="1" t="s">
        <v>35</v>
      </c>
      <c r="D138" s="1"/>
      <c r="E138" s="6">
        <v>16333</v>
      </c>
      <c r="F138" s="1" t="s">
        <v>36</v>
      </c>
      <c r="G138" s="1">
        <v>1984</v>
      </c>
      <c r="H138" s="1">
        <v>10</v>
      </c>
      <c r="I138" s="7">
        <v>30825</v>
      </c>
      <c r="J138" s="12">
        <v>34975</v>
      </c>
      <c r="K138" s="13" t="s">
        <v>59</v>
      </c>
      <c r="L138" s="9" t="e">
        <f t="shared" ca="1" si="0"/>
        <v>#NAME?</v>
      </c>
      <c r="M138" s="9" t="e">
        <f t="shared" ca="1" si="1"/>
        <v>#NAME?</v>
      </c>
      <c r="N138" s="10" t="e">
        <f t="shared" ca="1" si="2"/>
        <v>#NAME?</v>
      </c>
      <c r="O138" s="1" t="s">
        <v>38</v>
      </c>
      <c r="P138" s="1"/>
      <c r="Q138" s="1" t="s">
        <v>39</v>
      </c>
      <c r="R138" s="1" t="s">
        <v>102</v>
      </c>
      <c r="S138" s="1" t="s">
        <v>557</v>
      </c>
      <c r="T138" s="1" t="s">
        <v>654</v>
      </c>
      <c r="X138" s="1">
        <v>2</v>
      </c>
      <c r="Y138" s="7">
        <v>33356</v>
      </c>
      <c r="Z138" s="7">
        <v>33899</v>
      </c>
      <c r="AA138" s="1">
        <v>436</v>
      </c>
      <c r="AB138" s="1">
        <v>0</v>
      </c>
      <c r="AC138" s="1">
        <v>0</v>
      </c>
      <c r="AD138" s="1" t="s">
        <v>655</v>
      </c>
      <c r="AE138" s="6">
        <v>34975</v>
      </c>
    </row>
    <row r="139" spans="1:31" ht="13">
      <c r="A139" s="1" t="s">
        <v>656</v>
      </c>
      <c r="B139" s="1" t="s">
        <v>34</v>
      </c>
      <c r="C139" s="1" t="s">
        <v>35</v>
      </c>
      <c r="D139" s="1"/>
      <c r="E139" s="6">
        <v>19325</v>
      </c>
      <c r="F139" s="1" t="s">
        <v>36</v>
      </c>
      <c r="G139" s="1">
        <v>1984</v>
      </c>
      <c r="H139" s="1">
        <v>10</v>
      </c>
      <c r="I139" s="7">
        <v>30825</v>
      </c>
      <c r="J139" s="7">
        <v>38367</v>
      </c>
      <c r="K139" s="8" t="s">
        <v>37</v>
      </c>
      <c r="L139" s="9" t="e">
        <f t="shared" ca="1" si="0"/>
        <v>#NAME?</v>
      </c>
      <c r="M139" s="9" t="e">
        <f t="shared" ca="1" si="1"/>
        <v>#NAME?</v>
      </c>
      <c r="N139" s="10" t="e">
        <f t="shared" ca="1" si="2"/>
        <v>#NAME?</v>
      </c>
      <c r="O139" s="1" t="s">
        <v>38</v>
      </c>
      <c r="P139" s="1"/>
      <c r="Q139" s="1" t="s">
        <v>90</v>
      </c>
      <c r="R139" s="1" t="s">
        <v>657</v>
      </c>
      <c r="S139" s="1" t="s">
        <v>658</v>
      </c>
      <c r="T139" s="1" t="s">
        <v>87</v>
      </c>
      <c r="V139" s="1" t="s">
        <v>71</v>
      </c>
      <c r="W139" s="1" t="s">
        <v>44</v>
      </c>
      <c r="X139" s="1">
        <v>6</v>
      </c>
      <c r="Y139" s="7">
        <v>32882</v>
      </c>
      <c r="Z139" s="7">
        <v>37583</v>
      </c>
      <c r="AA139" s="1">
        <v>1594</v>
      </c>
      <c r="AB139" s="1">
        <v>0</v>
      </c>
      <c r="AC139" s="1">
        <v>0</v>
      </c>
      <c r="AD139" s="1" t="s">
        <v>659</v>
      </c>
    </row>
    <row r="140" spans="1:31" ht="13">
      <c r="A140" s="1" t="s">
        <v>660</v>
      </c>
      <c r="B140" s="1" t="s">
        <v>34</v>
      </c>
      <c r="C140" s="1" t="s">
        <v>35</v>
      </c>
      <c r="D140" s="1"/>
      <c r="E140" s="6">
        <v>18006</v>
      </c>
      <c r="F140" s="1" t="s">
        <v>124</v>
      </c>
      <c r="G140" s="1">
        <v>1985</v>
      </c>
      <c r="H140" s="1">
        <v>11</v>
      </c>
      <c r="I140" s="7">
        <v>31202</v>
      </c>
      <c r="J140" s="7">
        <v>35565</v>
      </c>
      <c r="K140" s="8" t="s">
        <v>37</v>
      </c>
      <c r="L140" s="9" t="e">
        <f t="shared" ca="1" si="0"/>
        <v>#NAME?</v>
      </c>
      <c r="M140" s="9" t="e">
        <f t="shared" ca="1" si="1"/>
        <v>#NAME?</v>
      </c>
      <c r="N140" s="10" t="e">
        <f t="shared" ca="1" si="2"/>
        <v>#NAME?</v>
      </c>
      <c r="O140" s="1" t="s">
        <v>38</v>
      </c>
      <c r="P140" s="1"/>
      <c r="Q140" s="1" t="s">
        <v>90</v>
      </c>
      <c r="R140" s="1" t="s">
        <v>661</v>
      </c>
      <c r="S140" s="1" t="s">
        <v>662</v>
      </c>
      <c r="T140" s="1" t="s">
        <v>158</v>
      </c>
      <c r="U140" s="1" t="s">
        <v>158</v>
      </c>
      <c r="X140" s="1">
        <v>4</v>
      </c>
      <c r="Y140" s="7">
        <v>33333</v>
      </c>
      <c r="Z140" s="7">
        <v>35324</v>
      </c>
      <c r="AA140" s="1">
        <v>847</v>
      </c>
      <c r="AB140" s="1">
        <v>2</v>
      </c>
      <c r="AC140" s="1">
        <v>11</v>
      </c>
      <c r="AD140" s="1" t="s">
        <v>663</v>
      </c>
    </row>
    <row r="141" spans="1:31" ht="13">
      <c r="A141" s="1" t="s">
        <v>664</v>
      </c>
      <c r="B141" s="1" t="s">
        <v>34</v>
      </c>
      <c r="C141" s="1" t="s">
        <v>35</v>
      </c>
      <c r="D141" s="1"/>
      <c r="E141" s="6">
        <v>19659</v>
      </c>
      <c r="F141" s="1" t="s">
        <v>36</v>
      </c>
      <c r="G141" s="1">
        <v>1985</v>
      </c>
      <c r="H141" s="1">
        <v>11</v>
      </c>
      <c r="I141" s="7">
        <v>31202</v>
      </c>
      <c r="J141" s="17">
        <v>42742</v>
      </c>
      <c r="K141" s="8" t="s">
        <v>37</v>
      </c>
      <c r="L141" s="9" t="e">
        <f t="shared" ca="1" si="0"/>
        <v>#NAME?</v>
      </c>
      <c r="M141" s="9" t="e">
        <f t="shared" ca="1" si="1"/>
        <v>#NAME?</v>
      </c>
      <c r="N141" s="10" t="e">
        <f t="shared" ca="1" si="2"/>
        <v>#NAME?</v>
      </c>
      <c r="O141" s="1" t="s">
        <v>38</v>
      </c>
      <c r="P141" s="1"/>
      <c r="Q141" s="1" t="s">
        <v>521</v>
      </c>
      <c r="R141" s="1" t="s">
        <v>219</v>
      </c>
      <c r="S141" s="1" t="s">
        <v>142</v>
      </c>
      <c r="T141" s="1" t="s">
        <v>87</v>
      </c>
      <c r="V141" s="1" t="s">
        <v>71</v>
      </c>
      <c r="W141" s="1" t="s">
        <v>44</v>
      </c>
      <c r="X141" s="1">
        <v>4</v>
      </c>
      <c r="Y141" s="7">
        <v>33452</v>
      </c>
      <c r="Z141" s="7">
        <v>35442</v>
      </c>
      <c r="AA141" s="1">
        <v>965</v>
      </c>
      <c r="AB141" s="1">
        <v>0</v>
      </c>
      <c r="AC141" s="1">
        <v>0</v>
      </c>
      <c r="AD141" s="1" t="s">
        <v>665</v>
      </c>
    </row>
    <row r="142" spans="1:31" ht="13">
      <c r="A142" s="1" t="s">
        <v>666</v>
      </c>
      <c r="B142" s="1" t="s">
        <v>34</v>
      </c>
      <c r="C142" s="1" t="s">
        <v>35</v>
      </c>
      <c r="D142" s="1"/>
      <c r="E142" s="6">
        <v>17921</v>
      </c>
      <c r="F142" s="1" t="s">
        <v>36</v>
      </c>
      <c r="G142" s="1">
        <v>1985</v>
      </c>
      <c r="H142" s="1">
        <v>11</v>
      </c>
      <c r="I142" s="7">
        <v>31202</v>
      </c>
      <c r="J142" s="7">
        <f ca="1">TODAY()</f>
        <v>44606</v>
      </c>
      <c r="K142" s="8" t="s">
        <v>667</v>
      </c>
      <c r="L142" s="9" t="e">
        <f t="shared" ca="1" si="0"/>
        <v>#NAME?</v>
      </c>
      <c r="M142" s="9" t="e">
        <f t="shared" ca="1" si="1"/>
        <v>#NAME?</v>
      </c>
      <c r="N142" s="10" t="e">
        <f t="shared" ca="1" si="2"/>
        <v>#NAME?</v>
      </c>
      <c r="O142" s="1" t="s">
        <v>38</v>
      </c>
      <c r="P142" s="1"/>
      <c r="Q142" s="1" t="s">
        <v>521</v>
      </c>
      <c r="R142" s="1" t="s">
        <v>668</v>
      </c>
      <c r="S142" s="1" t="s">
        <v>69</v>
      </c>
      <c r="T142" s="1" t="s">
        <v>272</v>
      </c>
      <c r="V142" s="1" t="s">
        <v>49</v>
      </c>
      <c r="W142" s="1" t="s">
        <v>56</v>
      </c>
      <c r="X142" s="1">
        <v>4</v>
      </c>
      <c r="Y142" s="7">
        <v>33152</v>
      </c>
      <c r="Z142" s="7">
        <v>36133</v>
      </c>
      <c r="AA142" s="1">
        <v>910</v>
      </c>
      <c r="AB142" s="1">
        <v>0</v>
      </c>
      <c r="AC142" s="1">
        <v>0</v>
      </c>
      <c r="AD142" s="1" t="s">
        <v>669</v>
      </c>
    </row>
    <row r="143" spans="1:31" ht="13">
      <c r="A143" s="1" t="s">
        <v>670</v>
      </c>
      <c r="B143" s="1" t="s">
        <v>34</v>
      </c>
      <c r="C143" s="1" t="s">
        <v>35</v>
      </c>
      <c r="D143" s="1"/>
      <c r="E143" s="6">
        <v>19530</v>
      </c>
      <c r="F143" s="1" t="s">
        <v>84</v>
      </c>
      <c r="G143" s="1">
        <v>1985</v>
      </c>
      <c r="H143" s="1">
        <v>11</v>
      </c>
      <c r="I143" s="7">
        <v>31202</v>
      </c>
      <c r="J143" s="7">
        <v>37055</v>
      </c>
      <c r="K143" s="8" t="s">
        <v>37</v>
      </c>
      <c r="L143" s="9" t="e">
        <f t="shared" ca="1" si="0"/>
        <v>#NAME?</v>
      </c>
      <c r="M143" s="9" t="e">
        <f t="shared" ca="1" si="1"/>
        <v>#NAME?</v>
      </c>
      <c r="N143" s="10" t="e">
        <f t="shared" ca="1" si="2"/>
        <v>#NAME?</v>
      </c>
      <c r="O143" s="1" t="s">
        <v>38</v>
      </c>
      <c r="P143" s="1"/>
      <c r="Q143" s="1" t="s">
        <v>90</v>
      </c>
      <c r="R143" s="1" t="s">
        <v>258</v>
      </c>
      <c r="S143" s="1" t="s">
        <v>335</v>
      </c>
      <c r="T143" s="1" t="s">
        <v>272</v>
      </c>
      <c r="U143" s="1" t="s">
        <v>525</v>
      </c>
      <c r="V143" s="1" t="s">
        <v>49</v>
      </c>
      <c r="W143" s="1" t="s">
        <v>50</v>
      </c>
      <c r="X143" s="1">
        <v>4</v>
      </c>
      <c r="Y143" s="7">
        <v>33687</v>
      </c>
      <c r="Z143" s="7">
        <v>36810</v>
      </c>
      <c r="AA143" s="1">
        <v>977</v>
      </c>
      <c r="AB143" s="1">
        <v>0</v>
      </c>
      <c r="AC143" s="1">
        <v>0</v>
      </c>
      <c r="AD143" s="1" t="s">
        <v>671</v>
      </c>
    </row>
    <row r="144" spans="1:31" ht="13">
      <c r="A144" s="1" t="s">
        <v>672</v>
      </c>
      <c r="B144" s="1" t="s">
        <v>34</v>
      </c>
      <c r="C144" s="1" t="s">
        <v>35</v>
      </c>
      <c r="D144" s="1"/>
      <c r="E144" s="6">
        <v>20305</v>
      </c>
      <c r="F144" s="1" t="s">
        <v>36</v>
      </c>
      <c r="G144" s="1">
        <v>1985</v>
      </c>
      <c r="H144" s="1">
        <v>11</v>
      </c>
      <c r="I144" s="7">
        <v>31202</v>
      </c>
      <c r="J144" s="7">
        <v>35248</v>
      </c>
      <c r="K144" s="8" t="s">
        <v>37</v>
      </c>
      <c r="L144" s="9" t="e">
        <f t="shared" ca="1" si="0"/>
        <v>#NAME?</v>
      </c>
      <c r="M144" s="9" t="e">
        <f t="shared" ca="1" si="1"/>
        <v>#NAME?</v>
      </c>
      <c r="N144" s="10" t="e">
        <f t="shared" ca="1" si="2"/>
        <v>#NAME?</v>
      </c>
      <c r="O144" s="1" t="s">
        <v>38</v>
      </c>
      <c r="P144" s="1"/>
      <c r="Q144" s="1" t="s">
        <v>90</v>
      </c>
      <c r="R144" s="1" t="s">
        <v>673</v>
      </c>
      <c r="S144" s="1" t="s">
        <v>153</v>
      </c>
      <c r="T144" s="1" t="s">
        <v>55</v>
      </c>
      <c r="V144" s="1" t="s">
        <v>63</v>
      </c>
      <c r="W144" s="1" t="s">
        <v>674</v>
      </c>
      <c r="X144" s="1">
        <v>3</v>
      </c>
      <c r="Y144" s="7">
        <v>33192</v>
      </c>
      <c r="Z144" s="7">
        <v>34397</v>
      </c>
      <c r="AA144" s="1">
        <v>581</v>
      </c>
      <c r="AB144" s="1">
        <v>0</v>
      </c>
      <c r="AC144" s="1">
        <v>0</v>
      </c>
      <c r="AD144" s="1" t="s">
        <v>675</v>
      </c>
    </row>
    <row r="145" spans="1:33" ht="13">
      <c r="A145" s="1" t="s">
        <v>676</v>
      </c>
      <c r="B145" s="1" t="s">
        <v>394</v>
      </c>
      <c r="C145" s="1" t="s">
        <v>35</v>
      </c>
      <c r="D145" s="1"/>
      <c r="E145" s="6">
        <v>19177</v>
      </c>
      <c r="F145" s="1" t="s">
        <v>124</v>
      </c>
      <c r="G145" s="1">
        <v>1985</v>
      </c>
      <c r="H145" s="1">
        <v>11</v>
      </c>
      <c r="I145" s="7">
        <v>31202</v>
      </c>
      <c r="J145" s="7">
        <v>40405</v>
      </c>
      <c r="K145" s="8" t="s">
        <v>37</v>
      </c>
      <c r="L145" s="9" t="e">
        <f t="shared" ca="1" si="0"/>
        <v>#NAME?</v>
      </c>
      <c r="M145" s="9" t="e">
        <f t="shared" ca="1" si="1"/>
        <v>#NAME?</v>
      </c>
      <c r="N145" s="10" t="e">
        <f t="shared" ca="1" si="2"/>
        <v>#NAME?</v>
      </c>
      <c r="O145" s="1" t="s">
        <v>38</v>
      </c>
      <c r="P145" s="1"/>
      <c r="Q145" s="1" t="s">
        <v>90</v>
      </c>
      <c r="R145" s="1" t="s">
        <v>677</v>
      </c>
      <c r="S145" s="1" t="s">
        <v>678</v>
      </c>
      <c r="T145" s="1" t="s">
        <v>289</v>
      </c>
      <c r="U145" s="1" t="s">
        <v>158</v>
      </c>
      <c r="X145" s="1">
        <v>4</v>
      </c>
      <c r="Y145" s="7">
        <v>33333</v>
      </c>
      <c r="Z145" s="7">
        <v>37230</v>
      </c>
      <c r="AA145" s="1">
        <v>918</v>
      </c>
      <c r="AB145" s="1">
        <v>2</v>
      </c>
      <c r="AC145" s="1">
        <v>10</v>
      </c>
      <c r="AD145" s="1" t="s">
        <v>679</v>
      </c>
    </row>
    <row r="146" spans="1:33" ht="13">
      <c r="A146" s="1" t="s">
        <v>680</v>
      </c>
      <c r="B146" s="1" t="s">
        <v>34</v>
      </c>
      <c r="C146" s="1" t="s">
        <v>35</v>
      </c>
      <c r="D146" s="1"/>
      <c r="E146" s="6">
        <v>19180</v>
      </c>
      <c r="F146" s="1" t="s">
        <v>84</v>
      </c>
      <c r="G146" s="1">
        <v>1985</v>
      </c>
      <c r="H146" s="1">
        <v>11</v>
      </c>
      <c r="I146" s="7">
        <v>31202</v>
      </c>
      <c r="J146" s="7">
        <v>35749</v>
      </c>
      <c r="K146" s="8" t="s">
        <v>37</v>
      </c>
      <c r="L146" s="9" t="e">
        <f t="shared" ca="1" si="0"/>
        <v>#NAME?</v>
      </c>
      <c r="M146" s="9" t="e">
        <f t="shared" ca="1" si="1"/>
        <v>#NAME?</v>
      </c>
      <c r="N146" s="10" t="e">
        <f t="shared" ca="1" si="2"/>
        <v>#NAME?</v>
      </c>
      <c r="O146" s="1" t="s">
        <v>38</v>
      </c>
      <c r="P146" s="1"/>
      <c r="Q146" s="1" t="s">
        <v>90</v>
      </c>
      <c r="R146" s="1" t="s">
        <v>681</v>
      </c>
      <c r="S146" s="1" t="s">
        <v>682</v>
      </c>
      <c r="T146" s="1" t="s">
        <v>506</v>
      </c>
      <c r="U146" s="1" t="s">
        <v>683</v>
      </c>
      <c r="V146" s="1" t="s">
        <v>49</v>
      </c>
      <c r="W146" s="1" t="s">
        <v>50</v>
      </c>
      <c r="X146" s="1">
        <v>4</v>
      </c>
      <c r="Y146" s="7">
        <v>33566</v>
      </c>
      <c r="Z146" s="7">
        <v>35236</v>
      </c>
      <c r="AA146" s="1">
        <v>1026</v>
      </c>
      <c r="AB146" s="1">
        <v>0</v>
      </c>
      <c r="AC146" s="1">
        <v>0</v>
      </c>
      <c r="AD146" s="1" t="s">
        <v>684</v>
      </c>
    </row>
    <row r="147" spans="1:33" ht="13">
      <c r="A147" s="1" t="s">
        <v>685</v>
      </c>
      <c r="B147" s="1" t="s">
        <v>34</v>
      </c>
      <c r="C147" s="1" t="s">
        <v>35</v>
      </c>
      <c r="D147" s="1"/>
      <c r="E147" s="6">
        <v>20353</v>
      </c>
      <c r="F147" s="1" t="s">
        <v>84</v>
      </c>
      <c r="G147" s="1">
        <v>1985</v>
      </c>
      <c r="H147" s="1">
        <v>11</v>
      </c>
      <c r="I147" s="7">
        <v>31202</v>
      </c>
      <c r="J147" s="7">
        <v>34762</v>
      </c>
      <c r="K147" s="8" t="s">
        <v>37</v>
      </c>
      <c r="L147" s="9" t="e">
        <f t="shared" ca="1" si="0"/>
        <v>#NAME?</v>
      </c>
      <c r="M147" s="9" t="e">
        <f t="shared" ca="1" si="1"/>
        <v>#NAME?</v>
      </c>
      <c r="N147" s="10" t="e">
        <f t="shared" ca="1" si="2"/>
        <v>#NAME?</v>
      </c>
      <c r="O147" s="1" t="s">
        <v>38</v>
      </c>
      <c r="P147" s="1"/>
      <c r="Q147" s="1" t="s">
        <v>90</v>
      </c>
      <c r="R147" s="1" t="s">
        <v>686</v>
      </c>
      <c r="S147" s="1" t="s">
        <v>687</v>
      </c>
      <c r="T147" s="1" t="s">
        <v>289</v>
      </c>
      <c r="U147" s="1" t="s">
        <v>87</v>
      </c>
      <c r="X147" s="1">
        <v>3</v>
      </c>
      <c r="Y147" s="7">
        <v>33356</v>
      </c>
      <c r="Z147" s="7">
        <v>34523</v>
      </c>
      <c r="AA147" s="1">
        <v>766</v>
      </c>
      <c r="AB147" s="1">
        <v>3</v>
      </c>
      <c r="AC147" s="1">
        <v>18</v>
      </c>
      <c r="AD147" s="1" t="s">
        <v>688</v>
      </c>
    </row>
    <row r="148" spans="1:33" ht="13">
      <c r="A148" s="1" t="s">
        <v>689</v>
      </c>
      <c r="B148" s="1" t="s">
        <v>394</v>
      </c>
      <c r="C148" s="1" t="s">
        <v>35</v>
      </c>
      <c r="D148" s="1"/>
      <c r="E148" s="6">
        <v>21677</v>
      </c>
      <c r="F148" s="1" t="s">
        <v>124</v>
      </c>
      <c r="G148" s="1">
        <v>1985</v>
      </c>
      <c r="H148" s="1">
        <v>11</v>
      </c>
      <c r="I148" s="7">
        <v>31202</v>
      </c>
      <c r="J148" s="7">
        <v>37155</v>
      </c>
      <c r="K148" s="8" t="s">
        <v>37</v>
      </c>
      <c r="L148" s="9" t="e">
        <f t="shared" ca="1" si="0"/>
        <v>#NAME?</v>
      </c>
      <c r="M148" s="9" t="e">
        <f t="shared" ca="1" si="1"/>
        <v>#NAME?</v>
      </c>
      <c r="N148" s="10" t="e">
        <f t="shared" ca="1" si="2"/>
        <v>#NAME?</v>
      </c>
      <c r="O148" s="1" t="s">
        <v>38</v>
      </c>
      <c r="P148" s="1"/>
      <c r="Q148" s="1" t="s">
        <v>90</v>
      </c>
      <c r="R148" s="1" t="s">
        <v>690</v>
      </c>
      <c r="S148" s="1" t="s">
        <v>691</v>
      </c>
      <c r="T148" s="1" t="s">
        <v>158</v>
      </c>
      <c r="U148" s="1" t="s">
        <v>692</v>
      </c>
      <c r="X148" s="1">
        <v>5</v>
      </c>
      <c r="Y148" s="7">
        <v>33394</v>
      </c>
      <c r="Z148" s="7">
        <v>36307</v>
      </c>
      <c r="AA148" s="1">
        <v>1489</v>
      </c>
      <c r="AB148" s="1">
        <v>1</v>
      </c>
      <c r="AC148" s="1">
        <v>8</v>
      </c>
      <c r="AD148" s="1" t="s">
        <v>693</v>
      </c>
    </row>
    <row r="149" spans="1:33" ht="13">
      <c r="A149" s="1" t="s">
        <v>694</v>
      </c>
      <c r="B149" s="1" t="s">
        <v>34</v>
      </c>
      <c r="C149" s="1" t="s">
        <v>35</v>
      </c>
      <c r="D149" s="1"/>
      <c r="E149" s="6">
        <v>18583</v>
      </c>
      <c r="F149" s="1" t="s">
        <v>84</v>
      </c>
      <c r="G149" s="1">
        <v>1985</v>
      </c>
      <c r="H149" s="1">
        <v>11</v>
      </c>
      <c r="I149" s="7">
        <v>31202</v>
      </c>
      <c r="J149" s="7">
        <v>35139</v>
      </c>
      <c r="K149" s="8" t="s">
        <v>37</v>
      </c>
      <c r="L149" s="9" t="e">
        <f t="shared" ca="1" si="0"/>
        <v>#NAME?</v>
      </c>
      <c r="M149" s="9" t="e">
        <f t="shared" ca="1" si="1"/>
        <v>#NAME?</v>
      </c>
      <c r="N149" s="10" t="e">
        <f t="shared" ca="1" si="2"/>
        <v>#NAME?</v>
      </c>
      <c r="O149" s="1" t="s">
        <v>38</v>
      </c>
      <c r="P149" s="1"/>
      <c r="Q149" s="1" t="s">
        <v>90</v>
      </c>
      <c r="R149" s="1" t="s">
        <v>695</v>
      </c>
      <c r="S149" s="1" t="s">
        <v>696</v>
      </c>
      <c r="T149" s="1" t="s">
        <v>697</v>
      </c>
      <c r="U149" s="1" t="s">
        <v>697</v>
      </c>
      <c r="V149" s="1" t="s">
        <v>49</v>
      </c>
      <c r="W149" s="1" t="s">
        <v>50</v>
      </c>
      <c r="X149" s="1">
        <v>3</v>
      </c>
      <c r="Y149" s="7">
        <v>33192</v>
      </c>
      <c r="Z149" s="7">
        <v>34586</v>
      </c>
      <c r="AA149" s="1">
        <v>712</v>
      </c>
      <c r="AB149" s="1">
        <v>1</v>
      </c>
      <c r="AC149" s="1">
        <v>6</v>
      </c>
      <c r="AD149" s="1" t="s">
        <v>698</v>
      </c>
    </row>
    <row r="150" spans="1:33" ht="13">
      <c r="A150" s="1" t="s">
        <v>699</v>
      </c>
      <c r="B150" s="1" t="s">
        <v>34</v>
      </c>
      <c r="C150" s="1" t="s">
        <v>35</v>
      </c>
      <c r="D150" s="1"/>
      <c r="E150" s="6">
        <v>18809</v>
      </c>
      <c r="F150" s="1" t="s">
        <v>36</v>
      </c>
      <c r="G150" s="1">
        <v>1985</v>
      </c>
      <c r="H150" s="1">
        <v>11</v>
      </c>
      <c r="I150" s="7">
        <v>31202</v>
      </c>
      <c r="J150" s="7">
        <v>36540</v>
      </c>
      <c r="K150" s="8" t="s">
        <v>37</v>
      </c>
      <c r="L150" s="9" t="e">
        <f t="shared" ca="1" si="0"/>
        <v>#NAME?</v>
      </c>
      <c r="M150" s="9" t="e">
        <f t="shared" ca="1" si="1"/>
        <v>#NAME?</v>
      </c>
      <c r="N150" s="10" t="e">
        <f t="shared" ca="1" si="2"/>
        <v>#NAME?</v>
      </c>
      <c r="O150" s="1" t="s">
        <v>38</v>
      </c>
      <c r="P150" s="1"/>
      <c r="Q150" s="1" t="s">
        <v>90</v>
      </c>
      <c r="R150" s="1" t="s">
        <v>168</v>
      </c>
      <c r="S150" s="1" t="s">
        <v>69</v>
      </c>
      <c r="T150" s="1" t="s">
        <v>87</v>
      </c>
      <c r="X150" s="1">
        <v>3</v>
      </c>
      <c r="Y150" s="7">
        <v>33625</v>
      </c>
      <c r="Z150" s="7">
        <v>34760</v>
      </c>
      <c r="AA150" s="1">
        <v>814</v>
      </c>
      <c r="AB150" s="1">
        <v>0</v>
      </c>
      <c r="AC150" s="1">
        <v>0</v>
      </c>
      <c r="AD150" s="1" t="s">
        <v>700</v>
      </c>
    </row>
    <row r="151" spans="1:33" ht="13">
      <c r="A151" s="1" t="s">
        <v>701</v>
      </c>
      <c r="B151" s="1" t="s">
        <v>34</v>
      </c>
      <c r="C151" s="1" t="s">
        <v>35</v>
      </c>
      <c r="D151" s="1"/>
      <c r="E151" s="6">
        <v>19401</v>
      </c>
      <c r="F151" s="1" t="s">
        <v>36</v>
      </c>
      <c r="G151" s="1">
        <v>1985</v>
      </c>
      <c r="H151" s="1">
        <v>11</v>
      </c>
      <c r="I151" s="7">
        <v>31202</v>
      </c>
      <c r="J151" s="12">
        <v>31556</v>
      </c>
      <c r="K151" s="13" t="s">
        <v>59</v>
      </c>
      <c r="L151" s="9" t="e">
        <f t="shared" ca="1" si="0"/>
        <v>#NAME?</v>
      </c>
      <c r="M151" s="9" t="str">
        <f t="shared" si="1"/>
        <v>N/A</v>
      </c>
      <c r="N151" s="10" t="str">
        <f t="shared" si="2"/>
        <v>N/A</v>
      </c>
      <c r="O151" s="1" t="s">
        <v>38</v>
      </c>
      <c r="P151" s="1"/>
      <c r="Q151" s="1" t="s">
        <v>39</v>
      </c>
      <c r="R151" s="1" t="s">
        <v>702</v>
      </c>
      <c r="S151" s="1" t="s">
        <v>69</v>
      </c>
      <c r="T151" s="1" t="s">
        <v>55</v>
      </c>
      <c r="V151" s="1" t="s">
        <v>149</v>
      </c>
      <c r="W151" s="1" t="s">
        <v>150</v>
      </c>
      <c r="X151" s="1">
        <v>0</v>
      </c>
      <c r="Y151" s="7"/>
      <c r="Z151" s="7"/>
      <c r="AA151" s="1">
        <v>0</v>
      </c>
      <c r="AB151" s="1">
        <v>0</v>
      </c>
      <c r="AC151" s="1">
        <v>0</v>
      </c>
      <c r="AE151" s="6">
        <v>31556</v>
      </c>
      <c r="AG151" s="1" t="s">
        <v>703</v>
      </c>
    </row>
    <row r="152" spans="1:33" ht="13">
      <c r="A152" s="1" t="s">
        <v>704</v>
      </c>
      <c r="B152" s="1" t="s">
        <v>34</v>
      </c>
      <c r="C152" s="1" t="s">
        <v>35</v>
      </c>
      <c r="D152" s="1"/>
      <c r="E152" s="6">
        <v>20228</v>
      </c>
      <c r="F152" s="1" t="s">
        <v>84</v>
      </c>
      <c r="G152" s="1">
        <v>1985</v>
      </c>
      <c r="H152" s="1">
        <v>11</v>
      </c>
      <c r="I152" s="7">
        <v>31202</v>
      </c>
      <c r="J152" s="7">
        <v>34865</v>
      </c>
      <c r="K152" s="8" t="s">
        <v>37</v>
      </c>
      <c r="L152" s="9" t="e">
        <f t="shared" ca="1" si="0"/>
        <v>#NAME?</v>
      </c>
      <c r="M152" s="9" t="e">
        <f t="shared" ca="1" si="1"/>
        <v>#NAME?</v>
      </c>
      <c r="N152" s="10" t="e">
        <f t="shared" ca="1" si="2"/>
        <v>#NAME?</v>
      </c>
      <c r="O152" s="1" t="s">
        <v>38</v>
      </c>
      <c r="P152" s="1"/>
      <c r="Q152" s="1" t="s">
        <v>90</v>
      </c>
      <c r="R152" s="1" t="s">
        <v>705</v>
      </c>
      <c r="S152" s="1" t="s">
        <v>523</v>
      </c>
      <c r="T152" s="1" t="s">
        <v>158</v>
      </c>
      <c r="U152" s="1" t="s">
        <v>525</v>
      </c>
      <c r="V152" s="1" t="s">
        <v>43</v>
      </c>
      <c r="W152" s="1" t="s">
        <v>150</v>
      </c>
      <c r="X152" s="1">
        <v>3</v>
      </c>
      <c r="Y152" s="7">
        <v>32932</v>
      </c>
      <c r="Z152" s="7">
        <v>34397</v>
      </c>
      <c r="AA152" s="1">
        <v>654</v>
      </c>
      <c r="AB152" s="1">
        <v>3</v>
      </c>
      <c r="AC152" s="1">
        <v>17</v>
      </c>
      <c r="AD152" s="1" t="s">
        <v>706</v>
      </c>
    </row>
    <row r="153" spans="1:33" ht="13">
      <c r="A153" s="1" t="s">
        <v>707</v>
      </c>
      <c r="B153" s="1" t="s">
        <v>34</v>
      </c>
      <c r="C153" s="1" t="s">
        <v>35</v>
      </c>
      <c r="D153" s="1"/>
      <c r="E153" s="6">
        <v>18768</v>
      </c>
      <c r="F153" s="1" t="s">
        <v>84</v>
      </c>
      <c r="G153" s="1">
        <v>1987</v>
      </c>
      <c r="H153" s="1">
        <v>12</v>
      </c>
      <c r="I153" s="7">
        <v>31933</v>
      </c>
      <c r="J153" s="7">
        <v>35657</v>
      </c>
      <c r="K153" s="8" t="s">
        <v>37</v>
      </c>
      <c r="L153" s="9" t="e">
        <f t="shared" ca="1" si="0"/>
        <v>#NAME?</v>
      </c>
      <c r="M153" s="9" t="e">
        <f t="shared" ca="1" si="1"/>
        <v>#NAME?</v>
      </c>
      <c r="N153" s="10" t="e">
        <f t="shared" ca="1" si="2"/>
        <v>#NAME?</v>
      </c>
      <c r="O153" s="1" t="s">
        <v>38</v>
      </c>
      <c r="P153" s="1"/>
      <c r="Q153" s="1" t="s">
        <v>90</v>
      </c>
      <c r="R153" s="1" t="s">
        <v>591</v>
      </c>
      <c r="S153" s="1" t="s">
        <v>708</v>
      </c>
      <c r="T153" s="1" t="s">
        <v>709</v>
      </c>
      <c r="U153" s="1" t="s">
        <v>709</v>
      </c>
      <c r="V153" s="1" t="s">
        <v>49</v>
      </c>
      <c r="W153" s="1" t="s">
        <v>50</v>
      </c>
      <c r="X153" s="1">
        <v>4</v>
      </c>
      <c r="Y153" s="7">
        <v>33152</v>
      </c>
      <c r="Z153" s="7">
        <v>35324</v>
      </c>
      <c r="AA153" s="1">
        <v>814</v>
      </c>
      <c r="AB153" s="1">
        <v>4</v>
      </c>
      <c r="AC153" s="1">
        <v>29</v>
      </c>
      <c r="AD153" s="1" t="s">
        <v>710</v>
      </c>
    </row>
    <row r="154" spans="1:33" ht="13">
      <c r="A154" s="1" t="s">
        <v>711</v>
      </c>
      <c r="B154" s="1" t="s">
        <v>34</v>
      </c>
      <c r="C154" s="1" t="s">
        <v>35</v>
      </c>
      <c r="D154" s="1"/>
      <c r="E154" s="6">
        <v>20305</v>
      </c>
      <c r="F154" s="1" t="s">
        <v>84</v>
      </c>
      <c r="G154" s="1">
        <v>1987</v>
      </c>
      <c r="H154" s="1">
        <v>12</v>
      </c>
      <c r="I154" s="7">
        <v>31933</v>
      </c>
      <c r="J154" s="7">
        <v>35718</v>
      </c>
      <c r="K154" s="8" t="s">
        <v>37</v>
      </c>
      <c r="L154" s="9" t="e">
        <f t="shared" ca="1" si="0"/>
        <v>#NAME?</v>
      </c>
      <c r="M154" s="9" t="e">
        <f t="shared" ca="1" si="1"/>
        <v>#NAME?</v>
      </c>
      <c r="N154" s="10" t="e">
        <f t="shared" ca="1" si="2"/>
        <v>#NAME?</v>
      </c>
      <c r="O154" s="1" t="s">
        <v>38</v>
      </c>
      <c r="P154" s="1"/>
      <c r="Q154" s="1" t="s">
        <v>90</v>
      </c>
      <c r="R154" s="1" t="s">
        <v>95</v>
      </c>
      <c r="S154" s="1" t="s">
        <v>712</v>
      </c>
      <c r="T154" s="1" t="s">
        <v>62</v>
      </c>
      <c r="U154" s="1" t="s">
        <v>216</v>
      </c>
      <c r="V154" s="1" t="s">
        <v>63</v>
      </c>
      <c r="W154" s="1" t="s">
        <v>56</v>
      </c>
      <c r="X154" s="1">
        <v>3</v>
      </c>
      <c r="Y154" s="7">
        <v>33816</v>
      </c>
      <c r="Z154" s="7">
        <v>35117</v>
      </c>
      <c r="AA154" s="1">
        <v>906</v>
      </c>
      <c r="AB154" s="1">
        <v>0</v>
      </c>
      <c r="AC154" s="1">
        <v>0</v>
      </c>
      <c r="AD154" s="1" t="s">
        <v>713</v>
      </c>
    </row>
    <row r="155" spans="1:33" ht="13">
      <c r="A155" s="1" t="s">
        <v>714</v>
      </c>
      <c r="B155" s="1" t="s">
        <v>34</v>
      </c>
      <c r="C155" s="1" t="s">
        <v>35</v>
      </c>
      <c r="D155" s="1"/>
      <c r="E155" s="6">
        <v>20773</v>
      </c>
      <c r="F155" s="1" t="s">
        <v>36</v>
      </c>
      <c r="G155" s="1">
        <v>1987</v>
      </c>
      <c r="H155" s="1">
        <v>12</v>
      </c>
      <c r="I155" s="7">
        <v>31933</v>
      </c>
      <c r="J155" s="7">
        <v>39066</v>
      </c>
      <c r="K155" s="8" t="s">
        <v>37</v>
      </c>
      <c r="L155" s="9" t="e">
        <f t="shared" ca="1" si="0"/>
        <v>#NAME?</v>
      </c>
      <c r="M155" s="9" t="e">
        <f t="shared" ca="1" si="1"/>
        <v>#NAME?</v>
      </c>
      <c r="N155" s="10" t="e">
        <f t="shared" ca="1" si="2"/>
        <v>#NAME?</v>
      </c>
      <c r="O155" s="1" t="s">
        <v>38</v>
      </c>
      <c r="P155" s="1"/>
      <c r="Q155" s="1" t="s">
        <v>90</v>
      </c>
      <c r="R155" s="1" t="s">
        <v>715</v>
      </c>
      <c r="S155" s="1" t="s">
        <v>716</v>
      </c>
      <c r="T155" s="1" t="s">
        <v>87</v>
      </c>
      <c r="U155" s="1" t="s">
        <v>62</v>
      </c>
      <c r="V155" s="1" t="s">
        <v>71</v>
      </c>
      <c r="W155" s="1" t="s">
        <v>44</v>
      </c>
      <c r="X155" s="1">
        <v>5</v>
      </c>
      <c r="Y155" s="7">
        <v>33780</v>
      </c>
      <c r="Z155" s="7">
        <v>37583</v>
      </c>
      <c r="AA155" s="1">
        <v>5078</v>
      </c>
      <c r="AB155" s="1">
        <v>2</v>
      </c>
      <c r="AC155" s="1">
        <v>13</v>
      </c>
      <c r="AD155" s="1" t="s">
        <v>717</v>
      </c>
    </row>
    <row r="156" spans="1:33" ht="13">
      <c r="A156" s="1" t="s">
        <v>718</v>
      </c>
      <c r="B156" s="1" t="s">
        <v>34</v>
      </c>
      <c r="C156" s="1" t="s">
        <v>35</v>
      </c>
      <c r="D156" s="1"/>
      <c r="E156" s="6">
        <v>20525</v>
      </c>
      <c r="F156" s="1" t="s">
        <v>36</v>
      </c>
      <c r="G156" s="1">
        <v>1987</v>
      </c>
      <c r="H156" s="1">
        <v>12</v>
      </c>
      <c r="I156" s="7">
        <v>31933</v>
      </c>
      <c r="J156" s="7">
        <v>36525</v>
      </c>
      <c r="K156" s="8" t="s">
        <v>37</v>
      </c>
      <c r="L156" s="9" t="e">
        <f t="shared" ca="1" si="0"/>
        <v>#NAME?</v>
      </c>
      <c r="M156" s="9" t="e">
        <f t="shared" ca="1" si="1"/>
        <v>#NAME?</v>
      </c>
      <c r="N156" s="10" t="e">
        <f t="shared" ca="1" si="2"/>
        <v>#NAME?</v>
      </c>
      <c r="O156" s="1" t="s">
        <v>38</v>
      </c>
      <c r="P156" s="1"/>
      <c r="Q156" s="1" t="s">
        <v>90</v>
      </c>
      <c r="R156" s="1" t="s">
        <v>719</v>
      </c>
      <c r="S156" s="1" t="s">
        <v>557</v>
      </c>
      <c r="T156" s="1" t="s">
        <v>139</v>
      </c>
      <c r="V156" s="1" t="s">
        <v>49</v>
      </c>
      <c r="W156" s="1" t="s">
        <v>50</v>
      </c>
      <c r="X156" s="1">
        <v>6</v>
      </c>
      <c r="Y156" s="7">
        <v>33859</v>
      </c>
      <c r="Z156" s="7">
        <v>36513</v>
      </c>
      <c r="AA156" s="1">
        <v>1383</v>
      </c>
      <c r="AB156" s="1">
        <v>0</v>
      </c>
      <c r="AC156" s="1">
        <v>0</v>
      </c>
      <c r="AD156" s="1" t="s">
        <v>720</v>
      </c>
    </row>
    <row r="157" spans="1:33" ht="13">
      <c r="A157" s="1" t="s">
        <v>721</v>
      </c>
      <c r="B157" s="1" t="s">
        <v>34</v>
      </c>
      <c r="C157" s="1" t="s">
        <v>35</v>
      </c>
      <c r="D157" s="1"/>
      <c r="E157" s="6">
        <v>19794</v>
      </c>
      <c r="F157" s="1" t="s">
        <v>84</v>
      </c>
      <c r="G157" s="1">
        <v>1987</v>
      </c>
      <c r="H157" s="1">
        <v>12</v>
      </c>
      <c r="I157" s="7">
        <v>31933</v>
      </c>
      <c r="J157" s="7">
        <v>39675</v>
      </c>
      <c r="K157" s="8" t="s">
        <v>37</v>
      </c>
      <c r="L157" s="9" t="e">
        <f t="shared" ca="1" si="0"/>
        <v>#NAME?</v>
      </c>
      <c r="M157" s="9" t="e">
        <f t="shared" ca="1" si="1"/>
        <v>#NAME?</v>
      </c>
      <c r="N157" s="10" t="e">
        <f t="shared" ca="1" si="2"/>
        <v>#NAME?</v>
      </c>
      <c r="O157" s="1" t="s">
        <v>38</v>
      </c>
      <c r="P157" s="1"/>
      <c r="Q157" s="1" t="s">
        <v>90</v>
      </c>
      <c r="R157" s="1" t="s">
        <v>468</v>
      </c>
      <c r="S157" s="1" t="s">
        <v>722</v>
      </c>
      <c r="T157" s="1" t="s">
        <v>346</v>
      </c>
      <c r="U157" s="1" t="s">
        <v>62</v>
      </c>
      <c r="V157" s="1" t="s">
        <v>105</v>
      </c>
      <c r="W157" s="1" t="s">
        <v>50</v>
      </c>
      <c r="X157" s="1">
        <v>3</v>
      </c>
      <c r="Y157" s="7">
        <v>33731</v>
      </c>
      <c r="Z157" s="7">
        <v>35146</v>
      </c>
      <c r="AA157" s="1">
        <v>700</v>
      </c>
      <c r="AB157" s="1">
        <v>0</v>
      </c>
      <c r="AC157" s="1">
        <v>0</v>
      </c>
      <c r="AD157" s="1" t="s">
        <v>723</v>
      </c>
    </row>
    <row r="158" spans="1:33" ht="13">
      <c r="A158" s="1" t="s">
        <v>724</v>
      </c>
      <c r="B158" s="1" t="s">
        <v>394</v>
      </c>
      <c r="C158" s="1" t="s">
        <v>35</v>
      </c>
      <c r="D158" s="1"/>
      <c r="E158" s="6">
        <v>19664</v>
      </c>
      <c r="F158" s="1" t="s">
        <v>124</v>
      </c>
      <c r="G158" s="1">
        <v>1987</v>
      </c>
      <c r="H158" s="1">
        <v>12</v>
      </c>
      <c r="I158" s="7">
        <v>31933</v>
      </c>
      <c r="J158" s="7">
        <v>38640</v>
      </c>
      <c r="K158" s="8" t="s">
        <v>37</v>
      </c>
      <c r="L158" s="9" t="e">
        <f t="shared" ca="1" si="0"/>
        <v>#NAME?</v>
      </c>
      <c r="M158" s="9" t="e">
        <f t="shared" ca="1" si="1"/>
        <v>#NAME?</v>
      </c>
      <c r="N158" s="10" t="e">
        <f t="shared" ca="1" si="2"/>
        <v>#NAME?</v>
      </c>
      <c r="O158" s="1" t="s">
        <v>38</v>
      </c>
      <c r="P158" s="1"/>
      <c r="Q158" s="1" t="s">
        <v>90</v>
      </c>
      <c r="R158" s="1" t="s">
        <v>725</v>
      </c>
      <c r="S158" s="1" t="s">
        <v>726</v>
      </c>
      <c r="T158" s="1" t="s">
        <v>727</v>
      </c>
      <c r="U158" s="1" t="s">
        <v>62</v>
      </c>
      <c r="X158" s="1">
        <v>3</v>
      </c>
      <c r="Y158" s="7">
        <v>33859</v>
      </c>
      <c r="Z158" s="7">
        <v>35649</v>
      </c>
      <c r="AA158" s="1">
        <v>673</v>
      </c>
      <c r="AB158" s="1">
        <v>0</v>
      </c>
      <c r="AC158" s="1">
        <v>0</v>
      </c>
      <c r="AD158" s="1" t="s">
        <v>728</v>
      </c>
    </row>
    <row r="159" spans="1:33" ht="13">
      <c r="A159" s="1" t="s">
        <v>729</v>
      </c>
      <c r="B159" s="1" t="s">
        <v>34</v>
      </c>
      <c r="C159" s="1" t="s">
        <v>35</v>
      </c>
      <c r="D159" s="1"/>
      <c r="E159" s="6">
        <v>20826</v>
      </c>
      <c r="F159" s="1" t="s">
        <v>124</v>
      </c>
      <c r="G159" s="1">
        <v>1987</v>
      </c>
      <c r="H159" s="1">
        <v>12</v>
      </c>
      <c r="I159" s="7">
        <v>31933</v>
      </c>
      <c r="J159" s="7">
        <v>41501</v>
      </c>
      <c r="K159" s="8" t="s">
        <v>37</v>
      </c>
      <c r="L159" s="9" t="e">
        <f t="shared" ca="1" si="0"/>
        <v>#NAME?</v>
      </c>
      <c r="M159" s="9" t="e">
        <f t="shared" ca="1" si="1"/>
        <v>#NAME?</v>
      </c>
      <c r="N159" s="10" t="e">
        <f t="shared" ca="1" si="2"/>
        <v>#NAME?</v>
      </c>
      <c r="O159" s="1" t="s">
        <v>38</v>
      </c>
      <c r="P159" s="1"/>
      <c r="Q159" s="8" t="s">
        <v>90</v>
      </c>
      <c r="R159" s="1" t="s">
        <v>730</v>
      </c>
      <c r="S159" s="1" t="s">
        <v>731</v>
      </c>
      <c r="T159" s="1" t="s">
        <v>158</v>
      </c>
      <c r="U159" s="1" t="s">
        <v>732</v>
      </c>
      <c r="X159" s="1">
        <v>6</v>
      </c>
      <c r="Y159" s="7">
        <v>33687</v>
      </c>
      <c r="Z159" s="7">
        <v>36513</v>
      </c>
      <c r="AA159" s="1">
        <v>8970</v>
      </c>
      <c r="AB159" s="1">
        <v>4</v>
      </c>
      <c r="AC159" s="1">
        <v>22</v>
      </c>
      <c r="AD159" s="1" t="s">
        <v>733</v>
      </c>
    </row>
    <row r="160" spans="1:33" ht="13">
      <c r="A160" s="1" t="s">
        <v>734</v>
      </c>
      <c r="B160" s="1" t="s">
        <v>34</v>
      </c>
      <c r="C160" s="1" t="s">
        <v>35</v>
      </c>
      <c r="D160" s="1"/>
      <c r="E160" s="6">
        <v>20560</v>
      </c>
      <c r="F160" s="1" t="s">
        <v>84</v>
      </c>
      <c r="G160" s="1">
        <v>1987</v>
      </c>
      <c r="H160" s="1">
        <v>12</v>
      </c>
      <c r="I160" s="7">
        <v>31933</v>
      </c>
      <c r="J160" s="7">
        <v>36965</v>
      </c>
      <c r="K160" s="8" t="s">
        <v>37</v>
      </c>
      <c r="L160" s="9" t="e">
        <f t="shared" ca="1" si="0"/>
        <v>#NAME?</v>
      </c>
      <c r="M160" s="9" t="e">
        <f t="shared" ca="1" si="1"/>
        <v>#NAME?</v>
      </c>
      <c r="N160" s="10" t="e">
        <f t="shared" ca="1" si="2"/>
        <v>#NAME?</v>
      </c>
      <c r="O160" s="1" t="s">
        <v>38</v>
      </c>
      <c r="P160" s="1"/>
      <c r="Q160" s="1" t="s">
        <v>90</v>
      </c>
      <c r="R160" s="1" t="s">
        <v>99</v>
      </c>
      <c r="S160" s="1" t="s">
        <v>735</v>
      </c>
      <c r="T160" s="1" t="s">
        <v>285</v>
      </c>
      <c r="U160" s="1" t="s">
        <v>736</v>
      </c>
      <c r="X160" s="1">
        <v>4</v>
      </c>
      <c r="Y160" s="7">
        <v>33356</v>
      </c>
      <c r="Z160" s="7">
        <v>35472</v>
      </c>
      <c r="AA160" s="1">
        <v>817</v>
      </c>
      <c r="AB160" s="1">
        <v>3</v>
      </c>
      <c r="AC160" s="1">
        <v>18</v>
      </c>
      <c r="AD160" s="1" t="s">
        <v>737</v>
      </c>
    </row>
    <row r="161" spans="1:31" ht="13">
      <c r="A161" s="1" t="s">
        <v>742</v>
      </c>
      <c r="B161" s="1" t="s">
        <v>34</v>
      </c>
      <c r="C161" s="1" t="s">
        <v>35</v>
      </c>
      <c r="D161" s="1"/>
      <c r="E161" s="6">
        <v>19128</v>
      </c>
      <c r="F161" s="1" t="s">
        <v>84</v>
      </c>
      <c r="G161" s="1">
        <v>1987</v>
      </c>
      <c r="H161" s="1">
        <v>12</v>
      </c>
      <c r="I161" s="7">
        <v>31933</v>
      </c>
      <c r="J161" s="7">
        <v>35626</v>
      </c>
      <c r="K161" s="8" t="s">
        <v>37</v>
      </c>
      <c r="L161" s="9" t="e">
        <f t="shared" ca="1" si="0"/>
        <v>#NAME?</v>
      </c>
      <c r="M161" s="9" t="e">
        <f t="shared" ca="1" si="1"/>
        <v>#NAME?</v>
      </c>
      <c r="N161" s="10" t="e">
        <f t="shared" ca="1" si="2"/>
        <v>#NAME?</v>
      </c>
      <c r="O161" s="1" t="s">
        <v>38</v>
      </c>
      <c r="P161" s="1"/>
      <c r="Q161" s="1" t="s">
        <v>90</v>
      </c>
      <c r="R161" s="1" t="s">
        <v>743</v>
      </c>
      <c r="S161" s="1" t="s">
        <v>744</v>
      </c>
      <c r="T161" s="1" t="s">
        <v>104</v>
      </c>
      <c r="U161" s="1" t="s">
        <v>452</v>
      </c>
      <c r="V161" s="1" t="s">
        <v>49</v>
      </c>
      <c r="W161" s="1" t="s">
        <v>50</v>
      </c>
      <c r="X161" s="1">
        <v>3</v>
      </c>
      <c r="Y161" s="7">
        <v>33356</v>
      </c>
      <c r="Z161" s="7">
        <v>34641</v>
      </c>
      <c r="AA161" s="1">
        <v>605</v>
      </c>
      <c r="AB161" s="1">
        <v>0</v>
      </c>
      <c r="AC161" s="1">
        <v>0</v>
      </c>
      <c r="AD161" s="1" t="s">
        <v>745</v>
      </c>
    </row>
    <row r="162" spans="1:31" ht="13">
      <c r="A162" s="1" t="s">
        <v>746</v>
      </c>
      <c r="B162" s="1" t="s">
        <v>34</v>
      </c>
      <c r="C162" s="1" t="s">
        <v>35</v>
      </c>
      <c r="D162" s="1"/>
      <c r="E162" s="6">
        <v>18237</v>
      </c>
      <c r="F162" s="1" t="s">
        <v>84</v>
      </c>
      <c r="G162" s="1">
        <v>1987</v>
      </c>
      <c r="H162" s="1">
        <v>12</v>
      </c>
      <c r="I162" s="7">
        <v>31933</v>
      </c>
      <c r="J162" s="7">
        <v>33800</v>
      </c>
      <c r="K162" s="8" t="s">
        <v>37</v>
      </c>
      <c r="L162" s="9" t="e">
        <f t="shared" ca="1" si="0"/>
        <v>#NAME?</v>
      </c>
      <c r="M162" s="9" t="e">
        <f t="shared" ca="1" si="1"/>
        <v>#NAME?</v>
      </c>
      <c r="N162" s="10" t="e">
        <f t="shared" ca="1" si="2"/>
        <v>#NAME?</v>
      </c>
      <c r="O162" s="1" t="s">
        <v>38</v>
      </c>
      <c r="P162" s="1"/>
      <c r="Q162" s="1" t="s">
        <v>90</v>
      </c>
      <c r="R162" s="1" t="s">
        <v>326</v>
      </c>
      <c r="S162" s="1" t="s">
        <v>747</v>
      </c>
      <c r="T162" s="1" t="s">
        <v>55</v>
      </c>
      <c r="U162" s="1" t="s">
        <v>574</v>
      </c>
      <c r="V162" s="1" t="s">
        <v>43</v>
      </c>
      <c r="W162" s="1" t="s">
        <v>748</v>
      </c>
      <c r="X162" s="1">
        <v>2</v>
      </c>
      <c r="Y162" s="7">
        <v>33152</v>
      </c>
      <c r="Z162" s="7">
        <v>33731</v>
      </c>
      <c r="AA162" s="1">
        <v>311</v>
      </c>
      <c r="AB162" s="1">
        <v>0</v>
      </c>
      <c r="AC162" s="1">
        <v>0</v>
      </c>
      <c r="AD162" s="1" t="s">
        <v>749</v>
      </c>
    </row>
    <row r="163" spans="1:31" ht="13">
      <c r="A163" s="1" t="s">
        <v>750</v>
      </c>
      <c r="B163" s="1" t="s">
        <v>34</v>
      </c>
      <c r="C163" s="1" t="s">
        <v>35</v>
      </c>
      <c r="D163" s="1"/>
      <c r="E163" s="6">
        <v>19017</v>
      </c>
      <c r="F163" s="1" t="s">
        <v>36</v>
      </c>
      <c r="G163" s="1">
        <v>1987</v>
      </c>
      <c r="H163" s="1">
        <v>12</v>
      </c>
      <c r="I163" s="7">
        <v>31933</v>
      </c>
      <c r="J163" s="7">
        <v>38639</v>
      </c>
      <c r="K163" s="8" t="s">
        <v>37</v>
      </c>
      <c r="L163" s="9" t="e">
        <f t="shared" ca="1" si="0"/>
        <v>#NAME?</v>
      </c>
      <c r="M163" s="9" t="e">
        <f t="shared" ca="1" si="1"/>
        <v>#NAME?</v>
      </c>
      <c r="N163" s="10" t="e">
        <f t="shared" ca="1" si="2"/>
        <v>#NAME?</v>
      </c>
      <c r="O163" s="1" t="s">
        <v>38</v>
      </c>
      <c r="P163" s="1"/>
      <c r="Q163" s="1" t="s">
        <v>90</v>
      </c>
      <c r="R163" s="1" t="s">
        <v>751</v>
      </c>
      <c r="S163" s="1" t="s">
        <v>69</v>
      </c>
      <c r="T163" s="1" t="s">
        <v>87</v>
      </c>
      <c r="V163" s="1" t="s">
        <v>71</v>
      </c>
      <c r="W163" s="1" t="s">
        <v>44</v>
      </c>
      <c r="X163" s="1">
        <v>3</v>
      </c>
      <c r="Y163" s="7">
        <v>33625</v>
      </c>
      <c r="Z163" s="7">
        <v>35324</v>
      </c>
      <c r="AA163" s="1">
        <v>672</v>
      </c>
      <c r="AB163" s="1">
        <v>0</v>
      </c>
      <c r="AC163" s="1">
        <v>0</v>
      </c>
      <c r="AD163" s="1" t="s">
        <v>752</v>
      </c>
    </row>
    <row r="164" spans="1:31" ht="13">
      <c r="A164" s="1" t="s">
        <v>753</v>
      </c>
      <c r="B164" s="1" t="s">
        <v>34</v>
      </c>
      <c r="C164" s="1" t="s">
        <v>35</v>
      </c>
      <c r="D164" s="1"/>
      <c r="E164" s="6">
        <v>18711</v>
      </c>
      <c r="F164" s="1" t="s">
        <v>84</v>
      </c>
      <c r="G164" s="1">
        <v>1987</v>
      </c>
      <c r="H164" s="1">
        <v>12</v>
      </c>
      <c r="I164" s="7">
        <v>31933</v>
      </c>
      <c r="J164" s="7">
        <v>34895</v>
      </c>
      <c r="K164" s="8" t="s">
        <v>37</v>
      </c>
      <c r="L164" s="9" t="e">
        <f t="shared" ca="1" si="0"/>
        <v>#NAME?</v>
      </c>
      <c r="M164" s="9" t="e">
        <f t="shared" ca="1" si="1"/>
        <v>#NAME?</v>
      </c>
      <c r="N164" s="10" t="e">
        <f t="shared" ca="1" si="2"/>
        <v>#NAME?</v>
      </c>
      <c r="O164" s="1" t="s">
        <v>38</v>
      </c>
      <c r="P164" s="1"/>
      <c r="Q164" s="1" t="s">
        <v>90</v>
      </c>
      <c r="R164" s="1" t="s">
        <v>754</v>
      </c>
      <c r="S164" s="1" t="s">
        <v>755</v>
      </c>
      <c r="T164" s="1" t="s">
        <v>87</v>
      </c>
      <c r="U164" s="1" t="s">
        <v>756</v>
      </c>
      <c r="V164" s="1" t="s">
        <v>71</v>
      </c>
      <c r="W164" s="1" t="s">
        <v>44</v>
      </c>
      <c r="X164" s="1">
        <v>2</v>
      </c>
      <c r="Y164" s="7">
        <v>33493</v>
      </c>
      <c r="Z164" s="7">
        <v>34368</v>
      </c>
      <c r="AA164" s="1">
        <v>327</v>
      </c>
      <c r="AB164" s="1">
        <v>0</v>
      </c>
      <c r="AC164" s="1">
        <v>0</v>
      </c>
      <c r="AD164" s="1" t="s">
        <v>757</v>
      </c>
    </row>
    <row r="165" spans="1:31" ht="13">
      <c r="A165" s="1" t="s">
        <v>758</v>
      </c>
      <c r="B165" s="1" t="s">
        <v>34</v>
      </c>
      <c r="C165" s="1" t="s">
        <v>35</v>
      </c>
      <c r="D165" s="1"/>
      <c r="E165" s="6">
        <v>19019</v>
      </c>
      <c r="F165" s="1" t="s">
        <v>84</v>
      </c>
      <c r="G165" s="1">
        <v>1987</v>
      </c>
      <c r="H165" s="1">
        <v>12</v>
      </c>
      <c r="I165" s="19">
        <v>31903</v>
      </c>
      <c r="J165" s="19">
        <v>37434</v>
      </c>
      <c r="K165" s="8" t="s">
        <v>37</v>
      </c>
      <c r="L165" s="9" t="e">
        <f t="shared" ca="1" si="0"/>
        <v>#NAME?</v>
      </c>
      <c r="M165" s="9" t="e">
        <f t="shared" ca="1" si="1"/>
        <v>#NAME?</v>
      </c>
      <c r="N165" s="10" t="e">
        <f t="shared" ca="1" si="2"/>
        <v>#NAME?</v>
      </c>
      <c r="O165" s="1" t="s">
        <v>38</v>
      </c>
      <c r="P165" s="1"/>
      <c r="Q165" s="1" t="s">
        <v>521</v>
      </c>
      <c r="R165" s="1" t="s">
        <v>759</v>
      </c>
      <c r="S165" s="1" t="s">
        <v>760</v>
      </c>
      <c r="T165" s="1" t="s">
        <v>761</v>
      </c>
      <c r="U165" s="1" t="s">
        <v>762</v>
      </c>
      <c r="V165" s="1" t="s">
        <v>149</v>
      </c>
      <c r="W165" s="1" t="s">
        <v>44</v>
      </c>
      <c r="X165" s="1">
        <v>3</v>
      </c>
      <c r="Y165" s="19">
        <v>33566</v>
      </c>
      <c r="Z165" s="19">
        <v>35204</v>
      </c>
      <c r="AA165" s="1">
        <v>551</v>
      </c>
      <c r="AB165" s="1">
        <v>0</v>
      </c>
      <c r="AC165" s="1">
        <v>0</v>
      </c>
      <c r="AD165" s="1" t="s">
        <v>763</v>
      </c>
      <c r="AE165" s="21">
        <v>37004</v>
      </c>
    </row>
    <row r="166" spans="1:31" ht="13">
      <c r="A166" s="1" t="s">
        <v>764</v>
      </c>
      <c r="B166" s="1" t="s">
        <v>34</v>
      </c>
      <c r="C166" s="1" t="s">
        <v>35</v>
      </c>
      <c r="D166" s="1"/>
      <c r="E166" s="6">
        <v>17960</v>
      </c>
      <c r="F166" s="1" t="s">
        <v>84</v>
      </c>
      <c r="G166" s="1">
        <v>1987</v>
      </c>
      <c r="H166" s="1">
        <v>12</v>
      </c>
      <c r="I166" s="7">
        <v>31933</v>
      </c>
      <c r="J166" s="7">
        <v>37787</v>
      </c>
      <c r="K166" s="8" t="s">
        <v>37</v>
      </c>
      <c r="L166" s="9" t="e">
        <f t="shared" ca="1" si="0"/>
        <v>#NAME?</v>
      </c>
      <c r="M166" s="9" t="e">
        <f t="shared" ca="1" si="1"/>
        <v>#NAME?</v>
      </c>
      <c r="N166" s="10" t="e">
        <f t="shared" ca="1" si="2"/>
        <v>#NAME?</v>
      </c>
      <c r="O166" s="1" t="s">
        <v>38</v>
      </c>
      <c r="P166" s="1"/>
      <c r="Q166" s="1" t="s">
        <v>90</v>
      </c>
      <c r="R166" s="1" t="s">
        <v>765</v>
      </c>
      <c r="S166" s="1" t="s">
        <v>766</v>
      </c>
      <c r="T166" s="1" t="s">
        <v>87</v>
      </c>
      <c r="U166" s="1" t="s">
        <v>767</v>
      </c>
      <c r="V166" s="1" t="s">
        <v>49</v>
      </c>
      <c r="W166" s="1" t="s">
        <v>490</v>
      </c>
      <c r="X166" s="1">
        <v>5</v>
      </c>
      <c r="Y166" s="7">
        <v>33566</v>
      </c>
      <c r="Z166" s="7">
        <v>36958</v>
      </c>
      <c r="AA166" s="1">
        <v>4853</v>
      </c>
      <c r="AB166" s="1">
        <v>4</v>
      </c>
      <c r="AC166" s="1">
        <v>22</v>
      </c>
      <c r="AD166" s="1" t="s">
        <v>768</v>
      </c>
    </row>
    <row r="167" spans="1:31" ht="13">
      <c r="A167" s="1" t="s">
        <v>769</v>
      </c>
      <c r="B167" s="1" t="s">
        <v>34</v>
      </c>
      <c r="C167" s="1" t="s">
        <v>35</v>
      </c>
      <c r="D167" s="1"/>
      <c r="E167" s="6">
        <v>21026</v>
      </c>
      <c r="F167" s="1" t="s">
        <v>84</v>
      </c>
      <c r="G167" s="1">
        <v>1990</v>
      </c>
      <c r="H167" s="1">
        <v>13</v>
      </c>
      <c r="I167" s="7">
        <v>32890</v>
      </c>
      <c r="J167" s="7">
        <v>38487</v>
      </c>
      <c r="K167" s="8" t="s">
        <v>37</v>
      </c>
      <c r="L167" s="9" t="e">
        <f t="shared" ca="1" si="0"/>
        <v>#NAME?</v>
      </c>
      <c r="M167" s="9" t="e">
        <f t="shared" ca="1" si="1"/>
        <v>#NAME?</v>
      </c>
      <c r="N167" s="10" t="e">
        <f t="shared" ca="1" si="2"/>
        <v>#NAME?</v>
      </c>
      <c r="O167" s="1" t="s">
        <v>38</v>
      </c>
      <c r="P167" s="1"/>
      <c r="Q167" s="1" t="s">
        <v>90</v>
      </c>
      <c r="R167" s="1" t="s">
        <v>770</v>
      </c>
      <c r="S167" s="1" t="s">
        <v>565</v>
      </c>
      <c r="T167" s="1" t="s">
        <v>158</v>
      </c>
      <c r="U167" s="1" t="s">
        <v>346</v>
      </c>
      <c r="V167" s="1" t="s">
        <v>71</v>
      </c>
      <c r="W167" s="1" t="s">
        <v>44</v>
      </c>
      <c r="X167" s="1">
        <v>4</v>
      </c>
      <c r="Y167" s="7">
        <v>34224</v>
      </c>
      <c r="Z167" s="7">
        <v>37230</v>
      </c>
      <c r="AA167" s="1">
        <v>5446</v>
      </c>
      <c r="AB167" s="1">
        <v>2</v>
      </c>
      <c r="AC167" s="1">
        <v>12</v>
      </c>
      <c r="AD167" s="1" t="s">
        <v>771</v>
      </c>
    </row>
    <row r="168" spans="1:31" ht="13">
      <c r="A168" s="1" t="s">
        <v>777</v>
      </c>
      <c r="B168" s="1" t="s">
        <v>34</v>
      </c>
      <c r="C168" s="1" t="s">
        <v>35</v>
      </c>
      <c r="D168" s="1"/>
      <c r="E168" s="6">
        <v>19280</v>
      </c>
      <c r="F168" s="1" t="s">
        <v>84</v>
      </c>
      <c r="G168" s="1">
        <v>1990</v>
      </c>
      <c r="H168" s="1">
        <v>13</v>
      </c>
      <c r="I168" s="7">
        <v>32890</v>
      </c>
      <c r="J168" s="7">
        <v>35436</v>
      </c>
      <c r="K168" s="8" t="s">
        <v>37</v>
      </c>
      <c r="L168" s="9" t="e">
        <f t="shared" ca="1" si="0"/>
        <v>#NAME?</v>
      </c>
      <c r="M168" s="9" t="e">
        <f t="shared" ca="1" si="1"/>
        <v>#NAME?</v>
      </c>
      <c r="N168" s="10" t="e">
        <f t="shared" ca="1" si="2"/>
        <v>#NAME?</v>
      </c>
      <c r="O168" s="1" t="s">
        <v>38</v>
      </c>
      <c r="P168" s="1"/>
      <c r="Q168" s="1" t="s">
        <v>90</v>
      </c>
      <c r="R168" s="1" t="s">
        <v>778</v>
      </c>
      <c r="S168" s="1" t="s">
        <v>779</v>
      </c>
      <c r="U168" s="1" t="s">
        <v>87</v>
      </c>
      <c r="V168" s="1" t="s">
        <v>63</v>
      </c>
      <c r="W168" s="1" t="s">
        <v>490</v>
      </c>
      <c r="X168" s="1">
        <v>3</v>
      </c>
      <c r="Y168" s="7">
        <v>33940</v>
      </c>
      <c r="Z168" s="7">
        <v>35146</v>
      </c>
      <c r="AA168" s="1">
        <v>666</v>
      </c>
      <c r="AB168" s="1">
        <v>1</v>
      </c>
      <c r="AC168" s="1">
        <v>6</v>
      </c>
      <c r="AD168" s="1" t="s">
        <v>780</v>
      </c>
    </row>
    <row r="169" spans="1:31" ht="13">
      <c r="A169" s="1" t="s">
        <v>781</v>
      </c>
      <c r="B169" s="1" t="s">
        <v>34</v>
      </c>
      <c r="C169" s="1" t="s">
        <v>35</v>
      </c>
      <c r="D169" s="1"/>
      <c r="E169" s="6">
        <v>18362</v>
      </c>
      <c r="F169" s="1" t="s">
        <v>84</v>
      </c>
      <c r="G169" s="1">
        <v>1990</v>
      </c>
      <c r="H169" s="1">
        <v>13</v>
      </c>
      <c r="I169" s="7">
        <v>32890</v>
      </c>
      <c r="J169" s="7">
        <v>38763</v>
      </c>
      <c r="K169" s="8" t="s">
        <v>37</v>
      </c>
      <c r="L169" s="9" t="e">
        <f t="shared" ca="1" si="0"/>
        <v>#NAME?</v>
      </c>
      <c r="M169" s="9" t="e">
        <f t="shared" ca="1" si="1"/>
        <v>#NAME?</v>
      </c>
      <c r="N169" s="10" t="e">
        <f t="shared" ca="1" si="2"/>
        <v>#NAME?</v>
      </c>
      <c r="O169" s="1" t="s">
        <v>38</v>
      </c>
      <c r="P169" s="1"/>
      <c r="Q169" s="1" t="s">
        <v>521</v>
      </c>
      <c r="R169" s="1" t="s">
        <v>782</v>
      </c>
      <c r="S169" s="1" t="s">
        <v>783</v>
      </c>
      <c r="T169" s="1" t="s">
        <v>62</v>
      </c>
      <c r="U169" s="1" t="s">
        <v>574</v>
      </c>
      <c r="W169" s="1" t="s">
        <v>784</v>
      </c>
      <c r="X169" s="1">
        <v>5</v>
      </c>
      <c r="Y169" s="7">
        <v>34067</v>
      </c>
      <c r="Z169" s="7">
        <v>37412</v>
      </c>
      <c r="AA169" s="1">
        <v>1548</v>
      </c>
      <c r="AB169" s="1">
        <v>0</v>
      </c>
      <c r="AC169" s="1">
        <v>0</v>
      </c>
      <c r="AD169" s="1" t="s">
        <v>785</v>
      </c>
    </row>
    <row r="170" spans="1:31" ht="13">
      <c r="A170" s="1" t="s">
        <v>786</v>
      </c>
      <c r="B170" s="1" t="s">
        <v>394</v>
      </c>
      <c r="C170" s="1" t="s">
        <v>35</v>
      </c>
      <c r="D170" s="1"/>
      <c r="E170" s="6">
        <v>21873</v>
      </c>
      <c r="F170" s="1" t="s">
        <v>84</v>
      </c>
      <c r="G170" s="1">
        <v>1990</v>
      </c>
      <c r="H170" s="1">
        <v>13</v>
      </c>
      <c r="I170" s="7">
        <v>32890</v>
      </c>
      <c r="J170" s="7">
        <v>38838</v>
      </c>
      <c r="K170" s="8" t="s">
        <v>37</v>
      </c>
      <c r="L170" s="9" t="e">
        <f t="shared" ca="1" si="0"/>
        <v>#NAME?</v>
      </c>
      <c r="M170" s="9" t="e">
        <f t="shared" ca="1" si="1"/>
        <v>#NAME?</v>
      </c>
      <c r="N170" s="10" t="e">
        <f t="shared" ca="1" si="2"/>
        <v>#NAME?</v>
      </c>
      <c r="O170" s="1" t="s">
        <v>38</v>
      </c>
      <c r="P170" s="1"/>
      <c r="Q170" s="1" t="s">
        <v>90</v>
      </c>
      <c r="R170" s="1" t="s">
        <v>787</v>
      </c>
      <c r="S170" s="1" t="s">
        <v>788</v>
      </c>
      <c r="T170" s="1" t="s">
        <v>789</v>
      </c>
      <c r="U170" s="1" t="s">
        <v>790</v>
      </c>
      <c r="V170" s="1" t="s">
        <v>49</v>
      </c>
      <c r="W170" s="1" t="s">
        <v>50</v>
      </c>
      <c r="X170" s="1">
        <v>4</v>
      </c>
      <c r="Y170" s="7">
        <v>34733</v>
      </c>
      <c r="Z170" s="7">
        <v>38559</v>
      </c>
      <c r="AA170" s="1">
        <v>890</v>
      </c>
      <c r="AB170" s="1">
        <v>0</v>
      </c>
      <c r="AC170" s="1">
        <v>0</v>
      </c>
      <c r="AD170" s="1" t="s">
        <v>791</v>
      </c>
    </row>
    <row r="171" spans="1:31" ht="13">
      <c r="A171" s="1" t="s">
        <v>792</v>
      </c>
      <c r="B171" s="1" t="s">
        <v>394</v>
      </c>
      <c r="C171" s="1" t="s">
        <v>35</v>
      </c>
      <c r="D171" s="1"/>
      <c r="E171" s="6">
        <v>21548</v>
      </c>
      <c r="F171" s="1" t="s">
        <v>124</v>
      </c>
      <c r="G171" s="1">
        <v>1990</v>
      </c>
      <c r="H171" s="1">
        <v>13</v>
      </c>
      <c r="I171" s="19">
        <v>32890</v>
      </c>
      <c r="J171" s="22">
        <v>43041</v>
      </c>
      <c r="K171" s="23" t="s">
        <v>37</v>
      </c>
      <c r="L171" s="9" t="e">
        <f t="shared" ca="1" si="0"/>
        <v>#NAME?</v>
      </c>
      <c r="M171" s="9" t="e">
        <f t="shared" ca="1" si="1"/>
        <v>#NAME?</v>
      </c>
      <c r="N171" s="10" t="e">
        <f t="shared" ca="1" si="2"/>
        <v>#NAME?</v>
      </c>
      <c r="O171" s="1" t="s">
        <v>38</v>
      </c>
      <c r="P171" s="1"/>
      <c r="Q171" s="1" t="s">
        <v>521</v>
      </c>
      <c r="R171" s="1" t="s">
        <v>793</v>
      </c>
      <c r="S171" s="1" t="s">
        <v>794</v>
      </c>
      <c r="T171" s="1" t="s">
        <v>539</v>
      </c>
      <c r="U171" s="1" t="s">
        <v>795</v>
      </c>
      <c r="V171" s="1" t="s">
        <v>49</v>
      </c>
      <c r="W171" s="1" t="s">
        <v>490</v>
      </c>
      <c r="X171" s="1">
        <v>4</v>
      </c>
      <c r="Y171" s="19">
        <v>34141</v>
      </c>
      <c r="Z171" s="19">
        <v>37316</v>
      </c>
      <c r="AA171" s="1">
        <v>999</v>
      </c>
      <c r="AB171" s="1">
        <v>0</v>
      </c>
      <c r="AC171" s="1">
        <v>0</v>
      </c>
      <c r="AD171" s="1" t="s">
        <v>796</v>
      </c>
    </row>
    <row r="172" spans="1:31" ht="13">
      <c r="A172" s="1" t="s">
        <v>797</v>
      </c>
      <c r="B172" s="1" t="s">
        <v>34</v>
      </c>
      <c r="C172" s="1" t="s">
        <v>35</v>
      </c>
      <c r="D172" s="1"/>
      <c r="E172" s="6">
        <v>20954</v>
      </c>
      <c r="F172" s="1" t="s">
        <v>84</v>
      </c>
      <c r="G172" s="1">
        <v>1990</v>
      </c>
      <c r="H172" s="1">
        <v>13</v>
      </c>
      <c r="I172" s="7">
        <v>32890</v>
      </c>
      <c r="J172" s="7">
        <v>36342</v>
      </c>
      <c r="K172" s="8" t="s">
        <v>37</v>
      </c>
      <c r="L172" s="9" t="e">
        <f t="shared" ca="1" si="0"/>
        <v>#NAME?</v>
      </c>
      <c r="M172" s="9" t="e">
        <f t="shared" ca="1" si="1"/>
        <v>#NAME?</v>
      </c>
      <c r="N172" s="10" t="e">
        <f t="shared" ca="1" si="2"/>
        <v>#NAME?</v>
      </c>
      <c r="O172" s="1" t="s">
        <v>38</v>
      </c>
      <c r="P172" s="1"/>
      <c r="Q172" s="1" t="s">
        <v>90</v>
      </c>
      <c r="R172" s="1" t="s">
        <v>798</v>
      </c>
      <c r="S172" s="1" t="s">
        <v>799</v>
      </c>
      <c r="T172" s="1" t="s">
        <v>346</v>
      </c>
      <c r="U172" s="1" t="s">
        <v>800</v>
      </c>
      <c r="V172" s="1" t="s">
        <v>63</v>
      </c>
      <c r="W172" s="1" t="s">
        <v>64</v>
      </c>
      <c r="X172" s="1">
        <v>1</v>
      </c>
      <c r="Y172" s="7">
        <v>34760</v>
      </c>
      <c r="Z172" s="7">
        <v>34760</v>
      </c>
      <c r="AA172" s="1">
        <v>399</v>
      </c>
      <c r="AB172" s="1">
        <v>0</v>
      </c>
      <c r="AC172" s="1">
        <v>0</v>
      </c>
      <c r="AD172" s="1" t="s">
        <v>801</v>
      </c>
    </row>
    <row r="173" spans="1:31" ht="13">
      <c r="A173" s="1" t="s">
        <v>802</v>
      </c>
      <c r="B173" s="1" t="s">
        <v>34</v>
      </c>
      <c r="C173" s="1" t="s">
        <v>35</v>
      </c>
      <c r="D173" s="1"/>
      <c r="E173" s="6">
        <v>20727</v>
      </c>
      <c r="F173" s="1" t="s">
        <v>84</v>
      </c>
      <c r="G173" s="1">
        <v>1990</v>
      </c>
      <c r="H173" s="1">
        <v>13</v>
      </c>
      <c r="I173" s="7">
        <v>32890</v>
      </c>
      <c r="J173" s="7">
        <v>39036</v>
      </c>
      <c r="K173" s="8" t="s">
        <v>37</v>
      </c>
      <c r="L173" s="9" t="e">
        <f t="shared" ca="1" si="0"/>
        <v>#NAME?</v>
      </c>
      <c r="M173" s="9" t="e">
        <f t="shared" ca="1" si="1"/>
        <v>#NAME?</v>
      </c>
      <c r="N173" s="10" t="e">
        <f t="shared" ca="1" si="2"/>
        <v>#NAME?</v>
      </c>
      <c r="O173" s="1" t="s">
        <v>38</v>
      </c>
      <c r="P173" s="1"/>
      <c r="Q173" s="1" t="s">
        <v>90</v>
      </c>
      <c r="R173" s="1" t="s">
        <v>803</v>
      </c>
      <c r="S173" s="1" t="s">
        <v>804</v>
      </c>
      <c r="T173" s="1" t="s">
        <v>55</v>
      </c>
      <c r="U173" s="1" t="s">
        <v>805</v>
      </c>
      <c r="V173" s="1" t="s">
        <v>49</v>
      </c>
      <c r="W173" s="1" t="s">
        <v>50</v>
      </c>
      <c r="X173" s="1">
        <v>5</v>
      </c>
      <c r="Y173" s="7">
        <v>34523</v>
      </c>
      <c r="Z173" s="7">
        <v>36665</v>
      </c>
      <c r="AA173" s="1">
        <v>1258</v>
      </c>
      <c r="AB173" s="1">
        <v>0</v>
      </c>
      <c r="AC173" s="1">
        <v>0</v>
      </c>
      <c r="AD173" s="1" t="s">
        <v>806</v>
      </c>
    </row>
    <row r="174" spans="1:31" ht="13">
      <c r="A174" s="1" t="s">
        <v>812</v>
      </c>
      <c r="B174" s="1" t="s">
        <v>394</v>
      </c>
      <c r="C174" s="1" t="s">
        <v>35</v>
      </c>
      <c r="D174" s="1"/>
      <c r="E174" s="6">
        <v>21242</v>
      </c>
      <c r="F174" s="1" t="s">
        <v>84</v>
      </c>
      <c r="G174" s="1">
        <v>1990</v>
      </c>
      <c r="H174" s="1">
        <v>13</v>
      </c>
      <c r="I174" s="7">
        <v>32890</v>
      </c>
      <c r="J174" s="7">
        <v>37452</v>
      </c>
      <c r="K174" s="8" t="s">
        <v>37</v>
      </c>
      <c r="L174" s="9" t="e">
        <f t="shared" ca="1" si="0"/>
        <v>#NAME?</v>
      </c>
      <c r="M174" s="9" t="e">
        <f t="shared" ca="1" si="1"/>
        <v>#NAME?</v>
      </c>
      <c r="N174" s="10" t="e">
        <f t="shared" ca="1" si="2"/>
        <v>#NAME?</v>
      </c>
      <c r="O174" s="1" t="s">
        <v>38</v>
      </c>
      <c r="P174" s="1"/>
      <c r="Q174" s="1" t="s">
        <v>90</v>
      </c>
      <c r="R174" s="1" t="s">
        <v>226</v>
      </c>
      <c r="S174" s="1" t="s">
        <v>813</v>
      </c>
      <c r="T174" s="1" t="s">
        <v>42</v>
      </c>
      <c r="U174" s="1" t="s">
        <v>175</v>
      </c>
      <c r="V174" s="1" t="s">
        <v>113</v>
      </c>
      <c r="W174" s="1" t="s">
        <v>64</v>
      </c>
      <c r="X174" s="1">
        <v>5</v>
      </c>
      <c r="Y174" s="7">
        <v>33982</v>
      </c>
      <c r="Z174" s="7">
        <v>36958</v>
      </c>
      <c r="AA174" s="1">
        <v>5063</v>
      </c>
      <c r="AB174" s="1">
        <v>1</v>
      </c>
      <c r="AC174" s="1">
        <v>9</v>
      </c>
      <c r="AD174" s="1" t="s">
        <v>814</v>
      </c>
    </row>
    <row r="175" spans="1:31" ht="13">
      <c r="A175" s="1" t="s">
        <v>815</v>
      </c>
      <c r="B175" s="1" t="s">
        <v>34</v>
      </c>
      <c r="C175" s="1" t="s">
        <v>35</v>
      </c>
      <c r="D175" s="1"/>
      <c r="E175" s="6">
        <v>20111</v>
      </c>
      <c r="F175" s="1" t="s">
        <v>124</v>
      </c>
      <c r="G175" s="1">
        <v>1990</v>
      </c>
      <c r="H175" s="1">
        <v>13</v>
      </c>
      <c r="I175" s="7">
        <v>32890</v>
      </c>
      <c r="J175" s="7">
        <v>37073</v>
      </c>
      <c r="K175" s="8" t="s">
        <v>37</v>
      </c>
      <c r="L175" s="9" t="e">
        <f t="shared" ca="1" si="0"/>
        <v>#NAME?</v>
      </c>
      <c r="M175" s="9" t="e">
        <f t="shared" ca="1" si="1"/>
        <v>#NAME?</v>
      </c>
      <c r="N175" s="10" t="e">
        <f t="shared" ca="1" si="2"/>
        <v>#NAME?</v>
      </c>
      <c r="O175" s="1" t="s">
        <v>38</v>
      </c>
      <c r="P175" s="1"/>
      <c r="Q175" s="1" t="s">
        <v>90</v>
      </c>
      <c r="R175" s="1" t="s">
        <v>631</v>
      </c>
      <c r="S175" s="1" t="s">
        <v>816</v>
      </c>
      <c r="U175" s="1" t="s">
        <v>817</v>
      </c>
      <c r="X175" s="1">
        <v>4</v>
      </c>
      <c r="Y175" s="7">
        <v>34433</v>
      </c>
      <c r="Z175" s="7">
        <v>36929</v>
      </c>
      <c r="AA175" s="1">
        <v>1272</v>
      </c>
      <c r="AB175" s="1">
        <v>3</v>
      </c>
      <c r="AC175" s="1">
        <v>20</v>
      </c>
      <c r="AD175" s="1" t="s">
        <v>818</v>
      </c>
    </row>
    <row r="176" spans="1:31" ht="13">
      <c r="A176" s="1" t="s">
        <v>819</v>
      </c>
      <c r="B176" s="1" t="s">
        <v>34</v>
      </c>
      <c r="C176" s="1" t="s">
        <v>35</v>
      </c>
      <c r="D176" s="1"/>
      <c r="E176" s="6">
        <v>18835</v>
      </c>
      <c r="F176" s="1" t="s">
        <v>84</v>
      </c>
      <c r="G176" s="1">
        <v>1990</v>
      </c>
      <c r="H176" s="1">
        <v>13</v>
      </c>
      <c r="I176" s="7">
        <v>32890</v>
      </c>
      <c r="J176" s="17">
        <v>42910</v>
      </c>
      <c r="K176" s="8" t="s">
        <v>37</v>
      </c>
      <c r="L176" s="9" t="e">
        <f t="shared" ca="1" si="0"/>
        <v>#NAME?</v>
      </c>
      <c r="M176" s="9" t="e">
        <f t="shared" ca="1" si="1"/>
        <v>#NAME?</v>
      </c>
      <c r="N176" s="10" t="e">
        <f t="shared" ca="1" si="2"/>
        <v>#NAME?</v>
      </c>
      <c r="O176" s="1" t="s">
        <v>38</v>
      </c>
      <c r="P176" s="1"/>
      <c r="Q176" s="1" t="s">
        <v>521</v>
      </c>
      <c r="R176" s="1" t="s">
        <v>820</v>
      </c>
      <c r="S176" s="1" t="s">
        <v>779</v>
      </c>
      <c r="T176" s="1" t="s">
        <v>821</v>
      </c>
      <c r="U176" s="1" t="s">
        <v>87</v>
      </c>
      <c r="V176" s="1" t="s">
        <v>49</v>
      </c>
      <c r="W176" s="1" t="s">
        <v>490</v>
      </c>
      <c r="X176" s="1">
        <v>4</v>
      </c>
      <c r="Y176" s="7">
        <v>34260</v>
      </c>
      <c r="Z176" s="7">
        <v>38625</v>
      </c>
      <c r="AA176" s="1">
        <v>5398</v>
      </c>
      <c r="AB176" s="1">
        <v>4</v>
      </c>
      <c r="AC176" s="1">
        <v>24</v>
      </c>
      <c r="AD176" s="1" t="s">
        <v>822</v>
      </c>
    </row>
    <row r="177" spans="1:31" ht="13">
      <c r="A177" s="1" t="s">
        <v>823</v>
      </c>
      <c r="B177" s="1" t="s">
        <v>34</v>
      </c>
      <c r="C177" s="1" t="s">
        <v>35</v>
      </c>
      <c r="D177" s="1"/>
      <c r="E177" s="6">
        <v>20744</v>
      </c>
      <c r="F177" s="1" t="s">
        <v>124</v>
      </c>
      <c r="G177" s="1">
        <v>1990</v>
      </c>
      <c r="H177" s="1">
        <v>13</v>
      </c>
      <c r="I177" s="7">
        <v>32890</v>
      </c>
      <c r="J177" s="7">
        <v>39644</v>
      </c>
      <c r="K177" s="8" t="s">
        <v>37</v>
      </c>
      <c r="L177" s="9" t="e">
        <f t="shared" ca="1" si="0"/>
        <v>#NAME?</v>
      </c>
      <c r="M177" s="9" t="e">
        <f t="shared" ca="1" si="1"/>
        <v>#NAME?</v>
      </c>
      <c r="N177" s="10" t="e">
        <f t="shared" ca="1" si="2"/>
        <v>#NAME?</v>
      </c>
      <c r="O177" s="1" t="s">
        <v>38</v>
      </c>
      <c r="P177" s="1"/>
      <c r="Q177" s="1" t="s">
        <v>90</v>
      </c>
      <c r="R177" s="1" t="s">
        <v>643</v>
      </c>
      <c r="S177" s="1" t="s">
        <v>824</v>
      </c>
      <c r="T177" s="1" t="s">
        <v>158</v>
      </c>
      <c r="U177" s="1" t="s">
        <v>158</v>
      </c>
      <c r="X177" s="1">
        <v>4</v>
      </c>
      <c r="Y177" s="7">
        <v>34224</v>
      </c>
      <c r="Z177" s="7">
        <v>37316</v>
      </c>
      <c r="AA177" s="1">
        <v>1042</v>
      </c>
      <c r="AB177" s="1">
        <v>6</v>
      </c>
      <c r="AC177" s="1">
        <v>43</v>
      </c>
      <c r="AD177" s="1" t="s">
        <v>825</v>
      </c>
    </row>
    <row r="178" spans="1:31" ht="13">
      <c r="A178" s="1" t="s">
        <v>830</v>
      </c>
      <c r="B178" s="1" t="s">
        <v>34</v>
      </c>
      <c r="C178" s="1" t="s">
        <v>35</v>
      </c>
      <c r="D178" s="1"/>
      <c r="E178" s="6">
        <v>20269</v>
      </c>
      <c r="F178" s="1" t="s">
        <v>84</v>
      </c>
      <c r="G178" s="1">
        <v>1990</v>
      </c>
      <c r="H178" s="1">
        <v>13</v>
      </c>
      <c r="I178" s="7">
        <v>32890</v>
      </c>
      <c r="J178" s="7">
        <v>38426</v>
      </c>
      <c r="K178" s="8" t="s">
        <v>37</v>
      </c>
      <c r="L178" s="9" t="e">
        <f t="shared" ca="1" si="0"/>
        <v>#NAME?</v>
      </c>
      <c r="M178" s="9" t="e">
        <f t="shared" ca="1" si="1"/>
        <v>#NAME?</v>
      </c>
      <c r="N178" s="10" t="e">
        <f t="shared" ca="1" si="2"/>
        <v>#NAME?</v>
      </c>
      <c r="O178" s="1" t="s">
        <v>38</v>
      </c>
      <c r="P178" s="1"/>
      <c r="Q178" s="1" t="s">
        <v>90</v>
      </c>
      <c r="R178" s="1" t="s">
        <v>831</v>
      </c>
      <c r="S178" s="1" t="s">
        <v>832</v>
      </c>
      <c r="T178" s="1" t="s">
        <v>42</v>
      </c>
      <c r="U178" s="1" t="s">
        <v>833</v>
      </c>
      <c r="V178" s="1" t="s">
        <v>49</v>
      </c>
      <c r="W178" s="1" t="s">
        <v>50</v>
      </c>
      <c r="X178" s="1">
        <v>4</v>
      </c>
      <c r="Y178" s="7">
        <v>34085</v>
      </c>
      <c r="Z178" s="7">
        <v>35948</v>
      </c>
      <c r="AA178" s="1">
        <v>950</v>
      </c>
      <c r="AB178" s="1">
        <v>0</v>
      </c>
      <c r="AC178" s="1">
        <v>0</v>
      </c>
      <c r="AD178" s="1" t="s">
        <v>834</v>
      </c>
    </row>
    <row r="179" spans="1:31" ht="13">
      <c r="A179" s="1" t="s">
        <v>835</v>
      </c>
      <c r="B179" s="1" t="s">
        <v>34</v>
      </c>
      <c r="C179" s="1" t="s">
        <v>35</v>
      </c>
      <c r="D179" s="1"/>
      <c r="E179" s="6">
        <v>20611</v>
      </c>
      <c r="F179" s="1" t="s">
        <v>84</v>
      </c>
      <c r="G179" s="1">
        <v>1990</v>
      </c>
      <c r="H179" s="1">
        <v>13</v>
      </c>
      <c r="I179" s="7">
        <v>32890</v>
      </c>
      <c r="J179" s="7">
        <v>36160</v>
      </c>
      <c r="K179" s="8" t="s">
        <v>37</v>
      </c>
      <c r="L179" s="9" t="e">
        <f t="shared" ca="1" si="0"/>
        <v>#NAME?</v>
      </c>
      <c r="M179" s="9" t="e">
        <f t="shared" ca="1" si="1"/>
        <v>#NAME?</v>
      </c>
      <c r="N179" s="10" t="e">
        <f t="shared" ca="1" si="2"/>
        <v>#NAME?</v>
      </c>
      <c r="O179" s="1" t="s">
        <v>38</v>
      </c>
      <c r="P179" s="1"/>
      <c r="Q179" s="1" t="s">
        <v>90</v>
      </c>
      <c r="R179" s="1" t="s">
        <v>836</v>
      </c>
      <c r="S179" s="1" t="s">
        <v>837</v>
      </c>
      <c r="T179" s="1" t="s">
        <v>42</v>
      </c>
      <c r="U179" s="1" t="s">
        <v>228</v>
      </c>
      <c r="V179" s="1" t="s">
        <v>49</v>
      </c>
      <c r="W179" s="1" t="s">
        <v>50</v>
      </c>
      <c r="X179" s="1">
        <v>3</v>
      </c>
      <c r="Y179" s="7">
        <v>34260</v>
      </c>
      <c r="Z179" s="7">
        <v>35902</v>
      </c>
      <c r="AA179" s="1">
        <v>939</v>
      </c>
      <c r="AB179" s="1">
        <v>0</v>
      </c>
      <c r="AC179" s="1">
        <v>0</v>
      </c>
      <c r="AD179" s="1" t="s">
        <v>838</v>
      </c>
    </row>
    <row r="180" spans="1:31" ht="13">
      <c r="A180" s="1" t="s">
        <v>839</v>
      </c>
      <c r="B180" s="1" t="s">
        <v>34</v>
      </c>
      <c r="C180" s="1" t="s">
        <v>35</v>
      </c>
      <c r="D180" s="1"/>
      <c r="E180" s="6">
        <v>19332</v>
      </c>
      <c r="F180" s="1" t="s">
        <v>124</v>
      </c>
      <c r="G180" s="1">
        <v>1990</v>
      </c>
      <c r="H180" s="1">
        <v>13</v>
      </c>
      <c r="I180" s="7">
        <v>32890</v>
      </c>
      <c r="J180" s="7">
        <v>35247</v>
      </c>
      <c r="K180" s="8" t="s">
        <v>37</v>
      </c>
      <c r="L180" s="9" t="e">
        <f t="shared" ca="1" si="0"/>
        <v>#NAME?</v>
      </c>
      <c r="M180" s="9" t="e">
        <f t="shared" ca="1" si="1"/>
        <v>#NAME?</v>
      </c>
      <c r="N180" s="10" t="e">
        <f t="shared" ca="1" si="2"/>
        <v>#NAME?</v>
      </c>
      <c r="O180" s="1" t="s">
        <v>38</v>
      </c>
      <c r="P180" s="1"/>
      <c r="Q180" s="1" t="s">
        <v>90</v>
      </c>
      <c r="R180" s="1" t="s">
        <v>99</v>
      </c>
      <c r="S180" s="1" t="s">
        <v>840</v>
      </c>
      <c r="T180" s="1" t="s">
        <v>295</v>
      </c>
      <c r="U180" s="1" t="s">
        <v>841</v>
      </c>
      <c r="V180" s="1" t="s">
        <v>49</v>
      </c>
      <c r="W180" s="1" t="s">
        <v>134</v>
      </c>
      <c r="X180" s="1">
        <v>2</v>
      </c>
      <c r="Y180" s="7">
        <v>34368</v>
      </c>
      <c r="Z180" s="7">
        <v>35146</v>
      </c>
      <c r="AA180" s="1">
        <v>420</v>
      </c>
      <c r="AB180" s="1">
        <v>0</v>
      </c>
      <c r="AC180" s="1">
        <v>0</v>
      </c>
      <c r="AD180" s="1" t="s">
        <v>842</v>
      </c>
    </row>
    <row r="181" spans="1:31" ht="13">
      <c r="A181" s="1" t="s">
        <v>843</v>
      </c>
      <c r="B181" s="1" t="s">
        <v>34</v>
      </c>
      <c r="C181" s="1" t="s">
        <v>35</v>
      </c>
      <c r="D181" s="1"/>
      <c r="E181" s="6">
        <v>20215</v>
      </c>
      <c r="F181" s="1" t="s">
        <v>124</v>
      </c>
      <c r="G181" s="1">
        <v>1990</v>
      </c>
      <c r="H181" s="1">
        <v>13</v>
      </c>
      <c r="I181" s="7">
        <v>32890</v>
      </c>
      <c r="J181" s="7">
        <v>39278</v>
      </c>
      <c r="K181" s="8" t="s">
        <v>37</v>
      </c>
      <c r="L181" s="9" t="e">
        <f t="shared" ca="1" si="0"/>
        <v>#NAME?</v>
      </c>
      <c r="M181" s="9" t="e">
        <f t="shared" ca="1" si="1"/>
        <v>#NAME?</v>
      </c>
      <c r="N181" s="10" t="e">
        <f t="shared" ca="1" si="2"/>
        <v>#NAME?</v>
      </c>
      <c r="O181" s="1" t="s">
        <v>38</v>
      </c>
      <c r="P181" s="1"/>
      <c r="Q181" s="1" t="s">
        <v>90</v>
      </c>
      <c r="R181" s="1" t="s">
        <v>99</v>
      </c>
      <c r="S181" s="1" t="s">
        <v>844</v>
      </c>
      <c r="T181" s="1" t="s">
        <v>158</v>
      </c>
      <c r="U181" s="1" t="s">
        <v>845</v>
      </c>
      <c r="X181" s="1">
        <v>4</v>
      </c>
      <c r="Y181" s="7">
        <v>34523</v>
      </c>
      <c r="Z181" s="7">
        <v>35612</v>
      </c>
      <c r="AA181" s="1">
        <v>1040</v>
      </c>
      <c r="AB181" s="1">
        <v>0</v>
      </c>
      <c r="AC181" s="1">
        <v>0</v>
      </c>
      <c r="AD181" s="1" t="s">
        <v>846</v>
      </c>
    </row>
    <row r="182" spans="1:31" ht="13">
      <c r="A182" s="1" t="s">
        <v>847</v>
      </c>
      <c r="B182" s="1" t="s">
        <v>394</v>
      </c>
      <c r="C182" s="1" t="s">
        <v>35</v>
      </c>
      <c r="D182" s="1"/>
      <c r="E182" s="6">
        <v>20736</v>
      </c>
      <c r="F182" s="1" t="s">
        <v>124</v>
      </c>
      <c r="G182" s="1">
        <v>1990</v>
      </c>
      <c r="H182" s="1">
        <v>13</v>
      </c>
      <c r="I182" s="7">
        <v>32890</v>
      </c>
      <c r="J182" s="12">
        <v>40945</v>
      </c>
      <c r="K182" s="13" t="s">
        <v>59</v>
      </c>
      <c r="L182" s="9" t="e">
        <f t="shared" ca="1" si="0"/>
        <v>#NAME?</v>
      </c>
      <c r="M182" s="9" t="e">
        <f t="shared" ca="1" si="1"/>
        <v>#NAME?</v>
      </c>
      <c r="N182" s="10" t="e">
        <f t="shared" ca="1" si="2"/>
        <v>#NAME?</v>
      </c>
      <c r="O182" s="1" t="s">
        <v>38</v>
      </c>
      <c r="P182" s="1"/>
      <c r="Q182" s="1" t="s">
        <v>39</v>
      </c>
      <c r="R182" s="1" t="s">
        <v>848</v>
      </c>
      <c r="S182" s="1" t="s">
        <v>849</v>
      </c>
      <c r="T182" s="1" t="s">
        <v>346</v>
      </c>
      <c r="U182" s="1" t="s">
        <v>850</v>
      </c>
      <c r="X182" s="1">
        <v>5</v>
      </c>
      <c r="Y182" s="7">
        <v>34141</v>
      </c>
      <c r="Z182" s="7">
        <v>36567</v>
      </c>
      <c r="AA182" s="1">
        <v>1179</v>
      </c>
      <c r="AB182" s="1">
        <v>0</v>
      </c>
      <c r="AC182" s="1">
        <v>0</v>
      </c>
      <c r="AD182" s="1" t="s">
        <v>851</v>
      </c>
      <c r="AE182" s="6">
        <v>40945</v>
      </c>
    </row>
    <row r="183" spans="1:31" ht="13">
      <c r="A183" s="1" t="s">
        <v>852</v>
      </c>
      <c r="B183" s="1" t="s">
        <v>34</v>
      </c>
      <c r="C183" s="1" t="s">
        <v>35</v>
      </c>
      <c r="D183" s="1"/>
      <c r="E183" s="6">
        <v>20338</v>
      </c>
      <c r="F183" s="1" t="s">
        <v>84</v>
      </c>
      <c r="G183" s="1">
        <v>1990</v>
      </c>
      <c r="H183" s="1">
        <v>13</v>
      </c>
      <c r="I183" s="7">
        <v>32890</v>
      </c>
      <c r="J183" s="7">
        <v>39787</v>
      </c>
      <c r="K183" s="8" t="s">
        <v>37</v>
      </c>
      <c r="L183" s="9" t="e">
        <f t="shared" ca="1" si="0"/>
        <v>#NAME?</v>
      </c>
      <c r="M183" s="9" t="e">
        <f t="shared" ca="1" si="1"/>
        <v>#NAME?</v>
      </c>
      <c r="N183" s="10" t="e">
        <f t="shared" ca="1" si="2"/>
        <v>#NAME?</v>
      </c>
      <c r="O183" s="1" t="s">
        <v>38</v>
      </c>
      <c r="P183" s="1"/>
      <c r="Q183" s="1" t="s">
        <v>90</v>
      </c>
      <c r="R183" s="1" t="s">
        <v>99</v>
      </c>
      <c r="S183" s="1" t="s">
        <v>853</v>
      </c>
      <c r="T183" s="1" t="s">
        <v>158</v>
      </c>
      <c r="U183" s="1" t="s">
        <v>854</v>
      </c>
      <c r="V183" s="1" t="s">
        <v>49</v>
      </c>
      <c r="W183" s="1" t="s">
        <v>64</v>
      </c>
      <c r="X183" s="1">
        <v>4</v>
      </c>
      <c r="Y183" s="7">
        <v>34224</v>
      </c>
      <c r="Z183" s="7">
        <v>37230</v>
      </c>
      <c r="AA183" s="1">
        <v>5533</v>
      </c>
      <c r="AB183" s="1">
        <v>3</v>
      </c>
      <c r="AC183" s="1">
        <v>19</v>
      </c>
      <c r="AD183" s="1" t="s">
        <v>855</v>
      </c>
    </row>
    <row r="184" spans="1:31" ht="13">
      <c r="A184" s="1" t="s">
        <v>856</v>
      </c>
      <c r="B184" s="1" t="s">
        <v>34</v>
      </c>
      <c r="C184" s="1" t="s">
        <v>35</v>
      </c>
      <c r="D184" s="1"/>
      <c r="E184" s="6">
        <v>18202</v>
      </c>
      <c r="F184" s="1" t="s">
        <v>36</v>
      </c>
      <c r="G184" s="1">
        <v>1990</v>
      </c>
      <c r="H184" s="1">
        <v>13</v>
      </c>
      <c r="I184" s="7">
        <v>32890</v>
      </c>
      <c r="J184" s="20">
        <v>44196</v>
      </c>
      <c r="K184" s="8" t="s">
        <v>37</v>
      </c>
      <c r="L184" s="9" t="e">
        <f t="shared" ca="1" si="0"/>
        <v>#NAME?</v>
      </c>
      <c r="M184" s="9" t="e">
        <f t="shared" ca="1" si="1"/>
        <v>#NAME?</v>
      </c>
      <c r="N184" s="10" t="e">
        <f t="shared" ca="1" si="2"/>
        <v>#NAME?</v>
      </c>
      <c r="O184" s="1" t="s">
        <v>38</v>
      </c>
      <c r="P184" s="1"/>
      <c r="Q184" s="1" t="s">
        <v>521</v>
      </c>
      <c r="R184" s="1" t="s">
        <v>857</v>
      </c>
      <c r="S184" s="1" t="s">
        <v>858</v>
      </c>
      <c r="T184" s="1" t="s">
        <v>272</v>
      </c>
      <c r="X184" s="1">
        <v>4</v>
      </c>
      <c r="Y184" s="7">
        <v>34607</v>
      </c>
      <c r="Z184" s="7">
        <v>36777</v>
      </c>
      <c r="AA184" s="1">
        <v>1008</v>
      </c>
      <c r="AB184" s="1">
        <v>0</v>
      </c>
      <c r="AC184" s="1">
        <v>0</v>
      </c>
      <c r="AD184" s="1" t="s">
        <v>859</v>
      </c>
    </row>
    <row r="185" spans="1:31" ht="13">
      <c r="A185" s="1" t="s">
        <v>860</v>
      </c>
      <c r="B185" s="1" t="s">
        <v>34</v>
      </c>
      <c r="C185" s="1" t="s">
        <v>35</v>
      </c>
      <c r="D185" s="1"/>
      <c r="E185" s="6">
        <v>21413</v>
      </c>
      <c r="F185" s="1" t="s">
        <v>84</v>
      </c>
      <c r="G185" s="1">
        <v>1990</v>
      </c>
      <c r="H185" s="1">
        <v>13</v>
      </c>
      <c r="I185" s="7">
        <v>32890</v>
      </c>
      <c r="J185" s="7">
        <v>37149</v>
      </c>
      <c r="K185" s="8" t="s">
        <v>37</v>
      </c>
      <c r="L185" s="9" t="e">
        <f t="shared" ca="1" si="0"/>
        <v>#NAME?</v>
      </c>
      <c r="M185" s="9" t="e">
        <f t="shared" ca="1" si="1"/>
        <v>#NAME?</v>
      </c>
      <c r="N185" s="10" t="e">
        <f t="shared" ca="1" si="2"/>
        <v>#NAME?</v>
      </c>
      <c r="O185" s="1" t="s">
        <v>38</v>
      </c>
      <c r="P185" s="1"/>
      <c r="Q185" s="1" t="s">
        <v>90</v>
      </c>
      <c r="R185" s="1" t="s">
        <v>861</v>
      </c>
      <c r="S185" s="1" t="s">
        <v>862</v>
      </c>
      <c r="T185" s="1" t="s">
        <v>158</v>
      </c>
      <c r="U185" s="1" t="s">
        <v>863</v>
      </c>
      <c r="X185" s="1">
        <v>4</v>
      </c>
      <c r="Y185" s="7">
        <v>34141</v>
      </c>
      <c r="Z185" s="7">
        <v>36810</v>
      </c>
      <c r="AA185" s="1">
        <v>1064</v>
      </c>
      <c r="AB185" s="1">
        <v>3</v>
      </c>
      <c r="AC185" s="1">
        <v>20</v>
      </c>
      <c r="AD185" s="1" t="s">
        <v>864</v>
      </c>
    </row>
    <row r="186" spans="1:31" ht="13">
      <c r="A186" s="1" t="s">
        <v>865</v>
      </c>
      <c r="B186" s="1" t="s">
        <v>34</v>
      </c>
      <c r="C186" s="1" t="s">
        <v>35</v>
      </c>
      <c r="D186" s="1"/>
      <c r="E186" s="6">
        <v>20690</v>
      </c>
      <c r="F186" s="1" t="s">
        <v>124</v>
      </c>
      <c r="G186" s="1">
        <v>1990</v>
      </c>
      <c r="H186" s="1">
        <v>13</v>
      </c>
      <c r="I186" s="7">
        <v>32890</v>
      </c>
      <c r="J186" s="7">
        <v>41258</v>
      </c>
      <c r="K186" s="8" t="s">
        <v>37</v>
      </c>
      <c r="L186" s="9" t="e">
        <f t="shared" ca="1" si="0"/>
        <v>#NAME?</v>
      </c>
      <c r="M186" s="9" t="e">
        <f t="shared" ca="1" si="1"/>
        <v>#NAME?</v>
      </c>
      <c r="N186" s="10" t="e">
        <f t="shared" ca="1" si="2"/>
        <v>#NAME?</v>
      </c>
      <c r="O186" s="1" t="s">
        <v>38</v>
      </c>
      <c r="P186" s="1"/>
      <c r="Q186" s="1" t="s">
        <v>90</v>
      </c>
      <c r="R186" s="1" t="s">
        <v>299</v>
      </c>
      <c r="S186" s="1" t="s">
        <v>866</v>
      </c>
      <c r="T186" s="1" t="s">
        <v>139</v>
      </c>
      <c r="U186" s="1" t="s">
        <v>201</v>
      </c>
      <c r="X186" s="1">
        <v>3</v>
      </c>
      <c r="Y186" s="7">
        <v>34258</v>
      </c>
      <c r="Z186" s="7">
        <v>40009</v>
      </c>
      <c r="AA186" s="1">
        <v>4044</v>
      </c>
      <c r="AB186" s="1">
        <v>7</v>
      </c>
      <c r="AC186" s="1">
        <v>41</v>
      </c>
      <c r="AD186" s="1" t="s">
        <v>867</v>
      </c>
    </row>
    <row r="187" spans="1:31" ht="13">
      <c r="A187" s="1" t="s">
        <v>868</v>
      </c>
      <c r="B187" s="1" t="s">
        <v>34</v>
      </c>
      <c r="C187" s="1" t="s">
        <v>35</v>
      </c>
      <c r="D187" s="1"/>
      <c r="E187" s="6">
        <v>19723</v>
      </c>
      <c r="F187" s="1" t="s">
        <v>124</v>
      </c>
      <c r="G187" s="1">
        <v>1992</v>
      </c>
      <c r="H187" s="1">
        <v>14</v>
      </c>
      <c r="I187" s="7">
        <v>33694</v>
      </c>
      <c r="J187" s="7">
        <v>38457</v>
      </c>
      <c r="K187" s="8" t="s">
        <v>37</v>
      </c>
      <c r="L187" s="9" t="e">
        <f t="shared" ca="1" si="0"/>
        <v>#NAME?</v>
      </c>
      <c r="M187" s="9" t="e">
        <f t="shared" ca="1" si="1"/>
        <v>#NAME?</v>
      </c>
      <c r="N187" s="10" t="e">
        <f t="shared" ca="1" si="2"/>
        <v>#NAME?</v>
      </c>
      <c r="O187" s="1" t="s">
        <v>38</v>
      </c>
      <c r="P187" s="1"/>
      <c r="Q187" s="1" t="s">
        <v>90</v>
      </c>
      <c r="R187" s="1" t="s">
        <v>869</v>
      </c>
      <c r="S187" s="1" t="s">
        <v>870</v>
      </c>
      <c r="T187" s="1" t="s">
        <v>139</v>
      </c>
      <c r="U187" s="1" t="s">
        <v>871</v>
      </c>
      <c r="X187" s="1">
        <v>3</v>
      </c>
      <c r="Y187" s="7">
        <v>35075</v>
      </c>
      <c r="Z187" s="7">
        <v>37113</v>
      </c>
      <c r="AA187" s="1">
        <v>733</v>
      </c>
      <c r="AB187" s="1">
        <v>4</v>
      </c>
      <c r="AC187" s="1">
        <v>26</v>
      </c>
      <c r="AD187" s="1" t="s">
        <v>872</v>
      </c>
    </row>
    <row r="188" spans="1:31" ht="13">
      <c r="A188" s="1" t="s">
        <v>873</v>
      </c>
      <c r="B188" s="1" t="s">
        <v>34</v>
      </c>
      <c r="C188" s="1" t="s">
        <v>35</v>
      </c>
      <c r="D188" s="1"/>
      <c r="E188" s="6">
        <v>18852</v>
      </c>
      <c r="F188" s="1" t="s">
        <v>124</v>
      </c>
      <c r="G188" s="1">
        <v>1992</v>
      </c>
      <c r="H188" s="1">
        <v>14</v>
      </c>
      <c r="I188" s="7">
        <v>33694</v>
      </c>
      <c r="J188" s="7">
        <v>37483</v>
      </c>
      <c r="K188" s="8" t="s">
        <v>37</v>
      </c>
      <c r="L188" s="9" t="e">
        <f t="shared" ca="1" si="0"/>
        <v>#NAME?</v>
      </c>
      <c r="M188" s="9" t="e">
        <f t="shared" ca="1" si="1"/>
        <v>#NAME?</v>
      </c>
      <c r="N188" s="10" t="e">
        <f t="shared" ca="1" si="2"/>
        <v>#NAME?</v>
      </c>
      <c r="O188" s="1" t="s">
        <v>38</v>
      </c>
      <c r="P188" s="1"/>
      <c r="Q188" s="1" t="s">
        <v>39</v>
      </c>
      <c r="R188" s="1" t="s">
        <v>874</v>
      </c>
      <c r="S188" s="1" t="s">
        <v>875</v>
      </c>
      <c r="U188" s="1" t="s">
        <v>201</v>
      </c>
      <c r="V188" s="1" t="s">
        <v>71</v>
      </c>
      <c r="W188" s="1" t="s">
        <v>150</v>
      </c>
      <c r="X188" s="1">
        <v>1</v>
      </c>
      <c r="Y188" s="7">
        <v>35236</v>
      </c>
      <c r="Z188" s="7">
        <v>35236</v>
      </c>
      <c r="AA188" s="1">
        <v>405</v>
      </c>
      <c r="AB188" s="1">
        <v>0</v>
      </c>
      <c r="AC188" s="1">
        <v>0</v>
      </c>
      <c r="AD188" s="1" t="s">
        <v>876</v>
      </c>
      <c r="AE188" s="6">
        <v>38921</v>
      </c>
    </row>
    <row r="189" spans="1:31" ht="13">
      <c r="A189" s="1" t="s">
        <v>877</v>
      </c>
      <c r="B189" s="1" t="s">
        <v>394</v>
      </c>
      <c r="C189" s="1" t="s">
        <v>35</v>
      </c>
      <c r="D189" s="1"/>
      <c r="E189" s="6">
        <v>22264</v>
      </c>
      <c r="F189" s="1" t="s">
        <v>124</v>
      </c>
      <c r="G189" s="1">
        <v>1992</v>
      </c>
      <c r="H189" s="1">
        <v>14</v>
      </c>
      <c r="I189" s="7">
        <v>33694</v>
      </c>
      <c r="J189" s="20">
        <v>42705</v>
      </c>
      <c r="K189" s="8" t="s">
        <v>37</v>
      </c>
      <c r="L189" s="9" t="e">
        <f t="shared" ca="1" si="0"/>
        <v>#NAME?</v>
      </c>
      <c r="M189" s="9" t="e">
        <f t="shared" ca="1" si="1"/>
        <v>#NAME?</v>
      </c>
      <c r="N189" s="10" t="e">
        <f t="shared" ca="1" si="2"/>
        <v>#NAME?</v>
      </c>
      <c r="O189" s="1" t="s">
        <v>38</v>
      </c>
      <c r="P189" s="1"/>
      <c r="Q189" s="8" t="s">
        <v>90</v>
      </c>
      <c r="R189" s="1" t="s">
        <v>619</v>
      </c>
      <c r="S189" s="1" t="s">
        <v>878</v>
      </c>
      <c r="T189" s="1" t="s">
        <v>170</v>
      </c>
      <c r="U189" s="1" t="s">
        <v>879</v>
      </c>
      <c r="V189" s="1" t="s">
        <v>49</v>
      </c>
      <c r="W189" s="1" t="s">
        <v>50</v>
      </c>
      <c r="X189" s="1">
        <v>3</v>
      </c>
      <c r="Y189" s="7">
        <v>34992</v>
      </c>
      <c r="Z189" s="7">
        <v>40618</v>
      </c>
      <c r="AA189" s="1">
        <v>4324</v>
      </c>
      <c r="AB189" s="1">
        <v>0</v>
      </c>
      <c r="AC189" s="1">
        <v>0</v>
      </c>
      <c r="AD189" s="1" t="s">
        <v>880</v>
      </c>
    </row>
    <row r="190" spans="1:31" ht="13">
      <c r="A190" s="1" t="s">
        <v>881</v>
      </c>
      <c r="B190" s="1" t="s">
        <v>34</v>
      </c>
      <c r="C190" s="1" t="s">
        <v>35</v>
      </c>
      <c r="D190" s="1"/>
      <c r="E190" s="6">
        <v>20579</v>
      </c>
      <c r="F190" s="1" t="s">
        <v>124</v>
      </c>
      <c r="G190" s="1">
        <v>1992</v>
      </c>
      <c r="H190" s="1">
        <v>14</v>
      </c>
      <c r="I190" s="7">
        <v>33694</v>
      </c>
      <c r="J190" s="7">
        <f ca="1">TODAY()</f>
        <v>44606</v>
      </c>
      <c r="K190" s="8" t="s">
        <v>667</v>
      </c>
      <c r="L190" s="9" t="e">
        <f t="shared" ca="1" si="0"/>
        <v>#NAME?</v>
      </c>
      <c r="M190" s="9" t="e">
        <f t="shared" ca="1" si="1"/>
        <v>#NAME?</v>
      </c>
      <c r="N190" s="10" t="e">
        <f t="shared" ca="1" si="2"/>
        <v>#NAME?</v>
      </c>
      <c r="O190" s="1" t="s">
        <v>38</v>
      </c>
      <c r="P190" s="1"/>
      <c r="Q190" s="1" t="s">
        <v>521</v>
      </c>
      <c r="R190" s="1" t="s">
        <v>882</v>
      </c>
      <c r="S190" s="1" t="s">
        <v>883</v>
      </c>
      <c r="T190" s="1" t="s">
        <v>158</v>
      </c>
      <c r="U190" s="1" t="s">
        <v>884</v>
      </c>
      <c r="X190" s="1">
        <v>4</v>
      </c>
      <c r="Y190" s="7">
        <v>34949</v>
      </c>
      <c r="Z190" s="7">
        <v>37084</v>
      </c>
      <c r="AA190" s="1">
        <v>1039</v>
      </c>
      <c r="AB190" s="1">
        <v>4</v>
      </c>
      <c r="AC190" s="1">
        <v>23</v>
      </c>
      <c r="AD190" s="1" t="s">
        <v>885</v>
      </c>
    </row>
    <row r="191" spans="1:31" ht="13">
      <c r="A191" s="1" t="s">
        <v>886</v>
      </c>
      <c r="B191" s="1" t="s">
        <v>34</v>
      </c>
      <c r="C191" s="1" t="s">
        <v>35</v>
      </c>
      <c r="D191" s="1"/>
      <c r="E191" s="6">
        <v>21468</v>
      </c>
      <c r="F191" s="1" t="s">
        <v>124</v>
      </c>
      <c r="G191" s="1">
        <v>1992</v>
      </c>
      <c r="H191" s="1">
        <v>14</v>
      </c>
      <c r="I191" s="7">
        <v>33694</v>
      </c>
      <c r="J191" s="7">
        <v>42475</v>
      </c>
      <c r="K191" s="8" t="s">
        <v>37</v>
      </c>
      <c r="L191" s="9" t="e">
        <f t="shared" ca="1" si="0"/>
        <v>#NAME?</v>
      </c>
      <c r="M191" s="9" t="e">
        <f t="shared" ca="1" si="1"/>
        <v>#NAME?</v>
      </c>
      <c r="N191" s="10" t="e">
        <f t="shared" ca="1" si="2"/>
        <v>#NAME?</v>
      </c>
      <c r="O191" s="1" t="s">
        <v>38</v>
      </c>
      <c r="P191" s="1"/>
      <c r="Q191" s="1" t="s">
        <v>521</v>
      </c>
      <c r="R191" s="1" t="s">
        <v>102</v>
      </c>
      <c r="S191" s="1" t="s">
        <v>887</v>
      </c>
      <c r="T191" s="1" t="s">
        <v>158</v>
      </c>
      <c r="U191" s="1" t="s">
        <v>158</v>
      </c>
      <c r="X191" s="1">
        <v>5</v>
      </c>
      <c r="Y191" s="7">
        <v>34760</v>
      </c>
      <c r="Z191" s="7">
        <v>39944</v>
      </c>
      <c r="AA191" s="1">
        <v>1407</v>
      </c>
      <c r="AB191" s="1">
        <v>8</v>
      </c>
      <c r="AC191" s="1">
        <v>58</v>
      </c>
      <c r="AD191" s="1" t="s">
        <v>888</v>
      </c>
    </row>
    <row r="192" spans="1:31" ht="13">
      <c r="A192" s="1" t="s">
        <v>889</v>
      </c>
      <c r="B192" s="1" t="s">
        <v>34</v>
      </c>
      <c r="C192" s="1" t="s">
        <v>35</v>
      </c>
      <c r="D192" s="1"/>
      <c r="E192" s="6">
        <v>20903</v>
      </c>
      <c r="F192" s="1" t="s">
        <v>124</v>
      </c>
      <c r="G192" s="1">
        <v>1992</v>
      </c>
      <c r="H192" s="1">
        <v>14</v>
      </c>
      <c r="I192" s="7">
        <v>33694</v>
      </c>
      <c r="J192" s="7">
        <v>39356</v>
      </c>
      <c r="K192" s="8" t="s">
        <v>37</v>
      </c>
      <c r="L192" s="9" t="e">
        <f t="shared" ca="1" si="0"/>
        <v>#NAME?</v>
      </c>
      <c r="M192" s="9" t="e">
        <f t="shared" ca="1" si="1"/>
        <v>#NAME?</v>
      </c>
      <c r="N192" s="10" t="e">
        <f t="shared" ca="1" si="2"/>
        <v>#NAME?</v>
      </c>
      <c r="O192" s="1" t="s">
        <v>38</v>
      </c>
      <c r="P192" s="1"/>
      <c r="Q192" s="1" t="s">
        <v>90</v>
      </c>
      <c r="R192" s="1" t="s">
        <v>95</v>
      </c>
      <c r="S192" s="1" t="s">
        <v>890</v>
      </c>
      <c r="T192" s="1" t="s">
        <v>55</v>
      </c>
      <c r="U192" s="1" t="s">
        <v>87</v>
      </c>
      <c r="V192" s="1" t="s">
        <v>49</v>
      </c>
      <c r="W192" s="1" t="s">
        <v>50</v>
      </c>
      <c r="X192" s="1">
        <v>4</v>
      </c>
      <c r="Y192" s="7">
        <v>35117</v>
      </c>
      <c r="Z192" s="7">
        <v>37113</v>
      </c>
      <c r="AA192" s="1">
        <v>1137</v>
      </c>
      <c r="AB192" s="1">
        <v>0</v>
      </c>
      <c r="AC192" s="1">
        <v>0</v>
      </c>
      <c r="AD192" s="1" t="s">
        <v>891</v>
      </c>
    </row>
    <row r="193" spans="1:30" ht="13">
      <c r="A193" s="1" t="s">
        <v>892</v>
      </c>
      <c r="B193" s="1" t="s">
        <v>34</v>
      </c>
      <c r="C193" s="1" t="s">
        <v>35</v>
      </c>
      <c r="D193" s="1"/>
      <c r="E193" s="6">
        <v>21463</v>
      </c>
      <c r="F193" s="1" t="s">
        <v>84</v>
      </c>
      <c r="G193" s="1">
        <v>1992</v>
      </c>
      <c r="H193" s="1">
        <v>14</v>
      </c>
      <c r="I193" s="7">
        <v>33694</v>
      </c>
      <c r="J193" s="7">
        <v>41289</v>
      </c>
      <c r="K193" s="8" t="s">
        <v>37</v>
      </c>
      <c r="L193" s="9" t="e">
        <f t="shared" ca="1" si="0"/>
        <v>#NAME?</v>
      </c>
      <c r="M193" s="9" t="e">
        <f t="shared" ca="1" si="1"/>
        <v>#NAME?</v>
      </c>
      <c r="N193" s="10" t="e">
        <f t="shared" ca="1" si="2"/>
        <v>#NAME?</v>
      </c>
      <c r="O193" s="1" t="s">
        <v>38</v>
      </c>
      <c r="P193" s="1"/>
      <c r="Q193" s="1" t="s">
        <v>90</v>
      </c>
      <c r="R193" s="1" t="s">
        <v>893</v>
      </c>
      <c r="S193" s="1" t="s">
        <v>565</v>
      </c>
      <c r="T193" s="1" t="s">
        <v>87</v>
      </c>
      <c r="U193" s="1" t="s">
        <v>42</v>
      </c>
      <c r="V193" s="1" t="s">
        <v>71</v>
      </c>
      <c r="W193" s="1" t="s">
        <v>44</v>
      </c>
      <c r="X193" s="1">
        <v>4</v>
      </c>
      <c r="Y193" s="7">
        <v>35075</v>
      </c>
      <c r="Z193" s="7">
        <v>38966</v>
      </c>
      <c r="AA193" s="1">
        <v>1002</v>
      </c>
      <c r="AB193" s="1">
        <v>0</v>
      </c>
      <c r="AC193" s="1">
        <v>0</v>
      </c>
      <c r="AD193" s="1" t="s">
        <v>894</v>
      </c>
    </row>
    <row r="194" spans="1:30" ht="13">
      <c r="A194" s="1" t="s">
        <v>895</v>
      </c>
      <c r="B194" s="1" t="s">
        <v>34</v>
      </c>
      <c r="C194" s="1" t="s">
        <v>35</v>
      </c>
      <c r="D194" s="1"/>
      <c r="E194" s="6">
        <v>20714</v>
      </c>
      <c r="F194" s="1" t="s">
        <v>84</v>
      </c>
      <c r="G194" s="1">
        <v>1992</v>
      </c>
      <c r="H194" s="1">
        <v>14</v>
      </c>
      <c r="I194" s="7">
        <v>33694</v>
      </c>
      <c r="J194" s="7">
        <v>37970</v>
      </c>
      <c r="K194" s="8" t="s">
        <v>37</v>
      </c>
      <c r="L194" s="9" t="e">
        <f t="shared" ca="1" si="0"/>
        <v>#NAME?</v>
      </c>
      <c r="M194" s="9" t="e">
        <f t="shared" ca="1" si="1"/>
        <v>#NAME?</v>
      </c>
      <c r="N194" s="10" t="e">
        <f t="shared" ca="1" si="2"/>
        <v>#NAME?</v>
      </c>
      <c r="O194" s="1" t="s">
        <v>38</v>
      </c>
      <c r="P194" s="1"/>
      <c r="Q194" s="1" t="s">
        <v>90</v>
      </c>
      <c r="R194" s="1" t="s">
        <v>326</v>
      </c>
      <c r="S194" s="1" t="s">
        <v>896</v>
      </c>
      <c r="T194" s="1" t="s">
        <v>104</v>
      </c>
      <c r="U194" s="1" t="s">
        <v>683</v>
      </c>
      <c r="X194" s="1">
        <v>4</v>
      </c>
      <c r="Y194" s="7">
        <v>34893</v>
      </c>
      <c r="Z194" s="7">
        <v>36567</v>
      </c>
      <c r="AA194" s="1">
        <v>1265</v>
      </c>
      <c r="AB194" s="1">
        <v>0</v>
      </c>
      <c r="AC194" s="1">
        <v>0</v>
      </c>
      <c r="AD194" s="1" t="s">
        <v>897</v>
      </c>
    </row>
    <row r="195" spans="1:30" ht="13">
      <c r="A195" s="1" t="s">
        <v>898</v>
      </c>
      <c r="B195" s="1" t="s">
        <v>394</v>
      </c>
      <c r="C195" s="1" t="s">
        <v>35</v>
      </c>
      <c r="D195" s="1"/>
      <c r="E195" s="6">
        <v>21733</v>
      </c>
      <c r="F195" s="1" t="s">
        <v>84</v>
      </c>
      <c r="G195" s="1">
        <v>1992</v>
      </c>
      <c r="H195" s="1">
        <v>14</v>
      </c>
      <c r="I195" s="7">
        <v>33694</v>
      </c>
      <c r="J195" s="7">
        <v>38883</v>
      </c>
      <c r="K195" s="8" t="s">
        <v>37</v>
      </c>
      <c r="L195" s="9" t="e">
        <f t="shared" ca="1" si="0"/>
        <v>#NAME?</v>
      </c>
      <c r="M195" s="9" t="e">
        <f t="shared" ca="1" si="1"/>
        <v>#NAME?</v>
      </c>
      <c r="N195" s="10" t="e">
        <f t="shared" ca="1" si="2"/>
        <v>#NAME?</v>
      </c>
      <c r="O195" s="1" t="s">
        <v>38</v>
      </c>
      <c r="P195" s="1"/>
      <c r="Q195" s="1" t="s">
        <v>90</v>
      </c>
      <c r="R195" s="1" t="s">
        <v>899</v>
      </c>
      <c r="S195" s="1" t="s">
        <v>227</v>
      </c>
      <c r="T195" s="1" t="s">
        <v>900</v>
      </c>
      <c r="U195" s="1" t="s">
        <v>900</v>
      </c>
      <c r="V195" s="1" t="s">
        <v>71</v>
      </c>
      <c r="W195" s="1" t="s">
        <v>44</v>
      </c>
      <c r="X195" s="1">
        <v>4</v>
      </c>
      <c r="Y195" s="7">
        <v>34760</v>
      </c>
      <c r="Z195" s="7">
        <v>38559</v>
      </c>
      <c r="AA195" s="1">
        <v>1223</v>
      </c>
      <c r="AB195" s="1">
        <v>0</v>
      </c>
      <c r="AC195" s="1">
        <v>0</v>
      </c>
      <c r="AD195" s="1" t="s">
        <v>901</v>
      </c>
    </row>
    <row r="196" spans="1:30" ht="13">
      <c r="A196" s="1" t="s">
        <v>902</v>
      </c>
      <c r="B196" s="1" t="s">
        <v>34</v>
      </c>
      <c r="C196" s="1" t="s">
        <v>35</v>
      </c>
      <c r="D196" s="1"/>
      <c r="E196" s="6">
        <v>20105</v>
      </c>
      <c r="F196" s="1" t="s">
        <v>124</v>
      </c>
      <c r="G196" s="1">
        <v>1992</v>
      </c>
      <c r="H196" s="1">
        <v>14</v>
      </c>
      <c r="I196" s="7">
        <v>33694</v>
      </c>
      <c r="J196" s="7">
        <v>35810</v>
      </c>
      <c r="K196" s="8" t="s">
        <v>37</v>
      </c>
      <c r="L196" s="9" t="e">
        <f t="shared" ca="1" si="0"/>
        <v>#NAME?</v>
      </c>
      <c r="M196" s="9" t="e">
        <f t="shared" ca="1" si="1"/>
        <v>#NAME?</v>
      </c>
      <c r="N196" s="10" t="e">
        <f t="shared" ca="1" si="2"/>
        <v>#NAME?</v>
      </c>
      <c r="O196" s="1" t="s">
        <v>38</v>
      </c>
      <c r="P196" s="1"/>
      <c r="Q196" s="1" t="s">
        <v>90</v>
      </c>
      <c r="R196" s="1" t="s">
        <v>836</v>
      </c>
      <c r="S196" s="1" t="s">
        <v>903</v>
      </c>
      <c r="T196" s="1" t="s">
        <v>904</v>
      </c>
      <c r="U196" s="1" t="s">
        <v>905</v>
      </c>
      <c r="V196" s="1" t="s">
        <v>71</v>
      </c>
      <c r="W196" s="1" t="s">
        <v>44</v>
      </c>
      <c r="X196" s="1">
        <v>2</v>
      </c>
      <c r="Y196" s="7">
        <v>34586</v>
      </c>
      <c r="Z196" s="7">
        <v>35442</v>
      </c>
      <c r="AA196" s="1">
        <v>3435</v>
      </c>
      <c r="AB196" s="1">
        <v>1</v>
      </c>
      <c r="AC196" s="1">
        <v>5</v>
      </c>
      <c r="AD196" s="1" t="s">
        <v>906</v>
      </c>
    </row>
    <row r="197" spans="1:30" ht="13">
      <c r="A197" s="1" t="s">
        <v>907</v>
      </c>
      <c r="B197" s="1" t="s">
        <v>34</v>
      </c>
      <c r="C197" s="1" t="s">
        <v>35</v>
      </c>
      <c r="D197" s="1"/>
      <c r="E197" s="6">
        <v>21082</v>
      </c>
      <c r="F197" s="1" t="s">
        <v>84</v>
      </c>
      <c r="G197" s="1">
        <v>1992</v>
      </c>
      <c r="H197" s="1">
        <v>14</v>
      </c>
      <c r="I197" s="7">
        <v>33694</v>
      </c>
      <c r="J197" s="7">
        <f ca="1">TODAY()</f>
        <v>44606</v>
      </c>
      <c r="K197" s="8" t="s">
        <v>667</v>
      </c>
      <c r="L197" s="9" t="e">
        <f t="shared" ca="1" si="0"/>
        <v>#NAME?</v>
      </c>
      <c r="M197" s="9" t="e">
        <f t="shared" ca="1" si="1"/>
        <v>#NAME?</v>
      </c>
      <c r="N197" s="10" t="e">
        <f t="shared" ca="1" si="2"/>
        <v>#NAME?</v>
      </c>
      <c r="O197" s="1" t="s">
        <v>38</v>
      </c>
      <c r="P197" s="1"/>
      <c r="Q197" s="1" t="s">
        <v>521</v>
      </c>
      <c r="R197" s="1" t="s">
        <v>908</v>
      </c>
      <c r="S197" s="1" t="s">
        <v>909</v>
      </c>
      <c r="T197" s="1" t="s">
        <v>910</v>
      </c>
      <c r="U197" s="1" t="s">
        <v>911</v>
      </c>
      <c r="X197" s="1">
        <v>4</v>
      </c>
      <c r="Y197" s="7">
        <v>35236</v>
      </c>
      <c r="Z197" s="7">
        <v>39518</v>
      </c>
      <c r="AA197" s="1">
        <v>1427</v>
      </c>
      <c r="AB197" s="1">
        <v>6</v>
      </c>
      <c r="AC197" s="1">
        <v>43</v>
      </c>
      <c r="AD197" s="1" t="s">
        <v>912</v>
      </c>
    </row>
    <row r="198" spans="1:30" ht="13">
      <c r="A198" s="1" t="s">
        <v>919</v>
      </c>
      <c r="B198" s="1" t="s">
        <v>34</v>
      </c>
      <c r="C198" s="1" t="s">
        <v>35</v>
      </c>
      <c r="D198" s="1"/>
      <c r="E198" s="6">
        <v>22490</v>
      </c>
      <c r="F198" s="1" t="s">
        <v>124</v>
      </c>
      <c r="G198" s="1">
        <v>1992</v>
      </c>
      <c r="H198" s="1">
        <v>14</v>
      </c>
      <c r="I198" s="7">
        <v>33694</v>
      </c>
      <c r="J198" s="7">
        <v>39887</v>
      </c>
      <c r="K198" s="8" t="s">
        <v>37</v>
      </c>
      <c r="L198" s="9" t="e">
        <f t="shared" ca="1" si="0"/>
        <v>#NAME?</v>
      </c>
      <c r="M198" s="9" t="e">
        <f t="shared" ca="1" si="1"/>
        <v>#NAME?</v>
      </c>
      <c r="N198" s="10" t="e">
        <f t="shared" ca="1" si="2"/>
        <v>#NAME?</v>
      </c>
      <c r="O198" s="1" t="s">
        <v>38</v>
      </c>
      <c r="P198" s="1"/>
      <c r="Q198" s="1" t="s">
        <v>90</v>
      </c>
      <c r="R198" s="1" t="s">
        <v>920</v>
      </c>
      <c r="S198" s="1" t="s">
        <v>469</v>
      </c>
      <c r="T198" s="1" t="s">
        <v>810</v>
      </c>
      <c r="U198" s="1" t="s">
        <v>201</v>
      </c>
      <c r="X198" s="1">
        <v>5</v>
      </c>
      <c r="Y198" s="7">
        <v>34641</v>
      </c>
      <c r="Z198" s="7">
        <v>39378</v>
      </c>
      <c r="AA198" s="1">
        <v>1404</v>
      </c>
      <c r="AB198" s="1">
        <v>7</v>
      </c>
      <c r="AC198" s="1">
        <v>47</v>
      </c>
      <c r="AD198" s="1" t="s">
        <v>921</v>
      </c>
    </row>
    <row r="199" spans="1:30" ht="13">
      <c r="A199" s="1" t="s">
        <v>922</v>
      </c>
      <c r="B199" s="1" t="s">
        <v>34</v>
      </c>
      <c r="C199" s="1" t="s">
        <v>35</v>
      </c>
      <c r="D199" s="1"/>
      <c r="E199" s="6">
        <v>20674</v>
      </c>
      <c r="F199" s="1" t="s">
        <v>84</v>
      </c>
      <c r="G199" s="1">
        <v>1992</v>
      </c>
      <c r="H199" s="1">
        <v>14</v>
      </c>
      <c r="I199" s="7">
        <v>33694</v>
      </c>
      <c r="J199" s="7">
        <v>38975</v>
      </c>
      <c r="K199" s="8" t="s">
        <v>37</v>
      </c>
      <c r="L199" s="9" t="e">
        <f t="shared" ca="1" si="0"/>
        <v>#NAME?</v>
      </c>
      <c r="M199" s="9" t="e">
        <f t="shared" ca="1" si="1"/>
        <v>#NAME?</v>
      </c>
      <c r="N199" s="10" t="e">
        <f t="shared" ca="1" si="2"/>
        <v>#NAME?</v>
      </c>
      <c r="O199" s="1" t="s">
        <v>38</v>
      </c>
      <c r="P199" s="1"/>
      <c r="Q199" s="1" t="s">
        <v>90</v>
      </c>
      <c r="R199" s="1" t="s">
        <v>923</v>
      </c>
      <c r="S199" s="1" t="s">
        <v>924</v>
      </c>
      <c r="T199" s="1" t="s">
        <v>506</v>
      </c>
      <c r="U199" s="1" t="s">
        <v>42</v>
      </c>
      <c r="V199" s="1" t="s">
        <v>71</v>
      </c>
      <c r="W199" s="1" t="s">
        <v>44</v>
      </c>
      <c r="X199" s="1">
        <v>5</v>
      </c>
      <c r="Y199" s="7">
        <v>34992</v>
      </c>
      <c r="Z199" s="7">
        <v>37000</v>
      </c>
      <c r="AA199" s="1">
        <v>1611</v>
      </c>
      <c r="AB199" s="1">
        <v>0</v>
      </c>
      <c r="AC199" s="1">
        <v>0</v>
      </c>
      <c r="AD199" s="1" t="s">
        <v>925</v>
      </c>
    </row>
    <row r="200" spans="1:30" ht="13">
      <c r="A200" s="1" t="s">
        <v>930</v>
      </c>
      <c r="B200" s="1" t="s">
        <v>34</v>
      </c>
      <c r="C200" s="1" t="s">
        <v>35</v>
      </c>
      <c r="D200" s="1"/>
      <c r="E200" s="6">
        <v>21549</v>
      </c>
      <c r="F200" s="1" t="s">
        <v>84</v>
      </c>
      <c r="G200" s="1">
        <v>1992</v>
      </c>
      <c r="H200" s="1">
        <v>14</v>
      </c>
      <c r="I200" s="7">
        <v>33694</v>
      </c>
      <c r="J200" s="20">
        <v>43041</v>
      </c>
      <c r="K200" s="8" t="s">
        <v>37</v>
      </c>
      <c r="L200" s="9" t="e">
        <f t="shared" ca="1" si="0"/>
        <v>#NAME?</v>
      </c>
      <c r="M200" s="9" t="e">
        <f t="shared" ca="1" si="1"/>
        <v>#NAME?</v>
      </c>
      <c r="N200" s="10" t="e">
        <f t="shared" ca="1" si="2"/>
        <v>#NAME?</v>
      </c>
      <c r="O200" s="1" t="s">
        <v>38</v>
      </c>
      <c r="P200" s="1"/>
      <c r="Q200" s="1" t="s">
        <v>521</v>
      </c>
      <c r="R200" s="1" t="s">
        <v>931</v>
      </c>
      <c r="S200" s="1" t="s">
        <v>469</v>
      </c>
      <c r="T200" s="1" t="s">
        <v>139</v>
      </c>
      <c r="U200" s="1" t="s">
        <v>139</v>
      </c>
      <c r="X200" s="1">
        <v>4</v>
      </c>
      <c r="Y200" s="7">
        <v>34607</v>
      </c>
      <c r="Z200" s="7">
        <v>37354</v>
      </c>
      <c r="AA200" s="1">
        <v>960</v>
      </c>
      <c r="AB200" s="1">
        <v>7</v>
      </c>
      <c r="AC200" s="1">
        <v>49</v>
      </c>
      <c r="AD200" s="1" t="s">
        <v>932</v>
      </c>
    </row>
    <row r="201" spans="1:30" ht="13">
      <c r="A201" s="1" t="s">
        <v>933</v>
      </c>
      <c r="B201" s="1" t="s">
        <v>34</v>
      </c>
      <c r="C201" s="1" t="s">
        <v>35</v>
      </c>
      <c r="D201" s="1"/>
      <c r="E201" s="6">
        <v>18284</v>
      </c>
      <c r="F201" s="1" t="s">
        <v>36</v>
      </c>
      <c r="G201" s="1">
        <v>1992</v>
      </c>
      <c r="H201" s="1">
        <v>14</v>
      </c>
      <c r="I201" s="7">
        <v>33694</v>
      </c>
      <c r="J201" s="7">
        <v>39675</v>
      </c>
      <c r="K201" s="8" t="s">
        <v>37</v>
      </c>
      <c r="L201" s="9" t="e">
        <f t="shared" ca="1" si="0"/>
        <v>#NAME?</v>
      </c>
      <c r="M201" s="9" t="e">
        <f t="shared" ca="1" si="1"/>
        <v>#NAME?</v>
      </c>
      <c r="N201" s="10" t="e">
        <f t="shared" ca="1" si="2"/>
        <v>#NAME?</v>
      </c>
      <c r="O201" s="1" t="s">
        <v>38</v>
      </c>
      <c r="P201" s="1"/>
      <c r="Q201" s="1" t="s">
        <v>90</v>
      </c>
      <c r="R201" s="1" t="s">
        <v>934</v>
      </c>
      <c r="S201" s="1" t="s">
        <v>399</v>
      </c>
      <c r="T201" s="1" t="s">
        <v>62</v>
      </c>
      <c r="X201" s="1">
        <v>4</v>
      </c>
      <c r="Y201" s="7">
        <v>34641</v>
      </c>
      <c r="Z201" s="7">
        <v>38969</v>
      </c>
      <c r="AA201" s="1">
        <v>1045</v>
      </c>
      <c r="AB201" s="1">
        <v>7</v>
      </c>
      <c r="AC201" s="1">
        <v>46</v>
      </c>
      <c r="AD201" s="1" t="s">
        <v>935</v>
      </c>
    </row>
    <row r="202" spans="1:30" ht="13">
      <c r="A202" s="1" t="s">
        <v>936</v>
      </c>
      <c r="B202" s="1" t="s">
        <v>34</v>
      </c>
      <c r="C202" s="1" t="s">
        <v>35</v>
      </c>
      <c r="D202" s="1"/>
      <c r="E202" s="6">
        <v>18980</v>
      </c>
      <c r="F202" s="1" t="s">
        <v>124</v>
      </c>
      <c r="G202" s="1">
        <v>1992</v>
      </c>
      <c r="H202" s="1">
        <v>14</v>
      </c>
      <c r="I202" s="7">
        <v>33694</v>
      </c>
      <c r="J202" s="7">
        <v>41685</v>
      </c>
      <c r="K202" s="8" t="s">
        <v>37</v>
      </c>
      <c r="L202" s="9" t="e">
        <f t="shared" ca="1" si="0"/>
        <v>#NAME?</v>
      </c>
      <c r="M202" s="9" t="e">
        <f t="shared" ca="1" si="1"/>
        <v>#NAME?</v>
      </c>
      <c r="N202" s="10" t="e">
        <f t="shared" ca="1" si="2"/>
        <v>#NAME?</v>
      </c>
      <c r="O202" s="1" t="s">
        <v>38</v>
      </c>
      <c r="P202" s="1" t="s">
        <v>292</v>
      </c>
      <c r="Q202" s="1" t="s">
        <v>521</v>
      </c>
      <c r="R202" s="1" t="s">
        <v>937</v>
      </c>
      <c r="S202" s="1" t="s">
        <v>938</v>
      </c>
      <c r="T202" s="1" t="s">
        <v>62</v>
      </c>
      <c r="U202" s="1" t="s">
        <v>62</v>
      </c>
      <c r="X202" s="1">
        <v>4</v>
      </c>
      <c r="Y202" s="7">
        <v>35204</v>
      </c>
      <c r="Z202" s="7">
        <v>38559</v>
      </c>
      <c r="AA202" s="1">
        <v>4257</v>
      </c>
      <c r="AB202" s="1">
        <v>1</v>
      </c>
      <c r="AC202" s="1">
        <v>6</v>
      </c>
      <c r="AD202" s="1" t="s">
        <v>939</v>
      </c>
    </row>
    <row r="203" spans="1:30" ht="13">
      <c r="A203" s="1" t="s">
        <v>940</v>
      </c>
      <c r="B203" s="1" t="s">
        <v>394</v>
      </c>
      <c r="C203" s="1" t="s">
        <v>35</v>
      </c>
      <c r="D203" s="1"/>
      <c r="E203" s="6">
        <v>22882</v>
      </c>
      <c r="F203" s="1" t="s">
        <v>124</v>
      </c>
      <c r="G203" s="1">
        <v>1992</v>
      </c>
      <c r="H203" s="1">
        <v>14</v>
      </c>
      <c r="I203" s="7">
        <v>33694</v>
      </c>
      <c r="J203" s="7">
        <v>37605</v>
      </c>
      <c r="K203" s="8" t="s">
        <v>37</v>
      </c>
      <c r="L203" s="9" t="e">
        <f t="shared" ca="1" si="0"/>
        <v>#NAME?</v>
      </c>
      <c r="M203" s="9" t="e">
        <f t="shared" ca="1" si="1"/>
        <v>#NAME?</v>
      </c>
      <c r="N203" s="10" t="e">
        <f t="shared" ca="1" si="2"/>
        <v>#NAME?</v>
      </c>
      <c r="O203" s="1" t="s">
        <v>38</v>
      </c>
      <c r="P203" s="1"/>
      <c r="Q203" s="1" t="s">
        <v>90</v>
      </c>
      <c r="R203" s="1" t="s">
        <v>99</v>
      </c>
      <c r="S203" s="1" t="s">
        <v>941</v>
      </c>
      <c r="T203" s="1" t="s">
        <v>579</v>
      </c>
      <c r="U203" s="1" t="s">
        <v>942</v>
      </c>
      <c r="X203" s="1">
        <v>2</v>
      </c>
      <c r="Y203" s="7">
        <v>34893</v>
      </c>
      <c r="Z203" s="7">
        <v>36665</v>
      </c>
      <c r="AA203" s="1">
        <v>450</v>
      </c>
      <c r="AB203" s="1">
        <v>0</v>
      </c>
      <c r="AC203" s="1">
        <v>0</v>
      </c>
      <c r="AD203" s="1" t="s">
        <v>943</v>
      </c>
    </row>
    <row r="204" spans="1:30" ht="13">
      <c r="A204" s="1" t="s">
        <v>944</v>
      </c>
      <c r="B204" s="1" t="s">
        <v>34</v>
      </c>
      <c r="C204" s="1" t="s">
        <v>35</v>
      </c>
      <c r="D204" s="1"/>
      <c r="E204" s="6">
        <v>21777</v>
      </c>
      <c r="F204" s="1" t="s">
        <v>84</v>
      </c>
      <c r="G204" s="1">
        <v>1995</v>
      </c>
      <c r="H204" s="1">
        <v>15</v>
      </c>
      <c r="I204" s="7">
        <v>34680</v>
      </c>
      <c r="J204" s="7">
        <v>40436</v>
      </c>
      <c r="K204" s="8" t="s">
        <v>37</v>
      </c>
      <c r="L204" s="9" t="e">
        <f t="shared" ca="1" si="0"/>
        <v>#NAME?</v>
      </c>
      <c r="M204" s="9" t="e">
        <f t="shared" ca="1" si="1"/>
        <v>#NAME?</v>
      </c>
      <c r="N204" s="10" t="e">
        <f t="shared" ca="1" si="2"/>
        <v>#NAME?</v>
      </c>
      <c r="O204" s="1" t="s">
        <v>38</v>
      </c>
      <c r="P204" s="1"/>
      <c r="Q204" s="1" t="s">
        <v>90</v>
      </c>
      <c r="R204" s="1" t="s">
        <v>945</v>
      </c>
      <c r="S204" s="1" t="s">
        <v>946</v>
      </c>
      <c r="T204" s="1" t="s">
        <v>285</v>
      </c>
      <c r="U204" s="1" t="s">
        <v>42</v>
      </c>
      <c r="V204" s="1" t="s">
        <v>71</v>
      </c>
      <c r="W204" s="1" t="s">
        <v>44</v>
      </c>
      <c r="X204" s="1">
        <v>4</v>
      </c>
      <c r="Y204" s="7">
        <v>35902</v>
      </c>
      <c r="Z204" s="7">
        <v>39944</v>
      </c>
      <c r="AA204" s="1">
        <v>1236</v>
      </c>
      <c r="AB204" s="1">
        <v>0</v>
      </c>
      <c r="AC204" s="1">
        <v>0</v>
      </c>
      <c r="AD204" s="1" t="s">
        <v>947</v>
      </c>
    </row>
    <row r="205" spans="1:30" ht="13">
      <c r="A205" s="1" t="s">
        <v>953</v>
      </c>
      <c r="B205" s="1" t="s">
        <v>34</v>
      </c>
      <c r="C205" s="1" t="s">
        <v>35</v>
      </c>
      <c r="D205" s="1"/>
      <c r="E205" s="6">
        <v>19876</v>
      </c>
      <c r="F205" s="1" t="s">
        <v>84</v>
      </c>
      <c r="G205" s="1">
        <v>1995</v>
      </c>
      <c r="H205" s="1">
        <v>15</v>
      </c>
      <c r="I205" s="7">
        <v>34680</v>
      </c>
      <c r="J205" s="7">
        <v>39614</v>
      </c>
      <c r="K205" s="8" t="s">
        <v>37</v>
      </c>
      <c r="L205" s="9" t="e">
        <f t="shared" ca="1" si="0"/>
        <v>#NAME?</v>
      </c>
      <c r="M205" s="9" t="e">
        <f t="shared" ca="1" si="1"/>
        <v>#NAME?</v>
      </c>
      <c r="N205" s="10" t="e">
        <f t="shared" ca="1" si="2"/>
        <v>#NAME?</v>
      </c>
      <c r="O205" s="1" t="s">
        <v>38</v>
      </c>
      <c r="P205" s="1"/>
      <c r="Q205" s="1" t="s">
        <v>90</v>
      </c>
      <c r="R205" s="1" t="s">
        <v>108</v>
      </c>
      <c r="S205" s="1" t="s">
        <v>954</v>
      </c>
      <c r="T205" s="1" t="s">
        <v>62</v>
      </c>
      <c r="U205" s="1" t="s">
        <v>955</v>
      </c>
      <c r="V205" s="1" t="s">
        <v>71</v>
      </c>
      <c r="W205" s="1" t="s">
        <v>44</v>
      </c>
      <c r="X205" s="1">
        <v>3</v>
      </c>
      <c r="Y205" s="7">
        <v>36364</v>
      </c>
      <c r="Z205" s="7">
        <v>37536</v>
      </c>
      <c r="AA205" s="1">
        <v>655</v>
      </c>
      <c r="AB205" s="1">
        <v>0</v>
      </c>
      <c r="AC205" s="1">
        <v>0</v>
      </c>
      <c r="AD205" s="1" t="s">
        <v>956</v>
      </c>
    </row>
    <row r="206" spans="1:30" ht="13">
      <c r="A206" s="1" t="s">
        <v>957</v>
      </c>
      <c r="B206" s="1" t="s">
        <v>34</v>
      </c>
      <c r="C206" s="1" t="s">
        <v>35</v>
      </c>
      <c r="D206" s="1"/>
      <c r="E206" s="6">
        <v>21625</v>
      </c>
      <c r="F206" s="1" t="s">
        <v>84</v>
      </c>
      <c r="G206" s="1">
        <v>1995</v>
      </c>
      <c r="H206" s="1">
        <v>15</v>
      </c>
      <c r="I206" s="7">
        <v>34680</v>
      </c>
      <c r="J206" s="7">
        <v>39309</v>
      </c>
      <c r="K206" s="8" t="s">
        <v>37</v>
      </c>
      <c r="L206" s="9" t="e">
        <f t="shared" ca="1" si="0"/>
        <v>#NAME?</v>
      </c>
      <c r="M206" s="9" t="e">
        <f t="shared" ca="1" si="1"/>
        <v>#NAME?</v>
      </c>
      <c r="N206" s="10" t="e">
        <f t="shared" ca="1" si="2"/>
        <v>#NAME?</v>
      </c>
      <c r="O206" s="1" t="s">
        <v>38</v>
      </c>
      <c r="P206" s="1"/>
      <c r="Q206" s="1" t="s">
        <v>90</v>
      </c>
      <c r="R206" s="1" t="s">
        <v>743</v>
      </c>
      <c r="S206" s="1" t="s">
        <v>958</v>
      </c>
      <c r="T206" s="1" t="s">
        <v>483</v>
      </c>
      <c r="U206" s="1" t="s">
        <v>654</v>
      </c>
      <c r="V206" s="1" t="s">
        <v>49</v>
      </c>
      <c r="W206" s="1" t="s">
        <v>50</v>
      </c>
      <c r="X206" s="1">
        <v>3</v>
      </c>
      <c r="Y206" s="7">
        <v>35698</v>
      </c>
      <c r="Z206" s="7">
        <v>37354</v>
      </c>
      <c r="AA206" s="1">
        <v>779</v>
      </c>
      <c r="AB206" s="1">
        <v>0</v>
      </c>
      <c r="AC206" s="1">
        <v>0</v>
      </c>
      <c r="AD206" s="1" t="s">
        <v>959</v>
      </c>
    </row>
    <row r="207" spans="1:30" ht="13">
      <c r="A207" s="1" t="s">
        <v>968</v>
      </c>
      <c r="B207" s="1" t="s">
        <v>34</v>
      </c>
      <c r="C207" s="1" t="s">
        <v>35</v>
      </c>
      <c r="D207" s="1"/>
      <c r="E207" s="6">
        <v>21219</v>
      </c>
      <c r="F207" s="1" t="s">
        <v>84</v>
      </c>
      <c r="G207" s="1">
        <v>1995</v>
      </c>
      <c r="H207" s="1">
        <v>15</v>
      </c>
      <c r="I207" s="7">
        <v>34680</v>
      </c>
      <c r="J207" s="7">
        <v>36646</v>
      </c>
      <c r="K207" s="8" t="s">
        <v>37</v>
      </c>
      <c r="L207" s="9" t="e">
        <f t="shared" ca="1" si="0"/>
        <v>#NAME?</v>
      </c>
      <c r="M207" s="9" t="e">
        <f t="shared" ca="1" si="1"/>
        <v>#NAME?</v>
      </c>
      <c r="N207" s="10" t="e">
        <f t="shared" ca="1" si="2"/>
        <v>#NAME?</v>
      </c>
      <c r="O207" s="1" t="s">
        <v>38</v>
      </c>
      <c r="P207" s="1"/>
      <c r="Q207" s="1" t="s">
        <v>90</v>
      </c>
      <c r="R207" s="1" t="s">
        <v>969</v>
      </c>
      <c r="S207" s="1" t="s">
        <v>970</v>
      </c>
      <c r="T207" s="1" t="s">
        <v>87</v>
      </c>
      <c r="U207" s="1" t="s">
        <v>955</v>
      </c>
      <c r="V207" s="1" t="s">
        <v>43</v>
      </c>
      <c r="W207" s="1" t="s">
        <v>44</v>
      </c>
      <c r="X207" s="1">
        <v>1</v>
      </c>
      <c r="Y207" s="7">
        <v>35817</v>
      </c>
      <c r="Z207" s="7">
        <v>35817</v>
      </c>
      <c r="AA207" s="1">
        <v>211</v>
      </c>
      <c r="AB207" s="1">
        <v>0</v>
      </c>
      <c r="AC207" s="1">
        <v>0</v>
      </c>
      <c r="AD207" s="1" t="s">
        <v>971</v>
      </c>
    </row>
    <row r="208" spans="1:30" ht="13">
      <c r="A208" s="1" t="s">
        <v>972</v>
      </c>
      <c r="B208" s="1" t="s">
        <v>34</v>
      </c>
      <c r="C208" s="1" t="s">
        <v>35</v>
      </c>
      <c r="D208" s="1"/>
      <c r="E208" s="6">
        <v>20942</v>
      </c>
      <c r="F208" s="1" t="s">
        <v>84</v>
      </c>
      <c r="G208" s="1">
        <v>1995</v>
      </c>
      <c r="H208" s="1">
        <v>15</v>
      </c>
      <c r="I208" s="7">
        <v>34680</v>
      </c>
      <c r="J208" s="7">
        <v>40333</v>
      </c>
      <c r="K208" s="8" t="s">
        <v>37</v>
      </c>
      <c r="L208" s="9" t="e">
        <f t="shared" ca="1" si="0"/>
        <v>#NAME?</v>
      </c>
      <c r="M208" s="9" t="e">
        <f t="shared" ca="1" si="1"/>
        <v>#NAME?</v>
      </c>
      <c r="N208" s="10" t="e">
        <f t="shared" ca="1" si="2"/>
        <v>#NAME?</v>
      </c>
      <c r="O208" s="1" t="s">
        <v>38</v>
      </c>
      <c r="P208" s="1"/>
      <c r="Q208" s="1" t="s">
        <v>90</v>
      </c>
      <c r="R208" s="1" t="s">
        <v>973</v>
      </c>
      <c r="S208" s="1" t="s">
        <v>974</v>
      </c>
      <c r="T208" s="1" t="s">
        <v>900</v>
      </c>
      <c r="U208" s="1" t="s">
        <v>955</v>
      </c>
      <c r="V208" s="1" t="s">
        <v>71</v>
      </c>
      <c r="W208" s="1" t="s">
        <v>44</v>
      </c>
      <c r="X208" s="1">
        <v>4</v>
      </c>
      <c r="Y208" s="7">
        <v>35948</v>
      </c>
      <c r="Z208" s="7">
        <v>39518</v>
      </c>
      <c r="AA208" s="1">
        <v>1167</v>
      </c>
      <c r="AB208" s="1">
        <v>0</v>
      </c>
      <c r="AC208" s="1">
        <v>0</v>
      </c>
      <c r="AD208" s="1" t="s">
        <v>975</v>
      </c>
    </row>
    <row r="209" spans="1:32" ht="13">
      <c r="A209" s="1" t="s">
        <v>976</v>
      </c>
      <c r="B209" s="1" t="s">
        <v>394</v>
      </c>
      <c r="C209" s="1" t="s">
        <v>35</v>
      </c>
      <c r="D209" s="1"/>
      <c r="E209" s="6">
        <v>21788</v>
      </c>
      <c r="F209" s="1" t="s">
        <v>84</v>
      </c>
      <c r="G209" s="1">
        <v>1995</v>
      </c>
      <c r="H209" s="1">
        <v>15</v>
      </c>
      <c r="I209" s="7">
        <v>34680</v>
      </c>
      <c r="J209" s="17">
        <v>43524</v>
      </c>
      <c r="K209" s="8" t="s">
        <v>37</v>
      </c>
      <c r="L209" s="9" t="e">
        <f t="shared" ca="1" si="0"/>
        <v>#NAME?</v>
      </c>
      <c r="M209" s="9" t="e">
        <f t="shared" ca="1" si="1"/>
        <v>#NAME?</v>
      </c>
      <c r="N209" s="10" t="e">
        <f t="shared" ca="1" si="2"/>
        <v>#NAME?</v>
      </c>
      <c r="O209" s="1" t="s">
        <v>38</v>
      </c>
      <c r="P209" s="1"/>
      <c r="Q209" s="1" t="s">
        <v>90</v>
      </c>
      <c r="R209" s="1" t="s">
        <v>180</v>
      </c>
      <c r="S209" s="1" t="s">
        <v>977</v>
      </c>
      <c r="T209" s="1" t="s">
        <v>654</v>
      </c>
      <c r="U209" s="1" t="s">
        <v>978</v>
      </c>
      <c r="V209" s="1" t="s">
        <v>71</v>
      </c>
      <c r="W209" s="1" t="s">
        <v>784</v>
      </c>
      <c r="X209" s="1">
        <v>2</v>
      </c>
      <c r="Y209" s="7">
        <v>35902</v>
      </c>
      <c r="Z209" s="7">
        <v>40217</v>
      </c>
      <c r="AA209" s="1">
        <v>711</v>
      </c>
      <c r="AB209" s="1">
        <v>0</v>
      </c>
      <c r="AC209" s="1">
        <v>0</v>
      </c>
      <c r="AD209" s="1" t="s">
        <v>979</v>
      </c>
    </row>
    <row r="210" spans="1:32" ht="13">
      <c r="A210" s="1" t="s">
        <v>980</v>
      </c>
      <c r="B210" s="1" t="s">
        <v>34</v>
      </c>
      <c r="C210" s="1" t="s">
        <v>35</v>
      </c>
      <c r="D210" s="1"/>
      <c r="E210" s="6">
        <v>21013</v>
      </c>
      <c r="F210" s="1" t="s">
        <v>84</v>
      </c>
      <c r="G210" s="1">
        <v>1995</v>
      </c>
      <c r="H210" s="1">
        <v>15</v>
      </c>
      <c r="I210" s="7">
        <v>34680</v>
      </c>
      <c r="J210" s="12">
        <v>37653</v>
      </c>
      <c r="K210" s="13" t="s">
        <v>59</v>
      </c>
      <c r="L210" s="9" t="e">
        <f t="shared" ca="1" si="0"/>
        <v>#NAME?</v>
      </c>
      <c r="M210" s="9" t="e">
        <f t="shared" ca="1" si="1"/>
        <v>#NAME?</v>
      </c>
      <c r="N210" s="10" t="e">
        <f t="shared" ca="1" si="2"/>
        <v>#NAME?</v>
      </c>
      <c r="O210" s="1" t="s">
        <v>38</v>
      </c>
      <c r="P210" s="1"/>
      <c r="Q210" s="1" t="s">
        <v>39</v>
      </c>
      <c r="R210" s="1" t="s">
        <v>981</v>
      </c>
      <c r="S210" s="1" t="s">
        <v>982</v>
      </c>
      <c r="T210" s="1" t="s">
        <v>62</v>
      </c>
      <c r="U210" s="1" t="s">
        <v>62</v>
      </c>
      <c r="V210" s="1" t="s">
        <v>49</v>
      </c>
      <c r="W210" s="1" t="s">
        <v>64</v>
      </c>
      <c r="X210" s="1">
        <v>2</v>
      </c>
      <c r="Y210" s="7">
        <v>36307</v>
      </c>
      <c r="Z210" s="7">
        <v>37637</v>
      </c>
      <c r="AA210" s="1">
        <v>617</v>
      </c>
      <c r="AB210" s="1">
        <v>0</v>
      </c>
      <c r="AC210" s="1">
        <v>0</v>
      </c>
      <c r="AD210" s="1" t="s">
        <v>983</v>
      </c>
      <c r="AE210" s="6">
        <v>37653</v>
      </c>
      <c r="AF210" s="1" t="s">
        <v>952</v>
      </c>
    </row>
    <row r="211" spans="1:32" ht="13">
      <c r="A211" s="1" t="s">
        <v>984</v>
      </c>
      <c r="B211" s="1" t="s">
        <v>394</v>
      </c>
      <c r="C211" s="1" t="s">
        <v>35</v>
      </c>
      <c r="D211" s="1"/>
      <c r="E211" s="6">
        <v>21748</v>
      </c>
      <c r="F211" s="1" t="s">
        <v>84</v>
      </c>
      <c r="G211" s="1">
        <v>1995</v>
      </c>
      <c r="H211" s="1">
        <v>15</v>
      </c>
      <c r="I211" s="7">
        <v>34680</v>
      </c>
      <c r="J211" s="20">
        <v>43738</v>
      </c>
      <c r="K211" s="8" t="s">
        <v>37</v>
      </c>
      <c r="L211" s="9" t="e">
        <f t="shared" ca="1" si="0"/>
        <v>#NAME?</v>
      </c>
      <c r="M211" s="9" t="e">
        <f t="shared" ca="1" si="1"/>
        <v>#NAME?</v>
      </c>
      <c r="N211" s="10" t="e">
        <f t="shared" ca="1" si="2"/>
        <v>#NAME?</v>
      </c>
      <c r="O211" s="1" t="s">
        <v>38</v>
      </c>
      <c r="P211" s="1"/>
      <c r="Q211" s="1" t="s">
        <v>521</v>
      </c>
      <c r="R211" s="1" t="s">
        <v>985</v>
      </c>
      <c r="S211" s="1" t="s">
        <v>986</v>
      </c>
      <c r="T211" s="1" t="s">
        <v>170</v>
      </c>
      <c r="U211" s="1" t="s">
        <v>170</v>
      </c>
      <c r="X211" s="1">
        <v>3</v>
      </c>
      <c r="Y211" s="7">
        <v>35948</v>
      </c>
      <c r="Z211" s="7">
        <v>37084</v>
      </c>
      <c r="AA211" s="1">
        <v>812</v>
      </c>
      <c r="AB211" s="1">
        <v>0</v>
      </c>
      <c r="AC211" s="1">
        <v>0</v>
      </c>
      <c r="AD211" s="1" t="s">
        <v>987</v>
      </c>
    </row>
    <row r="212" spans="1:32" ht="13">
      <c r="A212" s="1" t="s">
        <v>988</v>
      </c>
      <c r="B212" s="1" t="s">
        <v>394</v>
      </c>
      <c r="C212" s="1" t="s">
        <v>35</v>
      </c>
      <c r="D212" s="1"/>
      <c r="E212" s="6">
        <v>22578</v>
      </c>
      <c r="F212" s="1" t="s">
        <v>84</v>
      </c>
      <c r="G212" s="1">
        <v>1995</v>
      </c>
      <c r="H212" s="1">
        <v>15</v>
      </c>
      <c r="I212" s="7">
        <v>34680</v>
      </c>
      <c r="J212" s="7">
        <v>37605</v>
      </c>
      <c r="K212" s="8" t="s">
        <v>37</v>
      </c>
      <c r="L212" s="9" t="e">
        <f t="shared" ca="1" si="0"/>
        <v>#NAME?</v>
      </c>
      <c r="M212" s="9" t="e">
        <f t="shared" ca="1" si="1"/>
        <v>#NAME?</v>
      </c>
      <c r="N212" s="10" t="e">
        <f t="shared" ca="1" si="2"/>
        <v>#NAME?</v>
      </c>
      <c r="O212" s="1" t="s">
        <v>38</v>
      </c>
      <c r="P212" s="1"/>
      <c r="Q212" s="1" t="s">
        <v>90</v>
      </c>
      <c r="R212" s="1" t="s">
        <v>989</v>
      </c>
      <c r="S212" s="1" t="s">
        <v>990</v>
      </c>
      <c r="T212" s="1" t="s">
        <v>104</v>
      </c>
      <c r="U212" s="1" t="s">
        <v>87</v>
      </c>
      <c r="V212" s="1" t="s">
        <v>43</v>
      </c>
      <c r="W212" s="1" t="s">
        <v>44</v>
      </c>
      <c r="X212" s="1">
        <v>2</v>
      </c>
      <c r="Y212" s="7">
        <v>35524</v>
      </c>
      <c r="Z212" s="7">
        <v>35612</v>
      </c>
      <c r="AA212" s="1">
        <v>472</v>
      </c>
      <c r="AB212" s="1">
        <v>0</v>
      </c>
      <c r="AC212" s="1">
        <v>0</v>
      </c>
      <c r="AD212" s="1" t="s">
        <v>991</v>
      </c>
    </row>
    <row r="213" spans="1:32" ht="13">
      <c r="A213" s="1" t="s">
        <v>992</v>
      </c>
      <c r="B213" s="1" t="s">
        <v>34</v>
      </c>
      <c r="C213" s="1" t="s">
        <v>35</v>
      </c>
      <c r="D213" s="1"/>
      <c r="E213" s="6">
        <v>22152</v>
      </c>
      <c r="F213" s="1" t="s">
        <v>84</v>
      </c>
      <c r="G213" s="1">
        <v>1995</v>
      </c>
      <c r="H213" s="1">
        <v>15</v>
      </c>
      <c r="I213" s="7">
        <v>34680</v>
      </c>
      <c r="J213" s="7">
        <v>40739</v>
      </c>
      <c r="K213" s="8" t="s">
        <v>37</v>
      </c>
      <c r="L213" s="9" t="e">
        <f t="shared" ca="1" si="0"/>
        <v>#NAME?</v>
      </c>
      <c r="M213" s="9" t="e">
        <f t="shared" ca="1" si="1"/>
        <v>#NAME?</v>
      </c>
      <c r="N213" s="10" t="e">
        <f t="shared" ca="1" si="2"/>
        <v>#NAME?</v>
      </c>
      <c r="O213" s="1" t="s">
        <v>38</v>
      </c>
      <c r="P213" s="1"/>
      <c r="Q213" s="1" t="s">
        <v>90</v>
      </c>
      <c r="R213" s="1" t="s">
        <v>993</v>
      </c>
      <c r="S213" s="1" t="s">
        <v>994</v>
      </c>
      <c r="T213" s="1" t="s">
        <v>346</v>
      </c>
      <c r="U213" s="1" t="s">
        <v>42</v>
      </c>
      <c r="V213" s="1" t="s">
        <v>49</v>
      </c>
      <c r="W213" s="1" t="s">
        <v>50</v>
      </c>
      <c r="X213" s="1">
        <v>5</v>
      </c>
      <c r="Y213" s="7">
        <v>35753</v>
      </c>
      <c r="Z213" s="7">
        <v>40598</v>
      </c>
      <c r="AA213" s="1">
        <v>1510</v>
      </c>
      <c r="AB213" s="1">
        <v>0</v>
      </c>
      <c r="AC213" s="1">
        <v>0</v>
      </c>
      <c r="AD213" s="1" t="s">
        <v>995</v>
      </c>
    </row>
    <row r="214" spans="1:32" ht="13">
      <c r="A214" s="1" t="s">
        <v>999</v>
      </c>
      <c r="B214" s="1" t="s">
        <v>394</v>
      </c>
      <c r="C214" s="1" t="s">
        <v>35</v>
      </c>
      <c r="D214" s="1"/>
      <c r="E214" s="6">
        <v>22541</v>
      </c>
      <c r="F214" s="1" t="s">
        <v>84</v>
      </c>
      <c r="G214" s="1">
        <v>1995</v>
      </c>
      <c r="H214" s="1">
        <v>15</v>
      </c>
      <c r="I214" s="7">
        <v>34680</v>
      </c>
      <c r="J214" s="7">
        <v>40040</v>
      </c>
      <c r="K214" s="8" t="s">
        <v>37</v>
      </c>
      <c r="L214" s="9" t="e">
        <f t="shared" ca="1" si="0"/>
        <v>#NAME?</v>
      </c>
      <c r="M214" s="9" t="e">
        <f t="shared" ca="1" si="1"/>
        <v>#NAME?</v>
      </c>
      <c r="N214" s="10" t="e">
        <f t="shared" ca="1" si="2"/>
        <v>#NAME?</v>
      </c>
      <c r="O214" s="1" t="s">
        <v>38</v>
      </c>
      <c r="P214" s="1"/>
      <c r="Q214" s="1" t="s">
        <v>90</v>
      </c>
      <c r="R214" s="1" t="s">
        <v>1000</v>
      </c>
      <c r="S214" s="1" t="s">
        <v>1001</v>
      </c>
      <c r="T214" s="1" t="s">
        <v>328</v>
      </c>
      <c r="U214" s="1" t="s">
        <v>1002</v>
      </c>
      <c r="V214" s="1" t="s">
        <v>49</v>
      </c>
      <c r="W214" s="1" t="s">
        <v>50</v>
      </c>
      <c r="X214" s="1">
        <v>3</v>
      </c>
      <c r="Y214" s="7">
        <v>36810</v>
      </c>
      <c r="Z214" s="7">
        <v>39378</v>
      </c>
      <c r="AA214" s="1">
        <v>914</v>
      </c>
      <c r="AB214" s="1">
        <v>0</v>
      </c>
      <c r="AC214" s="1">
        <v>0</v>
      </c>
      <c r="AD214" s="1" t="s">
        <v>1003</v>
      </c>
    </row>
    <row r="215" spans="1:32" ht="13">
      <c r="A215" s="1" t="s">
        <v>1011</v>
      </c>
      <c r="B215" s="1" t="s">
        <v>34</v>
      </c>
      <c r="C215" s="1" t="s">
        <v>35</v>
      </c>
      <c r="D215" s="1"/>
      <c r="E215" s="6">
        <v>19801</v>
      </c>
      <c r="F215" s="1" t="s">
        <v>124</v>
      </c>
      <c r="G215" s="1">
        <v>1995</v>
      </c>
      <c r="H215" s="1">
        <v>15</v>
      </c>
      <c r="I215" s="7">
        <v>34680</v>
      </c>
      <c r="J215" s="7">
        <v>39583</v>
      </c>
      <c r="K215" s="8" t="s">
        <v>37</v>
      </c>
      <c r="L215" s="9" t="e">
        <f t="shared" ca="1" si="0"/>
        <v>#NAME?</v>
      </c>
      <c r="M215" s="9" t="e">
        <f t="shared" ca="1" si="1"/>
        <v>#NAME?</v>
      </c>
      <c r="N215" s="10" t="e">
        <f t="shared" ca="1" si="2"/>
        <v>#NAME?</v>
      </c>
      <c r="O215" s="1" t="s">
        <v>38</v>
      </c>
      <c r="P215" s="1"/>
      <c r="Q215" s="1" t="s">
        <v>90</v>
      </c>
      <c r="R215" s="1" t="s">
        <v>1012</v>
      </c>
      <c r="S215" s="1" t="s">
        <v>1013</v>
      </c>
      <c r="T215" s="1" t="s">
        <v>1014</v>
      </c>
      <c r="U215" s="1" t="s">
        <v>1014</v>
      </c>
      <c r="X215" s="1">
        <v>3</v>
      </c>
      <c r="Y215" s="7">
        <v>35817</v>
      </c>
      <c r="Z215" s="7">
        <v>39241</v>
      </c>
      <c r="AA215" s="1">
        <v>854</v>
      </c>
      <c r="AB215" s="1">
        <v>5</v>
      </c>
      <c r="AC215" s="1">
        <v>31</v>
      </c>
      <c r="AD215" s="1" t="s">
        <v>1015</v>
      </c>
    </row>
    <row r="216" spans="1:32" ht="13">
      <c r="A216" s="1" t="s">
        <v>1016</v>
      </c>
      <c r="B216" s="1" t="s">
        <v>34</v>
      </c>
      <c r="C216" s="1" t="s">
        <v>35</v>
      </c>
      <c r="D216" s="1"/>
      <c r="E216" s="6">
        <v>20388</v>
      </c>
      <c r="F216" s="1" t="s">
        <v>124</v>
      </c>
      <c r="G216" s="1">
        <v>1995</v>
      </c>
      <c r="H216" s="1">
        <v>15</v>
      </c>
      <c r="I216" s="7">
        <v>34680</v>
      </c>
      <c r="J216" s="7">
        <v>41090</v>
      </c>
      <c r="K216" s="8" t="s">
        <v>37</v>
      </c>
      <c r="L216" s="9" t="e">
        <f t="shared" ca="1" si="0"/>
        <v>#NAME?</v>
      </c>
      <c r="M216" s="9" t="e">
        <f t="shared" ca="1" si="1"/>
        <v>#NAME?</v>
      </c>
      <c r="N216" s="10" t="e">
        <f t="shared" ca="1" si="2"/>
        <v>#NAME?</v>
      </c>
      <c r="O216" s="1" t="s">
        <v>38</v>
      </c>
      <c r="P216" s="1"/>
      <c r="Q216" s="1" t="s">
        <v>90</v>
      </c>
      <c r="R216" s="1" t="s">
        <v>375</v>
      </c>
      <c r="S216" s="1" t="s">
        <v>1017</v>
      </c>
      <c r="T216" s="1" t="s">
        <v>1018</v>
      </c>
      <c r="U216" s="1" t="s">
        <v>452</v>
      </c>
      <c r="X216" s="1">
        <v>4</v>
      </c>
      <c r="Y216" s="7">
        <v>35649</v>
      </c>
      <c r="Z216" s="7">
        <v>40217</v>
      </c>
      <c r="AA216" s="1">
        <v>1162</v>
      </c>
      <c r="AB216" s="1">
        <v>3</v>
      </c>
      <c r="AC216" s="1">
        <v>20</v>
      </c>
      <c r="AD216" s="1" t="s">
        <v>1019</v>
      </c>
    </row>
    <row r="217" spans="1:32" ht="13">
      <c r="A217" s="1" t="s">
        <v>1020</v>
      </c>
      <c r="B217" s="1" t="s">
        <v>34</v>
      </c>
      <c r="C217" s="1" t="s">
        <v>35</v>
      </c>
      <c r="D217" s="1"/>
      <c r="E217" s="6">
        <v>22504</v>
      </c>
      <c r="F217" s="1" t="s">
        <v>84</v>
      </c>
      <c r="G217" s="1">
        <v>1995</v>
      </c>
      <c r="H217" s="1">
        <v>15</v>
      </c>
      <c r="I217" s="7">
        <v>34680</v>
      </c>
      <c r="J217" s="7">
        <v>41348</v>
      </c>
      <c r="K217" s="8" t="s">
        <v>37</v>
      </c>
      <c r="L217" s="9" t="e">
        <f t="shared" ca="1" si="0"/>
        <v>#NAME?</v>
      </c>
      <c r="M217" s="9" t="e">
        <f t="shared" ca="1" si="1"/>
        <v>#NAME?</v>
      </c>
      <c r="N217" s="10" t="e">
        <f t="shared" ca="1" si="2"/>
        <v>#NAME?</v>
      </c>
      <c r="O217" s="1" t="s">
        <v>38</v>
      </c>
      <c r="P217" s="1"/>
      <c r="Q217" s="1" t="s">
        <v>90</v>
      </c>
      <c r="R217" s="1" t="s">
        <v>1021</v>
      </c>
      <c r="S217" s="1" t="s">
        <v>1022</v>
      </c>
      <c r="T217" s="1" t="s">
        <v>62</v>
      </c>
      <c r="V217" s="1" t="s">
        <v>49</v>
      </c>
      <c r="W217" s="1" t="s">
        <v>56</v>
      </c>
      <c r="X217" s="1">
        <v>4</v>
      </c>
      <c r="Y217" s="7">
        <v>36133</v>
      </c>
      <c r="Z217" s="7">
        <v>40053</v>
      </c>
      <c r="AA217" s="1">
        <v>1233</v>
      </c>
      <c r="AB217" s="1">
        <v>0</v>
      </c>
      <c r="AC217" s="1">
        <v>0</v>
      </c>
      <c r="AD217" s="1" t="s">
        <v>1023</v>
      </c>
    </row>
    <row r="218" spans="1:32" ht="13">
      <c r="A218" s="1" t="s">
        <v>1024</v>
      </c>
      <c r="B218" s="1" t="s">
        <v>34</v>
      </c>
      <c r="C218" s="1" t="s">
        <v>35</v>
      </c>
      <c r="D218" s="1"/>
      <c r="E218" s="6">
        <v>20561</v>
      </c>
      <c r="F218" s="1" t="s">
        <v>124</v>
      </c>
      <c r="G218" s="1">
        <v>1996</v>
      </c>
      <c r="H218" s="1">
        <v>16</v>
      </c>
      <c r="I218" s="7">
        <v>35186</v>
      </c>
      <c r="J218" s="12">
        <v>37653</v>
      </c>
      <c r="K218" s="13" t="s">
        <v>59</v>
      </c>
      <c r="L218" s="9" t="e">
        <f t="shared" ca="1" si="0"/>
        <v>#NAME?</v>
      </c>
      <c r="M218" s="9" t="e">
        <f t="shared" ca="1" si="1"/>
        <v>#NAME?</v>
      </c>
      <c r="N218" s="10" t="e">
        <f t="shared" ca="1" si="2"/>
        <v>#NAME?</v>
      </c>
      <c r="O218" s="1" t="s">
        <v>38</v>
      </c>
      <c r="P218" s="1"/>
      <c r="Q218" s="1" t="s">
        <v>39</v>
      </c>
      <c r="R218" s="1" t="s">
        <v>1025</v>
      </c>
      <c r="S218" s="1" t="s">
        <v>1026</v>
      </c>
      <c r="T218" s="1" t="s">
        <v>810</v>
      </c>
      <c r="U218" s="1" t="s">
        <v>201</v>
      </c>
      <c r="V218" s="1" t="s">
        <v>71</v>
      </c>
      <c r="W218" s="1" t="s">
        <v>150</v>
      </c>
      <c r="X218" s="1">
        <v>1</v>
      </c>
      <c r="Y218" s="7">
        <v>37637</v>
      </c>
      <c r="Z218" s="7">
        <v>37637</v>
      </c>
      <c r="AA218" s="1">
        <v>382</v>
      </c>
      <c r="AB218" s="1">
        <v>0</v>
      </c>
      <c r="AC218" s="1">
        <v>0</v>
      </c>
      <c r="AD218" s="1" t="s">
        <v>952</v>
      </c>
      <c r="AE218" s="6">
        <v>37653</v>
      </c>
      <c r="AF218" s="1" t="s">
        <v>952</v>
      </c>
    </row>
    <row r="219" spans="1:32" ht="13">
      <c r="A219" s="1" t="s">
        <v>1027</v>
      </c>
      <c r="B219" s="1" t="s">
        <v>34</v>
      </c>
      <c r="C219" s="1" t="s">
        <v>35</v>
      </c>
      <c r="D219" s="1"/>
      <c r="E219" s="6">
        <v>22489</v>
      </c>
      <c r="F219" s="1" t="s">
        <v>84</v>
      </c>
      <c r="G219" s="1">
        <v>1996</v>
      </c>
      <c r="H219" s="1">
        <v>16</v>
      </c>
      <c r="I219" s="7">
        <v>35186</v>
      </c>
      <c r="J219" s="20">
        <v>43280</v>
      </c>
      <c r="K219" s="8" t="s">
        <v>37</v>
      </c>
      <c r="L219" s="9" t="e">
        <f t="shared" ca="1" si="0"/>
        <v>#NAME?</v>
      </c>
      <c r="M219" s="9" t="e">
        <f t="shared" ca="1" si="1"/>
        <v>#NAME?</v>
      </c>
      <c r="N219" s="10" t="e">
        <f t="shared" ca="1" si="2"/>
        <v>#NAME?</v>
      </c>
      <c r="O219" s="1" t="s">
        <v>38</v>
      </c>
      <c r="P219" s="1"/>
      <c r="Q219" s="8" t="s">
        <v>90</v>
      </c>
      <c r="R219" s="1" t="s">
        <v>1028</v>
      </c>
      <c r="S219" s="1" t="s">
        <v>1029</v>
      </c>
      <c r="T219" s="1" t="s">
        <v>139</v>
      </c>
      <c r="U219" s="1" t="s">
        <v>1030</v>
      </c>
      <c r="V219" s="1" t="s">
        <v>71</v>
      </c>
      <c r="W219" s="1" t="s">
        <v>748</v>
      </c>
      <c r="X219" s="1">
        <v>3</v>
      </c>
      <c r="Y219" s="7">
        <v>36777</v>
      </c>
      <c r="Z219" s="7">
        <v>40861</v>
      </c>
      <c r="AA219" s="1">
        <v>4512</v>
      </c>
      <c r="AB219" s="1">
        <v>1</v>
      </c>
      <c r="AC219" s="1">
        <v>7</v>
      </c>
      <c r="AD219" s="1" t="s">
        <v>1031</v>
      </c>
    </row>
    <row r="220" spans="1:32" ht="13">
      <c r="A220" s="1" t="s">
        <v>1041</v>
      </c>
      <c r="B220" s="1" t="s">
        <v>34</v>
      </c>
      <c r="C220" s="1" t="s">
        <v>35</v>
      </c>
      <c r="D220" s="1"/>
      <c r="E220" s="6">
        <v>19122</v>
      </c>
      <c r="F220" s="1" t="s">
        <v>124</v>
      </c>
      <c r="G220" s="1">
        <v>1996</v>
      </c>
      <c r="H220" s="1">
        <v>16</v>
      </c>
      <c r="I220" s="7">
        <v>35186</v>
      </c>
      <c r="J220" s="7">
        <v>38883</v>
      </c>
      <c r="K220" s="8" t="s">
        <v>37</v>
      </c>
      <c r="L220" s="9" t="e">
        <f t="shared" ca="1" si="0"/>
        <v>#NAME?</v>
      </c>
      <c r="M220" s="9" t="e">
        <f t="shared" ca="1" si="1"/>
        <v>#NAME?</v>
      </c>
      <c r="N220" s="10" t="e">
        <f t="shared" ca="1" si="2"/>
        <v>#NAME?</v>
      </c>
      <c r="O220" s="1" t="s">
        <v>38</v>
      </c>
      <c r="P220" s="1"/>
      <c r="Q220" s="1" t="s">
        <v>521</v>
      </c>
      <c r="R220" s="1" t="s">
        <v>1042</v>
      </c>
      <c r="S220" s="1" t="s">
        <v>1043</v>
      </c>
      <c r="T220" s="1" t="s">
        <v>87</v>
      </c>
      <c r="U220" s="1" t="s">
        <v>1044</v>
      </c>
      <c r="X220" s="1">
        <v>1</v>
      </c>
      <c r="Y220" s="7">
        <v>38559</v>
      </c>
      <c r="Z220" s="7">
        <v>38559</v>
      </c>
      <c r="AA220" s="1">
        <v>333</v>
      </c>
      <c r="AB220" s="1">
        <v>0</v>
      </c>
      <c r="AC220" s="1">
        <v>0</v>
      </c>
      <c r="AD220" s="1" t="s">
        <v>1045</v>
      </c>
    </row>
    <row r="221" spans="1:32" ht="13">
      <c r="A221" s="1" t="s">
        <v>1046</v>
      </c>
      <c r="B221" s="1" t="s">
        <v>34</v>
      </c>
      <c r="C221" s="1" t="s">
        <v>35</v>
      </c>
      <c r="D221" s="1"/>
      <c r="E221" s="6">
        <v>20940</v>
      </c>
      <c r="F221" s="1" t="s">
        <v>84</v>
      </c>
      <c r="G221" s="1">
        <v>1996</v>
      </c>
      <c r="H221" s="1">
        <v>16</v>
      </c>
      <c r="I221" s="7">
        <v>35186</v>
      </c>
      <c r="J221" s="7">
        <v>38275</v>
      </c>
      <c r="K221" s="8" t="s">
        <v>37</v>
      </c>
      <c r="L221" s="9" t="e">
        <f t="shared" ca="1" si="0"/>
        <v>#NAME?</v>
      </c>
      <c r="M221" s="9" t="e">
        <f t="shared" ca="1" si="1"/>
        <v>#NAME?</v>
      </c>
      <c r="N221" s="10" t="e">
        <f t="shared" ca="1" si="2"/>
        <v>#NAME?</v>
      </c>
      <c r="O221" s="1" t="s">
        <v>38</v>
      </c>
      <c r="P221" s="1"/>
      <c r="Q221" s="1" t="s">
        <v>90</v>
      </c>
      <c r="R221" s="1" t="s">
        <v>1047</v>
      </c>
      <c r="S221" s="1" t="s">
        <v>1048</v>
      </c>
      <c r="T221" s="1" t="s">
        <v>1049</v>
      </c>
      <c r="U221" s="1" t="s">
        <v>87</v>
      </c>
      <c r="V221" s="1" t="s">
        <v>63</v>
      </c>
      <c r="W221" s="1" t="s">
        <v>50</v>
      </c>
      <c r="X221" s="1">
        <v>1</v>
      </c>
      <c r="Y221" s="7">
        <v>37316</v>
      </c>
      <c r="Z221" s="7">
        <v>37316</v>
      </c>
      <c r="AA221" s="1">
        <v>262</v>
      </c>
      <c r="AB221" s="1">
        <v>0</v>
      </c>
      <c r="AC221" s="1">
        <v>0</v>
      </c>
      <c r="AD221" s="1" t="s">
        <v>1050</v>
      </c>
    </row>
    <row r="222" spans="1:32" ht="13">
      <c r="A222" s="1" t="s">
        <v>1051</v>
      </c>
      <c r="B222" s="1" t="s">
        <v>394</v>
      </c>
      <c r="C222" s="1" t="s">
        <v>35</v>
      </c>
      <c r="D222" s="1"/>
      <c r="E222" s="6">
        <v>22350</v>
      </c>
      <c r="F222" s="1" t="s">
        <v>124</v>
      </c>
      <c r="G222" s="1">
        <v>1996</v>
      </c>
      <c r="H222" s="1">
        <v>16</v>
      </c>
      <c r="I222" s="7">
        <v>35186</v>
      </c>
      <c r="J222" s="12">
        <v>37653</v>
      </c>
      <c r="K222" s="13" t="s">
        <v>59</v>
      </c>
      <c r="L222" s="9" t="e">
        <f t="shared" ca="1" si="0"/>
        <v>#NAME?</v>
      </c>
      <c r="M222" s="9" t="e">
        <f t="shared" ca="1" si="1"/>
        <v>#NAME?</v>
      </c>
      <c r="N222" s="10" t="e">
        <f t="shared" ca="1" si="2"/>
        <v>#NAME?</v>
      </c>
      <c r="O222" s="1" t="s">
        <v>38</v>
      </c>
      <c r="P222" s="1"/>
      <c r="Q222" s="1" t="s">
        <v>39</v>
      </c>
      <c r="R222" s="1" t="s">
        <v>1052</v>
      </c>
      <c r="S222" s="1" t="s">
        <v>1053</v>
      </c>
      <c r="T222" s="1" t="s">
        <v>1054</v>
      </c>
      <c r="U222" s="1" t="s">
        <v>201</v>
      </c>
      <c r="V222" s="1" t="s">
        <v>71</v>
      </c>
      <c r="W222" s="1" t="s">
        <v>150</v>
      </c>
      <c r="X222" s="1">
        <v>1</v>
      </c>
      <c r="Y222" s="7">
        <v>37637</v>
      </c>
      <c r="Z222" s="7">
        <v>37637</v>
      </c>
      <c r="AA222" s="1">
        <v>382</v>
      </c>
      <c r="AB222" s="1">
        <v>0</v>
      </c>
      <c r="AC222" s="1">
        <v>0</v>
      </c>
      <c r="AD222" s="1" t="s">
        <v>952</v>
      </c>
      <c r="AE222" s="6">
        <v>37653</v>
      </c>
      <c r="AF222" s="1" t="s">
        <v>952</v>
      </c>
    </row>
    <row r="223" spans="1:32" ht="13">
      <c r="A223" s="1" t="s">
        <v>1055</v>
      </c>
      <c r="B223" s="1" t="s">
        <v>34</v>
      </c>
      <c r="C223" s="1" t="s">
        <v>35</v>
      </c>
      <c r="D223" s="1"/>
      <c r="E223" s="6">
        <v>24545</v>
      </c>
      <c r="F223" s="1" t="s">
        <v>84</v>
      </c>
      <c r="G223" s="1">
        <v>1996</v>
      </c>
      <c r="H223" s="1">
        <v>16</v>
      </c>
      <c r="I223" s="7">
        <v>35186</v>
      </c>
      <c r="J223" s="7">
        <f ca="1">TODAY()</f>
        <v>44606</v>
      </c>
      <c r="K223" s="8" t="s">
        <v>1056</v>
      </c>
      <c r="L223" s="9" t="e">
        <f t="shared" ca="1" si="0"/>
        <v>#NAME?</v>
      </c>
      <c r="M223" s="9" t="e">
        <f t="shared" ca="1" si="1"/>
        <v>#NAME?</v>
      </c>
      <c r="N223" s="10" t="e">
        <f t="shared" ca="1" si="2"/>
        <v>#NAME?</v>
      </c>
      <c r="O223" s="1" t="s">
        <v>38</v>
      </c>
      <c r="P223" s="1"/>
      <c r="Q223" s="1" t="s">
        <v>1057</v>
      </c>
      <c r="R223" s="1" t="s">
        <v>245</v>
      </c>
      <c r="S223" s="1" t="s">
        <v>1058</v>
      </c>
      <c r="T223" s="1" t="s">
        <v>1059</v>
      </c>
      <c r="U223" s="1" t="s">
        <v>1060</v>
      </c>
      <c r="V223" s="1" t="s">
        <v>49</v>
      </c>
      <c r="W223" s="1" t="s">
        <v>64</v>
      </c>
      <c r="X223" s="1">
        <v>3</v>
      </c>
      <c r="Y223" s="7">
        <v>38095</v>
      </c>
      <c r="Z223" s="7">
        <v>40679</v>
      </c>
      <c r="AA223" s="1">
        <v>9159</v>
      </c>
      <c r="AB223" s="1">
        <v>9</v>
      </c>
      <c r="AC223" s="1">
        <v>48</v>
      </c>
      <c r="AD223" s="1" t="s">
        <v>1061</v>
      </c>
    </row>
    <row r="224" spans="1:32" ht="13">
      <c r="A224" s="1" t="s">
        <v>1062</v>
      </c>
      <c r="B224" s="1" t="s">
        <v>34</v>
      </c>
      <c r="C224" s="1" t="s">
        <v>35</v>
      </c>
      <c r="D224" s="1"/>
      <c r="E224" s="6">
        <v>20910</v>
      </c>
      <c r="F224" s="1" t="s">
        <v>84</v>
      </c>
      <c r="G224" s="1">
        <v>1996</v>
      </c>
      <c r="H224" s="1">
        <v>16</v>
      </c>
      <c r="I224" s="7">
        <v>35186</v>
      </c>
      <c r="J224" s="7">
        <v>41060</v>
      </c>
      <c r="K224" s="8" t="s">
        <v>37</v>
      </c>
      <c r="L224" s="9" t="e">
        <f t="shared" ca="1" si="0"/>
        <v>#NAME?</v>
      </c>
      <c r="M224" s="9" t="e">
        <f t="shared" ca="1" si="1"/>
        <v>#NAME?</v>
      </c>
      <c r="N224" s="10" t="e">
        <f t="shared" ca="1" si="2"/>
        <v>#NAME?</v>
      </c>
      <c r="O224" s="1" t="s">
        <v>38</v>
      </c>
      <c r="P224" s="1"/>
      <c r="Q224" s="1" t="s">
        <v>521</v>
      </c>
      <c r="R224" s="1" t="s">
        <v>1063</v>
      </c>
      <c r="S224" s="1" t="s">
        <v>1064</v>
      </c>
      <c r="T224" s="1" t="s">
        <v>821</v>
      </c>
      <c r="U224" s="1" t="s">
        <v>1065</v>
      </c>
      <c r="V224" s="1" t="s">
        <v>49</v>
      </c>
      <c r="W224" s="1" t="s">
        <v>490</v>
      </c>
      <c r="X224" s="1">
        <v>3</v>
      </c>
      <c r="Y224" s="7">
        <v>37113</v>
      </c>
      <c r="Z224" s="7">
        <v>40053</v>
      </c>
      <c r="AA224" s="1">
        <v>950</v>
      </c>
      <c r="AB224" s="1">
        <v>4</v>
      </c>
      <c r="AC224" s="1">
        <v>25</v>
      </c>
      <c r="AD224" s="1" t="s">
        <v>1066</v>
      </c>
    </row>
    <row r="225" spans="1:32" ht="13">
      <c r="A225" s="1" t="s">
        <v>1067</v>
      </c>
      <c r="B225" s="1" t="s">
        <v>34</v>
      </c>
      <c r="C225" s="1" t="s">
        <v>35</v>
      </c>
      <c r="D225" s="1"/>
      <c r="E225" s="6">
        <v>22554</v>
      </c>
      <c r="F225" s="1" t="s">
        <v>84</v>
      </c>
      <c r="G225" s="1">
        <v>1996</v>
      </c>
      <c r="H225" s="1">
        <v>16</v>
      </c>
      <c r="I225" s="7">
        <v>35186</v>
      </c>
      <c r="J225" s="7">
        <v>42198</v>
      </c>
      <c r="K225" s="8" t="s">
        <v>37</v>
      </c>
      <c r="L225" s="9" t="e">
        <f t="shared" ca="1" si="0"/>
        <v>#NAME?</v>
      </c>
      <c r="M225" s="9" t="e">
        <f t="shared" ca="1" si="1"/>
        <v>#NAME?</v>
      </c>
      <c r="N225" s="10" t="e">
        <f t="shared" ca="1" si="2"/>
        <v>#NAME?</v>
      </c>
      <c r="O225" s="1" t="s">
        <v>38</v>
      </c>
      <c r="P225" s="1"/>
      <c r="Q225" s="1" t="s">
        <v>521</v>
      </c>
      <c r="R225" s="1" t="s">
        <v>245</v>
      </c>
      <c r="S225" s="1" t="s">
        <v>565</v>
      </c>
      <c r="T225" s="1" t="s">
        <v>87</v>
      </c>
      <c r="U225" s="1" t="s">
        <v>42</v>
      </c>
      <c r="V225" s="1" t="s">
        <v>71</v>
      </c>
      <c r="W225" s="1" t="s">
        <v>44</v>
      </c>
      <c r="X225" s="1">
        <v>2</v>
      </c>
      <c r="Y225" s="7">
        <v>37354</v>
      </c>
      <c r="Z225" s="7">
        <v>39485</v>
      </c>
      <c r="AA225" s="1">
        <v>566</v>
      </c>
      <c r="AB225" s="1">
        <v>0</v>
      </c>
      <c r="AC225" s="1">
        <v>0</v>
      </c>
      <c r="AD225" s="1" t="s">
        <v>1068</v>
      </c>
    </row>
    <row r="226" spans="1:32" ht="13">
      <c r="A226" s="1" t="s">
        <v>1069</v>
      </c>
      <c r="B226" s="1" t="s">
        <v>34</v>
      </c>
      <c r="C226" s="1" t="s">
        <v>35</v>
      </c>
      <c r="D226" s="1"/>
      <c r="E226" s="6">
        <v>21442</v>
      </c>
      <c r="F226" s="1" t="s">
        <v>36</v>
      </c>
      <c r="G226" s="1">
        <v>1996</v>
      </c>
      <c r="H226" s="1">
        <v>16</v>
      </c>
      <c r="I226" s="7">
        <v>35186</v>
      </c>
      <c r="J226" s="7">
        <v>38604</v>
      </c>
      <c r="K226" s="8" t="s">
        <v>37</v>
      </c>
      <c r="L226" s="9" t="e">
        <f t="shared" ca="1" si="0"/>
        <v>#NAME?</v>
      </c>
      <c r="M226" s="9" t="e">
        <f t="shared" ca="1" si="1"/>
        <v>#NAME?</v>
      </c>
      <c r="N226" s="10" t="e">
        <f t="shared" ca="1" si="2"/>
        <v>#NAME?</v>
      </c>
      <c r="O226" s="1" t="s">
        <v>38</v>
      </c>
      <c r="P226" s="1"/>
      <c r="Q226" s="1" t="s">
        <v>90</v>
      </c>
      <c r="R226" s="1" t="s">
        <v>1070</v>
      </c>
      <c r="S226" s="1" t="s">
        <v>1071</v>
      </c>
      <c r="T226" s="1" t="s">
        <v>709</v>
      </c>
      <c r="U226" s="1" t="s">
        <v>42</v>
      </c>
      <c r="V226" s="1" t="s">
        <v>43</v>
      </c>
      <c r="W226" s="1" t="s">
        <v>44</v>
      </c>
      <c r="X226" s="1">
        <v>1</v>
      </c>
      <c r="Y226" s="7">
        <v>37583</v>
      </c>
      <c r="Z226" s="7">
        <v>37583</v>
      </c>
      <c r="AA226" s="1">
        <v>330</v>
      </c>
      <c r="AB226" s="1">
        <v>3</v>
      </c>
      <c r="AC226" s="1">
        <v>20</v>
      </c>
      <c r="AD226" s="1" t="s">
        <v>1072</v>
      </c>
    </row>
    <row r="227" spans="1:32" ht="13">
      <c r="A227" s="1" t="s">
        <v>1077</v>
      </c>
      <c r="B227" s="1" t="s">
        <v>34</v>
      </c>
      <c r="C227" s="1" t="s">
        <v>35</v>
      </c>
      <c r="D227" s="1"/>
      <c r="E227" s="6">
        <v>22590</v>
      </c>
      <c r="F227" s="1" t="s">
        <v>36</v>
      </c>
      <c r="G227" s="1">
        <v>1996</v>
      </c>
      <c r="H227" s="1">
        <v>16</v>
      </c>
      <c r="I227" s="7">
        <v>35186</v>
      </c>
      <c r="J227" s="7">
        <v>40809</v>
      </c>
      <c r="K227" s="8" t="s">
        <v>37</v>
      </c>
      <c r="L227" s="9" t="e">
        <f t="shared" ca="1" si="0"/>
        <v>#NAME?</v>
      </c>
      <c r="M227" s="9" t="e">
        <f t="shared" ca="1" si="1"/>
        <v>#NAME?</v>
      </c>
      <c r="N227" s="10" t="e">
        <f t="shared" ca="1" si="2"/>
        <v>#NAME?</v>
      </c>
      <c r="O227" s="1" t="s">
        <v>38</v>
      </c>
      <c r="P227" s="1"/>
      <c r="Q227" s="1" t="s">
        <v>90</v>
      </c>
      <c r="R227" s="1" t="s">
        <v>1078</v>
      </c>
      <c r="S227" s="1" t="s">
        <v>69</v>
      </c>
      <c r="T227" s="1" t="s">
        <v>87</v>
      </c>
      <c r="V227" s="1" t="s">
        <v>49</v>
      </c>
      <c r="W227" s="1" t="s">
        <v>56</v>
      </c>
      <c r="X227" s="1">
        <v>3</v>
      </c>
      <c r="Y227" s="7">
        <v>37084</v>
      </c>
      <c r="Z227" s="7">
        <v>40133</v>
      </c>
      <c r="AA227" s="1">
        <v>873</v>
      </c>
      <c r="AB227" s="1">
        <v>0</v>
      </c>
      <c r="AC227" s="1">
        <v>0</v>
      </c>
      <c r="AD227" s="1" t="s">
        <v>1079</v>
      </c>
    </row>
    <row r="228" spans="1:32" ht="13">
      <c r="A228" s="1" t="s">
        <v>1080</v>
      </c>
      <c r="B228" s="1" t="s">
        <v>34</v>
      </c>
      <c r="C228" s="1" t="s">
        <v>35</v>
      </c>
      <c r="D228" s="1"/>
      <c r="E228" s="6">
        <v>23511</v>
      </c>
      <c r="F228" s="1" t="s">
        <v>84</v>
      </c>
      <c r="G228" s="1">
        <v>1996</v>
      </c>
      <c r="H228" s="1">
        <v>16</v>
      </c>
      <c r="I228" s="7">
        <v>35186</v>
      </c>
      <c r="J228" s="7">
        <v>40527</v>
      </c>
      <c r="K228" s="8" t="s">
        <v>37</v>
      </c>
      <c r="L228" s="9" t="e">
        <f t="shared" ca="1" si="0"/>
        <v>#NAME?</v>
      </c>
      <c r="M228" s="9" t="e">
        <f t="shared" ca="1" si="1"/>
        <v>#NAME?</v>
      </c>
      <c r="N228" s="10" t="e">
        <f t="shared" ca="1" si="2"/>
        <v>#NAME?</v>
      </c>
      <c r="O228" s="1" t="s">
        <v>38</v>
      </c>
      <c r="P228" s="1"/>
      <c r="Q228" s="1" t="s">
        <v>521</v>
      </c>
      <c r="R228" s="1" t="s">
        <v>1081</v>
      </c>
      <c r="S228" s="1" t="s">
        <v>1082</v>
      </c>
      <c r="T228" s="1" t="s">
        <v>104</v>
      </c>
      <c r="U228" s="1" t="s">
        <v>87</v>
      </c>
      <c r="V228" s="1" t="s">
        <v>49</v>
      </c>
      <c r="W228" s="1" t="s">
        <v>50</v>
      </c>
      <c r="X228" s="1">
        <v>2</v>
      </c>
      <c r="Y228" s="7">
        <v>36958</v>
      </c>
      <c r="Z228" s="7">
        <v>38559</v>
      </c>
      <c r="AA228" s="1">
        <v>641</v>
      </c>
      <c r="AB228" s="1">
        <v>0</v>
      </c>
      <c r="AC228" s="1">
        <v>0</v>
      </c>
      <c r="AD228" s="1" t="s">
        <v>1083</v>
      </c>
    </row>
    <row r="229" spans="1:32" ht="13">
      <c r="A229" s="1" t="s">
        <v>1084</v>
      </c>
      <c r="B229" s="1" t="s">
        <v>34</v>
      </c>
      <c r="C229" s="1" t="s">
        <v>35</v>
      </c>
      <c r="D229" s="1"/>
      <c r="E229" s="6">
        <v>23428</v>
      </c>
      <c r="F229" s="1" t="s">
        <v>84</v>
      </c>
      <c r="G229" s="1">
        <v>1996</v>
      </c>
      <c r="H229" s="1">
        <v>16</v>
      </c>
      <c r="I229" s="7">
        <v>35186</v>
      </c>
      <c r="J229" s="7">
        <v>40817</v>
      </c>
      <c r="K229" s="8" t="s">
        <v>37</v>
      </c>
      <c r="L229" s="9" t="e">
        <f t="shared" ca="1" si="0"/>
        <v>#NAME?</v>
      </c>
      <c r="M229" s="9" t="e">
        <f t="shared" ca="1" si="1"/>
        <v>#NAME?</v>
      </c>
      <c r="N229" s="10" t="e">
        <f t="shared" ca="1" si="2"/>
        <v>#NAME?</v>
      </c>
      <c r="O229" s="1" t="s">
        <v>38</v>
      </c>
      <c r="P229" s="1"/>
      <c r="Q229" s="1" t="s">
        <v>90</v>
      </c>
      <c r="R229" s="1" t="s">
        <v>1085</v>
      </c>
      <c r="S229" s="1" t="s">
        <v>1086</v>
      </c>
      <c r="T229" s="1" t="s">
        <v>1087</v>
      </c>
      <c r="U229" s="1" t="s">
        <v>42</v>
      </c>
      <c r="V229" s="1" t="s">
        <v>71</v>
      </c>
      <c r="W229" s="1" t="s">
        <v>44</v>
      </c>
      <c r="X229" s="1">
        <v>4</v>
      </c>
      <c r="Y229" s="7">
        <v>37230</v>
      </c>
      <c r="Z229" s="7">
        <v>40679</v>
      </c>
      <c r="AA229" s="1">
        <v>1298</v>
      </c>
      <c r="AB229" s="1">
        <v>0</v>
      </c>
      <c r="AC229" s="1">
        <v>0</v>
      </c>
      <c r="AD229" s="1" t="s">
        <v>1088</v>
      </c>
    </row>
    <row r="230" spans="1:32" ht="13">
      <c r="A230" s="1" t="s">
        <v>1089</v>
      </c>
      <c r="B230" s="1" t="s">
        <v>34</v>
      </c>
      <c r="C230" s="1" t="s">
        <v>35</v>
      </c>
      <c r="D230" s="1"/>
      <c r="E230" s="6">
        <v>23428</v>
      </c>
      <c r="F230" s="1" t="s">
        <v>36</v>
      </c>
      <c r="G230" s="1">
        <v>1996</v>
      </c>
      <c r="H230" s="1">
        <v>16</v>
      </c>
      <c r="I230" s="7">
        <v>35186</v>
      </c>
      <c r="J230" s="7">
        <v>42444</v>
      </c>
      <c r="K230" s="8" t="s">
        <v>37</v>
      </c>
      <c r="L230" s="9" t="e">
        <f t="shared" ca="1" si="0"/>
        <v>#NAME?</v>
      </c>
      <c r="M230" s="9" t="e">
        <f t="shared" ca="1" si="1"/>
        <v>#NAME?</v>
      </c>
      <c r="N230" s="10" t="e">
        <f t="shared" ca="1" si="2"/>
        <v>#NAME?</v>
      </c>
      <c r="O230" s="1" t="s">
        <v>38</v>
      </c>
      <c r="P230" s="1"/>
      <c r="Q230" s="8" t="s">
        <v>90</v>
      </c>
      <c r="R230" s="1" t="s">
        <v>1085</v>
      </c>
      <c r="S230" s="1" t="s">
        <v>1090</v>
      </c>
      <c r="T230" s="1" t="s">
        <v>139</v>
      </c>
      <c r="U230" s="1" t="s">
        <v>955</v>
      </c>
      <c r="V230" s="1" t="s">
        <v>71</v>
      </c>
      <c r="W230" s="1" t="s">
        <v>44</v>
      </c>
      <c r="X230" s="1">
        <v>4</v>
      </c>
      <c r="Y230" s="7">
        <v>36513</v>
      </c>
      <c r="Z230" s="7">
        <v>42090</v>
      </c>
      <c r="AA230" s="1">
        <v>12490</v>
      </c>
      <c r="AB230" s="1">
        <v>3</v>
      </c>
      <c r="AC230" s="1">
        <v>18</v>
      </c>
      <c r="AD230" s="1" t="s">
        <v>1091</v>
      </c>
    </row>
    <row r="231" spans="1:32" ht="13">
      <c r="A231" s="1" t="s">
        <v>1092</v>
      </c>
      <c r="B231" s="1" t="s">
        <v>34</v>
      </c>
      <c r="C231" s="1" t="s">
        <v>35</v>
      </c>
      <c r="D231" s="1"/>
      <c r="E231" s="6">
        <v>20573</v>
      </c>
      <c r="F231" s="1" t="s">
        <v>84</v>
      </c>
      <c r="G231" s="1">
        <v>1996</v>
      </c>
      <c r="H231" s="1">
        <v>16</v>
      </c>
      <c r="I231" s="7">
        <v>35186</v>
      </c>
      <c r="J231" s="7">
        <v>38353</v>
      </c>
      <c r="K231" s="8" t="s">
        <v>37</v>
      </c>
      <c r="L231" s="9" t="e">
        <f t="shared" ca="1" si="0"/>
        <v>#NAME?</v>
      </c>
      <c r="M231" s="9" t="e">
        <f t="shared" ca="1" si="1"/>
        <v>#NAME?</v>
      </c>
      <c r="N231" s="10" t="e">
        <f t="shared" ca="1" si="2"/>
        <v>#NAME?</v>
      </c>
      <c r="O231" s="1" t="s">
        <v>38</v>
      </c>
      <c r="P231" s="1"/>
      <c r="Q231" s="1" t="s">
        <v>90</v>
      </c>
      <c r="R231" s="1" t="s">
        <v>981</v>
      </c>
      <c r="S231" s="1" t="s">
        <v>1093</v>
      </c>
      <c r="T231" s="1" t="s">
        <v>272</v>
      </c>
      <c r="U231" s="1" t="s">
        <v>87</v>
      </c>
      <c r="V231" s="1" t="s">
        <v>49</v>
      </c>
      <c r="W231" s="1" t="s">
        <v>50</v>
      </c>
      <c r="X231" s="1">
        <v>2</v>
      </c>
      <c r="Y231" s="7">
        <v>37412</v>
      </c>
      <c r="Z231" s="7">
        <v>37583</v>
      </c>
      <c r="AA231" s="1">
        <v>663</v>
      </c>
      <c r="AB231" s="1">
        <v>0</v>
      </c>
      <c r="AC231" s="1">
        <v>0</v>
      </c>
      <c r="AD231" s="1" t="s">
        <v>1094</v>
      </c>
    </row>
    <row r="232" spans="1:32" ht="13">
      <c r="A232" s="1" t="s">
        <v>1099</v>
      </c>
      <c r="B232" s="1" t="s">
        <v>394</v>
      </c>
      <c r="C232" s="1" t="s">
        <v>35</v>
      </c>
      <c r="D232" s="1"/>
      <c r="E232" s="6">
        <v>23680</v>
      </c>
      <c r="F232" s="1" t="s">
        <v>124</v>
      </c>
      <c r="G232" s="1">
        <v>1996</v>
      </c>
      <c r="H232" s="1">
        <v>16</v>
      </c>
      <c r="I232" s="7">
        <v>35186</v>
      </c>
      <c r="J232" s="7">
        <v>41204</v>
      </c>
      <c r="K232" s="8" t="s">
        <v>37</v>
      </c>
      <c r="L232" s="9" t="e">
        <f t="shared" ca="1" si="0"/>
        <v>#NAME?</v>
      </c>
      <c r="M232" s="9" t="e">
        <f t="shared" ca="1" si="1"/>
        <v>#NAME?</v>
      </c>
      <c r="N232" s="10" t="e">
        <f t="shared" ca="1" si="2"/>
        <v>#NAME?</v>
      </c>
      <c r="O232" s="1" t="s">
        <v>38</v>
      </c>
      <c r="P232" s="1"/>
      <c r="Q232" s="1" t="s">
        <v>90</v>
      </c>
      <c r="R232" s="1" t="s">
        <v>1100</v>
      </c>
      <c r="S232" s="1" t="s">
        <v>1101</v>
      </c>
      <c r="T232" s="1" t="s">
        <v>158</v>
      </c>
      <c r="U232" s="1" t="s">
        <v>1102</v>
      </c>
      <c r="X232" s="1">
        <v>3</v>
      </c>
      <c r="Y232" s="7">
        <v>37536</v>
      </c>
      <c r="Z232" s="7">
        <v>40732</v>
      </c>
      <c r="AA232" s="1">
        <v>3776</v>
      </c>
      <c r="AB232" s="1">
        <v>0</v>
      </c>
      <c r="AC232" s="1">
        <v>0</v>
      </c>
      <c r="AD232" s="1" t="s">
        <v>1103</v>
      </c>
    </row>
    <row r="233" spans="1:32" ht="13">
      <c r="A233" s="1" t="s">
        <v>1104</v>
      </c>
      <c r="B233" s="1" t="s">
        <v>34</v>
      </c>
      <c r="C233" s="1" t="s">
        <v>35</v>
      </c>
      <c r="D233" s="1"/>
      <c r="E233" s="6">
        <v>22877</v>
      </c>
      <c r="F233" s="1" t="s">
        <v>124</v>
      </c>
      <c r="G233" s="1">
        <v>1996</v>
      </c>
      <c r="H233" s="1">
        <v>16</v>
      </c>
      <c r="I233" s="7">
        <v>35186</v>
      </c>
      <c r="J233" s="7">
        <v>41849</v>
      </c>
      <c r="K233" s="8" t="s">
        <v>37</v>
      </c>
      <c r="L233" s="9" t="e">
        <f t="shared" ca="1" si="0"/>
        <v>#NAME?</v>
      </c>
      <c r="M233" s="9" t="e">
        <f t="shared" ca="1" si="1"/>
        <v>#NAME?</v>
      </c>
      <c r="N233" s="10" t="e">
        <f t="shared" ca="1" si="2"/>
        <v>#NAME?</v>
      </c>
      <c r="O233" s="1" t="s">
        <v>38</v>
      </c>
      <c r="P233" s="1"/>
      <c r="Q233" s="1" t="s">
        <v>521</v>
      </c>
      <c r="R233" s="1" t="s">
        <v>1105</v>
      </c>
      <c r="S233" s="1" t="s">
        <v>1106</v>
      </c>
      <c r="T233" s="1" t="s">
        <v>1107</v>
      </c>
      <c r="U233" s="1" t="s">
        <v>1108</v>
      </c>
      <c r="X233" s="1">
        <v>2</v>
      </c>
      <c r="Y233" s="7">
        <v>37316</v>
      </c>
      <c r="Z233" s="7">
        <v>39944</v>
      </c>
      <c r="AA233" s="1">
        <v>571</v>
      </c>
      <c r="AB233" s="1">
        <v>4</v>
      </c>
      <c r="AC233" s="1">
        <v>30</v>
      </c>
      <c r="AD233" s="1" t="s">
        <v>1109</v>
      </c>
    </row>
    <row r="234" spans="1:32" ht="13">
      <c r="A234" s="1" t="s">
        <v>1110</v>
      </c>
      <c r="B234" s="1" t="s">
        <v>34</v>
      </c>
      <c r="C234" s="1" t="s">
        <v>35</v>
      </c>
      <c r="D234" s="1"/>
      <c r="E234" s="6">
        <v>21957</v>
      </c>
      <c r="F234" s="1" t="s">
        <v>84</v>
      </c>
      <c r="G234" s="1">
        <v>1996</v>
      </c>
      <c r="H234" s="1">
        <v>16</v>
      </c>
      <c r="I234" s="7">
        <v>35186</v>
      </c>
      <c r="J234" s="20">
        <v>42902</v>
      </c>
      <c r="K234" s="8" t="s">
        <v>37</v>
      </c>
      <c r="L234" s="9" t="e">
        <f t="shared" ca="1" si="0"/>
        <v>#NAME?</v>
      </c>
      <c r="M234" s="9" t="e">
        <f t="shared" ca="1" si="1"/>
        <v>#NAME?</v>
      </c>
      <c r="N234" s="10" t="e">
        <f t="shared" ca="1" si="2"/>
        <v>#NAME?</v>
      </c>
      <c r="O234" s="1" t="s">
        <v>38</v>
      </c>
      <c r="P234" s="1"/>
      <c r="Q234" s="8" t="s">
        <v>1111</v>
      </c>
      <c r="R234" s="1" t="s">
        <v>1112</v>
      </c>
      <c r="S234" s="1" t="s">
        <v>1113</v>
      </c>
      <c r="T234" s="1" t="s">
        <v>1114</v>
      </c>
      <c r="U234" s="1" t="s">
        <v>1115</v>
      </c>
      <c r="X234" s="1">
        <v>4</v>
      </c>
      <c r="Y234" s="7">
        <v>36777</v>
      </c>
      <c r="Z234" s="7">
        <v>41584</v>
      </c>
      <c r="AA234" s="1">
        <v>5461</v>
      </c>
      <c r="AB234" s="1">
        <v>9</v>
      </c>
      <c r="AC234" s="1">
        <v>53</v>
      </c>
      <c r="AD234" s="1" t="s">
        <v>1116</v>
      </c>
    </row>
    <row r="235" spans="1:32" ht="13">
      <c r="A235" s="1" t="s">
        <v>1117</v>
      </c>
      <c r="B235" s="1" t="s">
        <v>34</v>
      </c>
      <c r="C235" s="1" t="s">
        <v>35</v>
      </c>
      <c r="D235" s="1"/>
      <c r="E235" s="6">
        <v>22547</v>
      </c>
      <c r="F235" s="1" t="s">
        <v>84</v>
      </c>
      <c r="G235" s="1">
        <v>1996</v>
      </c>
      <c r="H235" s="1">
        <v>16</v>
      </c>
      <c r="I235" s="7">
        <v>35186</v>
      </c>
      <c r="J235" s="12">
        <v>37653</v>
      </c>
      <c r="K235" s="13" t="s">
        <v>59</v>
      </c>
      <c r="L235" s="9" t="e">
        <f t="shared" ca="1" si="0"/>
        <v>#NAME?</v>
      </c>
      <c r="M235" s="9" t="e">
        <f t="shared" ca="1" si="1"/>
        <v>#NAME?</v>
      </c>
      <c r="N235" s="10" t="e">
        <f t="shared" ca="1" si="2"/>
        <v>#NAME?</v>
      </c>
      <c r="O235" s="1" t="s">
        <v>38</v>
      </c>
      <c r="P235" s="1"/>
      <c r="Q235" s="1" t="s">
        <v>39</v>
      </c>
      <c r="R235" s="1" t="s">
        <v>643</v>
      </c>
      <c r="S235" s="1" t="s">
        <v>1118</v>
      </c>
      <c r="T235" s="1" t="s">
        <v>70</v>
      </c>
      <c r="U235" s="1" t="s">
        <v>1119</v>
      </c>
      <c r="V235" s="1" t="s">
        <v>43</v>
      </c>
      <c r="W235" s="1" t="s">
        <v>150</v>
      </c>
      <c r="X235" s="1">
        <v>1</v>
      </c>
      <c r="Y235" s="7">
        <v>37637</v>
      </c>
      <c r="Z235" s="7">
        <v>37637</v>
      </c>
      <c r="AA235" s="1">
        <v>382</v>
      </c>
      <c r="AB235" s="1">
        <v>0</v>
      </c>
      <c r="AC235" s="1">
        <v>0</v>
      </c>
      <c r="AD235" s="1" t="s">
        <v>952</v>
      </c>
      <c r="AE235" s="6">
        <v>37653</v>
      </c>
      <c r="AF235" s="1" t="s">
        <v>952</v>
      </c>
    </row>
    <row r="236" spans="1:32" ht="13">
      <c r="A236" s="1" t="s">
        <v>1120</v>
      </c>
      <c r="B236" s="1" t="s">
        <v>34</v>
      </c>
      <c r="C236" s="1" t="s">
        <v>35</v>
      </c>
      <c r="D236" s="1"/>
      <c r="E236" s="6">
        <v>19246</v>
      </c>
      <c r="F236" s="1" t="s">
        <v>124</v>
      </c>
      <c r="G236" s="1">
        <v>1996</v>
      </c>
      <c r="H236" s="1">
        <v>16</v>
      </c>
      <c r="I236" s="7">
        <v>35186</v>
      </c>
      <c r="J236" s="7">
        <f ca="1">TODAY()</f>
        <v>44606</v>
      </c>
      <c r="K236" s="8" t="s">
        <v>667</v>
      </c>
      <c r="L236" s="9" t="e">
        <f t="shared" ca="1" si="0"/>
        <v>#NAME?</v>
      </c>
      <c r="M236" s="9" t="e">
        <f t="shared" ca="1" si="1"/>
        <v>#NAME?</v>
      </c>
      <c r="N236" s="10" t="e">
        <f t="shared" ca="1" si="2"/>
        <v>#NAME?</v>
      </c>
      <c r="O236" s="1" t="s">
        <v>38</v>
      </c>
      <c r="P236" s="1"/>
      <c r="Q236" s="1" t="s">
        <v>521</v>
      </c>
      <c r="R236" s="1" t="s">
        <v>1121</v>
      </c>
      <c r="S236" s="1" t="s">
        <v>1122</v>
      </c>
      <c r="T236" s="1" t="s">
        <v>1123</v>
      </c>
      <c r="U236" s="1" t="s">
        <v>1124</v>
      </c>
      <c r="V236" s="1" t="s">
        <v>71</v>
      </c>
      <c r="W236" s="1" t="s">
        <v>150</v>
      </c>
      <c r="X236" s="1">
        <v>1</v>
      </c>
      <c r="Y236" s="7">
        <v>37354</v>
      </c>
      <c r="Z236" s="7">
        <v>37354</v>
      </c>
      <c r="AA236" s="1">
        <v>259</v>
      </c>
      <c r="AB236" s="1">
        <v>2</v>
      </c>
      <c r="AC236" s="1">
        <v>14</v>
      </c>
      <c r="AD236" s="1" t="s">
        <v>1125</v>
      </c>
    </row>
    <row r="237" spans="1:32" ht="13">
      <c r="A237" s="1" t="s">
        <v>1126</v>
      </c>
      <c r="B237" s="1" t="s">
        <v>394</v>
      </c>
      <c r="C237" s="1" t="s">
        <v>35</v>
      </c>
      <c r="D237" s="1"/>
      <c r="E237" s="6">
        <v>23141</v>
      </c>
      <c r="F237" s="1" t="s">
        <v>84</v>
      </c>
      <c r="G237" s="1">
        <v>1996</v>
      </c>
      <c r="H237" s="1">
        <v>16</v>
      </c>
      <c r="I237" s="7">
        <v>35186</v>
      </c>
      <c r="J237" s="17">
        <v>39149</v>
      </c>
      <c r="K237" s="8" t="s">
        <v>1127</v>
      </c>
      <c r="L237" s="9" t="e">
        <f t="shared" ca="1" si="0"/>
        <v>#NAME?</v>
      </c>
      <c r="M237" s="9" t="e">
        <f t="shared" ca="1" si="1"/>
        <v>#NAME?</v>
      </c>
      <c r="N237" s="10" t="e">
        <f t="shared" ca="1" si="2"/>
        <v>#NAME?</v>
      </c>
      <c r="O237" s="1" t="s">
        <v>38</v>
      </c>
      <c r="P237" s="1"/>
      <c r="Q237" s="1" t="s">
        <v>90</v>
      </c>
      <c r="R237" s="1" t="s">
        <v>407</v>
      </c>
      <c r="S237" s="1" t="s">
        <v>565</v>
      </c>
      <c r="T237" s="1" t="s">
        <v>87</v>
      </c>
      <c r="U237" s="1" t="s">
        <v>42</v>
      </c>
      <c r="V237" s="1" t="s">
        <v>71</v>
      </c>
      <c r="W237" s="1" t="s">
        <v>44</v>
      </c>
      <c r="X237" s="1">
        <v>1</v>
      </c>
      <c r="Y237" s="7">
        <v>38902</v>
      </c>
      <c r="Z237" s="7">
        <v>38902</v>
      </c>
      <c r="AA237" s="1">
        <v>306</v>
      </c>
      <c r="AB237" s="1">
        <v>0</v>
      </c>
      <c r="AC237" s="1">
        <v>0</v>
      </c>
      <c r="AD237" s="1" t="s">
        <v>1128</v>
      </c>
    </row>
    <row r="238" spans="1:32" ht="13">
      <c r="A238" s="1" t="s">
        <v>1129</v>
      </c>
      <c r="B238" s="1" t="s">
        <v>34</v>
      </c>
      <c r="C238" s="1" t="s">
        <v>35</v>
      </c>
      <c r="D238" s="1"/>
      <c r="E238" s="6">
        <v>20199</v>
      </c>
      <c r="F238" s="1" t="s">
        <v>124</v>
      </c>
      <c r="G238" s="1">
        <v>1996</v>
      </c>
      <c r="H238" s="1">
        <v>16</v>
      </c>
      <c r="I238" s="7">
        <v>35186</v>
      </c>
      <c r="J238" s="7">
        <f ca="1">TODAY()</f>
        <v>44606</v>
      </c>
      <c r="K238" s="8" t="s">
        <v>1056</v>
      </c>
      <c r="L238" s="9" t="e">
        <f t="shared" ca="1" si="0"/>
        <v>#NAME?</v>
      </c>
      <c r="M238" s="9" t="e">
        <f t="shared" ca="1" si="1"/>
        <v>#NAME?</v>
      </c>
      <c r="N238" s="10" t="e">
        <f t="shared" ca="1" si="2"/>
        <v>#NAME?</v>
      </c>
      <c r="O238" s="1" t="s">
        <v>38</v>
      </c>
      <c r="P238" s="1"/>
      <c r="Q238" s="1" t="s">
        <v>1057</v>
      </c>
      <c r="R238" s="1" t="s">
        <v>1130</v>
      </c>
      <c r="S238" s="1" t="s">
        <v>1131</v>
      </c>
      <c r="T238" s="1" t="s">
        <v>579</v>
      </c>
      <c r="U238" s="1" t="s">
        <v>579</v>
      </c>
      <c r="X238" s="1">
        <v>3</v>
      </c>
      <c r="Y238" s="7">
        <v>37583</v>
      </c>
      <c r="Z238" s="7">
        <v>40898</v>
      </c>
      <c r="AA238" s="1">
        <v>8872</v>
      </c>
      <c r="AB238" s="1">
        <v>2</v>
      </c>
      <c r="AC238" s="1">
        <v>13</v>
      </c>
      <c r="AD238" s="1" t="s">
        <v>1132</v>
      </c>
    </row>
    <row r="239" spans="1:32" ht="13">
      <c r="A239" s="1" t="s">
        <v>1133</v>
      </c>
      <c r="B239" s="1" t="s">
        <v>34</v>
      </c>
      <c r="C239" s="1" t="s">
        <v>35</v>
      </c>
      <c r="D239" s="1"/>
      <c r="E239" s="6">
        <v>18733</v>
      </c>
      <c r="F239" s="1" t="s">
        <v>124</v>
      </c>
      <c r="G239" s="1">
        <v>1996</v>
      </c>
      <c r="H239" s="1">
        <v>16</v>
      </c>
      <c r="I239" s="7">
        <v>35186</v>
      </c>
      <c r="J239" s="7">
        <v>40558</v>
      </c>
      <c r="K239" s="8" t="s">
        <v>37</v>
      </c>
      <c r="L239" s="9" t="e">
        <f t="shared" ca="1" si="0"/>
        <v>#NAME?</v>
      </c>
      <c r="M239" s="9" t="e">
        <f t="shared" ca="1" si="1"/>
        <v>#NAME?</v>
      </c>
      <c r="N239" s="10" t="e">
        <f t="shared" ca="1" si="2"/>
        <v>#NAME?</v>
      </c>
      <c r="O239" s="1" t="s">
        <v>38</v>
      </c>
      <c r="P239" s="1"/>
      <c r="Q239" s="1" t="s">
        <v>90</v>
      </c>
      <c r="R239" s="1" t="s">
        <v>1134</v>
      </c>
      <c r="S239" s="1" t="s">
        <v>1135</v>
      </c>
      <c r="T239" s="1" t="s">
        <v>1136</v>
      </c>
      <c r="U239" s="1" t="s">
        <v>1137</v>
      </c>
      <c r="V239" s="1" t="s">
        <v>71</v>
      </c>
      <c r="W239" s="1" t="s">
        <v>1138</v>
      </c>
      <c r="X239" s="1">
        <v>3</v>
      </c>
      <c r="Y239" s="7">
        <v>37000</v>
      </c>
      <c r="Z239" s="7">
        <v>39887</v>
      </c>
      <c r="AA239" s="1">
        <v>4880</v>
      </c>
      <c r="AB239" s="1">
        <v>1</v>
      </c>
      <c r="AC239" s="1">
        <v>5</v>
      </c>
      <c r="AD239" s="1" t="s">
        <v>1139</v>
      </c>
    </row>
    <row r="240" spans="1:32" ht="13">
      <c r="A240" s="1" t="s">
        <v>1140</v>
      </c>
      <c r="B240" s="1" t="s">
        <v>34</v>
      </c>
      <c r="C240" s="1" t="s">
        <v>35</v>
      </c>
      <c r="D240" s="1"/>
      <c r="E240" s="6">
        <v>20608</v>
      </c>
      <c r="F240" s="1" t="s">
        <v>84</v>
      </c>
      <c r="G240" s="1">
        <v>1996</v>
      </c>
      <c r="H240" s="1">
        <v>16</v>
      </c>
      <c r="I240" s="7">
        <v>35186</v>
      </c>
      <c r="J240" s="7">
        <v>41090</v>
      </c>
      <c r="K240" s="8" t="s">
        <v>37</v>
      </c>
      <c r="L240" s="9" t="e">
        <f t="shared" ca="1" si="0"/>
        <v>#NAME?</v>
      </c>
      <c r="M240" s="9" t="e">
        <f t="shared" ca="1" si="1"/>
        <v>#NAME?</v>
      </c>
      <c r="N240" s="10" t="e">
        <f t="shared" ca="1" si="2"/>
        <v>#NAME?</v>
      </c>
      <c r="O240" s="1" t="s">
        <v>38</v>
      </c>
      <c r="P240" s="1"/>
      <c r="Q240" s="1" t="s">
        <v>90</v>
      </c>
      <c r="R240" s="1" t="s">
        <v>1141</v>
      </c>
      <c r="S240" s="1" t="s">
        <v>61</v>
      </c>
      <c r="T240" s="1" t="s">
        <v>285</v>
      </c>
      <c r="U240" s="1" t="s">
        <v>285</v>
      </c>
      <c r="X240" s="1">
        <v>3</v>
      </c>
      <c r="Y240" s="7">
        <v>36931</v>
      </c>
      <c r="Z240" s="7">
        <v>40009</v>
      </c>
      <c r="AA240" s="1">
        <v>995</v>
      </c>
      <c r="AB240" s="1">
        <v>0</v>
      </c>
      <c r="AC240" s="1">
        <v>0</v>
      </c>
      <c r="AD240" s="1" t="s">
        <v>1142</v>
      </c>
    </row>
    <row r="241" spans="1:30" ht="13">
      <c r="A241" s="1" t="s">
        <v>1143</v>
      </c>
      <c r="B241" s="1" t="s">
        <v>34</v>
      </c>
      <c r="C241" s="1" t="s">
        <v>35</v>
      </c>
      <c r="D241" s="1"/>
      <c r="E241" s="6">
        <v>23517</v>
      </c>
      <c r="F241" s="1" t="s">
        <v>84</v>
      </c>
      <c r="G241" s="1">
        <v>1996</v>
      </c>
      <c r="H241" s="1">
        <v>16</v>
      </c>
      <c r="I241" s="7">
        <v>35186</v>
      </c>
      <c r="J241" s="7">
        <v>37302</v>
      </c>
      <c r="K241" s="8" t="s">
        <v>37</v>
      </c>
      <c r="L241" s="9" t="e">
        <f t="shared" ca="1" si="0"/>
        <v>#NAME?</v>
      </c>
      <c r="M241" s="9" t="e">
        <f t="shared" ca="1" si="1"/>
        <v>#NAME?</v>
      </c>
      <c r="N241" s="10" t="e">
        <f t="shared" ca="1" si="2"/>
        <v>#NAME?</v>
      </c>
      <c r="O241" s="1" t="s">
        <v>38</v>
      </c>
      <c r="P241" s="1"/>
      <c r="Q241" s="1" t="s">
        <v>521</v>
      </c>
      <c r="R241" s="1" t="s">
        <v>1144</v>
      </c>
      <c r="S241" s="1" t="s">
        <v>1145</v>
      </c>
      <c r="T241" s="1" t="s">
        <v>62</v>
      </c>
      <c r="U241" s="1" t="s">
        <v>62</v>
      </c>
      <c r="X241" s="1">
        <v>1</v>
      </c>
      <c r="Y241" s="7">
        <v>36958</v>
      </c>
      <c r="Z241" s="7">
        <v>36958</v>
      </c>
      <c r="AA241" s="1">
        <v>307</v>
      </c>
      <c r="AB241" s="1">
        <v>1</v>
      </c>
      <c r="AC241" s="1">
        <v>6</v>
      </c>
      <c r="AD241" s="1" t="s">
        <v>1146</v>
      </c>
    </row>
    <row r="242" spans="1:30" ht="13">
      <c r="A242" s="1" t="s">
        <v>1147</v>
      </c>
      <c r="B242" s="1" t="s">
        <v>34</v>
      </c>
      <c r="C242" s="1" t="s">
        <v>35</v>
      </c>
      <c r="D242" s="1"/>
      <c r="E242" s="6">
        <v>20190</v>
      </c>
      <c r="F242" s="1" t="s">
        <v>124</v>
      </c>
      <c r="G242" s="1">
        <v>1996</v>
      </c>
      <c r="H242" s="1">
        <v>16</v>
      </c>
      <c r="I242" s="7">
        <v>35186</v>
      </c>
      <c r="J242" s="7">
        <v>40699</v>
      </c>
      <c r="K242" s="8" t="s">
        <v>37</v>
      </c>
      <c r="L242" s="9" t="e">
        <f t="shared" ca="1" si="0"/>
        <v>#NAME?</v>
      </c>
      <c r="M242" s="9" t="e">
        <f t="shared" ca="1" si="1"/>
        <v>#NAME?</v>
      </c>
      <c r="N242" s="10" t="e">
        <f t="shared" ca="1" si="2"/>
        <v>#NAME?</v>
      </c>
      <c r="O242" s="1" t="s">
        <v>38</v>
      </c>
      <c r="P242" s="1"/>
      <c r="Q242" s="1" t="s">
        <v>521</v>
      </c>
      <c r="R242" s="1" t="s">
        <v>1148</v>
      </c>
      <c r="S242" s="1" t="s">
        <v>1149</v>
      </c>
      <c r="T242" s="1" t="s">
        <v>1150</v>
      </c>
      <c r="U242" s="1" t="s">
        <v>1151</v>
      </c>
      <c r="X242" s="1">
        <v>3</v>
      </c>
      <c r="Y242" s="7">
        <v>37536</v>
      </c>
      <c r="Z242" s="7">
        <v>40312</v>
      </c>
      <c r="AA242" s="1">
        <v>839</v>
      </c>
      <c r="AB242" s="1">
        <v>6</v>
      </c>
      <c r="AC242" s="1">
        <v>41</v>
      </c>
      <c r="AD242" s="1" t="s">
        <v>1152</v>
      </c>
    </row>
    <row r="243" spans="1:30" ht="13">
      <c r="A243" s="1" t="s">
        <v>1153</v>
      </c>
      <c r="B243" s="1" t="s">
        <v>394</v>
      </c>
      <c r="C243" s="1" t="s">
        <v>35</v>
      </c>
      <c r="D243" s="1"/>
      <c r="E243" s="6">
        <v>23049</v>
      </c>
      <c r="F243" s="1" t="s">
        <v>84</v>
      </c>
      <c r="G243" s="1">
        <v>1996</v>
      </c>
      <c r="H243" s="1">
        <v>16</v>
      </c>
      <c r="I243" s="7">
        <v>35186</v>
      </c>
      <c r="J243" s="7">
        <v>40009</v>
      </c>
      <c r="K243" s="8" t="s">
        <v>37</v>
      </c>
      <c r="L243" s="9" t="e">
        <f t="shared" ca="1" si="0"/>
        <v>#NAME?</v>
      </c>
      <c r="M243" s="9" t="e">
        <f t="shared" ca="1" si="1"/>
        <v>#NAME?</v>
      </c>
      <c r="N243" s="10" t="e">
        <f t="shared" ca="1" si="2"/>
        <v>#NAME?</v>
      </c>
      <c r="O243" s="1" t="s">
        <v>38</v>
      </c>
      <c r="P243" s="1"/>
      <c r="Q243" s="1" t="s">
        <v>90</v>
      </c>
      <c r="R243" s="1" t="s">
        <v>1047</v>
      </c>
      <c r="S243" s="1" t="s">
        <v>174</v>
      </c>
      <c r="T243" s="1" t="s">
        <v>62</v>
      </c>
      <c r="V243" s="1" t="s">
        <v>71</v>
      </c>
      <c r="W243" s="1" t="s">
        <v>150</v>
      </c>
      <c r="X243" s="1">
        <v>2</v>
      </c>
      <c r="Y243" s="7">
        <v>38969</v>
      </c>
      <c r="Z243" s="7">
        <v>39766</v>
      </c>
      <c r="AA243" s="1">
        <v>663</v>
      </c>
      <c r="AB243" s="1">
        <v>2</v>
      </c>
      <c r="AC243" s="1">
        <v>33</v>
      </c>
      <c r="AD243" s="1" t="s">
        <v>1154</v>
      </c>
    </row>
    <row r="244" spans="1:30" ht="13">
      <c r="A244" s="1" t="s">
        <v>1158</v>
      </c>
      <c r="B244" s="1" t="s">
        <v>34</v>
      </c>
      <c r="C244" s="1" t="s">
        <v>35</v>
      </c>
      <c r="D244" s="1"/>
      <c r="E244" s="6">
        <v>22929</v>
      </c>
      <c r="F244" s="1" t="s">
        <v>84</v>
      </c>
      <c r="G244" s="1">
        <v>1996</v>
      </c>
      <c r="H244" s="1">
        <v>16</v>
      </c>
      <c r="I244" s="7">
        <v>35186</v>
      </c>
      <c r="J244" s="20">
        <v>44039</v>
      </c>
      <c r="K244" s="8" t="s">
        <v>37</v>
      </c>
      <c r="L244" s="9" t="e">
        <f t="shared" ca="1" si="0"/>
        <v>#NAME?</v>
      </c>
      <c r="M244" s="9" t="e">
        <f t="shared" ca="1" si="1"/>
        <v>#NAME?</v>
      </c>
      <c r="N244" s="10" t="e">
        <f t="shared" ca="1" si="2"/>
        <v>#NAME?</v>
      </c>
      <c r="O244" s="1" t="s">
        <v>38</v>
      </c>
      <c r="P244" s="1"/>
      <c r="Q244" s="1" t="s">
        <v>1057</v>
      </c>
      <c r="R244" s="1" t="s">
        <v>1159</v>
      </c>
      <c r="S244" s="1" t="s">
        <v>1160</v>
      </c>
      <c r="T244" s="1" t="s">
        <v>62</v>
      </c>
      <c r="U244" s="1" t="s">
        <v>1107</v>
      </c>
      <c r="V244" s="1" t="s">
        <v>49</v>
      </c>
      <c r="W244" s="1" t="s">
        <v>50</v>
      </c>
      <c r="X244" s="1">
        <v>3</v>
      </c>
      <c r="Y244" s="7">
        <v>37354</v>
      </c>
      <c r="Z244" s="7">
        <v>40732</v>
      </c>
      <c r="AA244" s="1">
        <v>872</v>
      </c>
      <c r="AB244" s="1">
        <v>5</v>
      </c>
      <c r="AC244" s="1">
        <v>36</v>
      </c>
      <c r="AD244" s="1" t="s">
        <v>1161</v>
      </c>
    </row>
    <row r="245" spans="1:30" ht="13">
      <c r="A245" s="1" t="s">
        <v>1162</v>
      </c>
      <c r="B245" s="1" t="s">
        <v>394</v>
      </c>
      <c r="C245" s="1" t="s">
        <v>35</v>
      </c>
      <c r="D245" s="1"/>
      <c r="E245" s="6">
        <v>21955</v>
      </c>
      <c r="F245" s="1" t="s">
        <v>124</v>
      </c>
      <c r="G245" s="1">
        <v>1996</v>
      </c>
      <c r="H245" s="1">
        <v>16</v>
      </c>
      <c r="I245" s="7">
        <v>35186</v>
      </c>
      <c r="J245" s="17">
        <v>43266</v>
      </c>
      <c r="K245" s="8" t="s">
        <v>37</v>
      </c>
      <c r="L245" s="9" t="e">
        <f t="shared" ca="1" si="0"/>
        <v>#NAME?</v>
      </c>
      <c r="M245" s="9" t="e">
        <f t="shared" ca="1" si="1"/>
        <v>#NAME?</v>
      </c>
      <c r="N245" s="10" t="e">
        <f t="shared" ca="1" si="2"/>
        <v>#NAME?</v>
      </c>
      <c r="O245" s="1" t="s">
        <v>38</v>
      </c>
      <c r="P245" s="1"/>
      <c r="Q245" s="1" t="s">
        <v>1057</v>
      </c>
      <c r="R245" s="1" t="s">
        <v>1163</v>
      </c>
      <c r="S245" s="1" t="s">
        <v>1164</v>
      </c>
      <c r="T245" s="1" t="s">
        <v>1165</v>
      </c>
      <c r="U245" s="1" t="s">
        <v>434</v>
      </c>
      <c r="X245" s="1">
        <v>3</v>
      </c>
      <c r="Y245" s="7">
        <v>37412</v>
      </c>
      <c r="Z245" s="7">
        <v>42691</v>
      </c>
      <c r="AA245" s="1">
        <v>11698</v>
      </c>
      <c r="AB245" s="1">
        <v>7</v>
      </c>
      <c r="AC245" s="1">
        <v>46</v>
      </c>
      <c r="AD245" s="1" t="s">
        <v>1166</v>
      </c>
    </row>
    <row r="246" spans="1:30" ht="13">
      <c r="A246" s="1" t="s">
        <v>1167</v>
      </c>
      <c r="B246" s="1" t="s">
        <v>34</v>
      </c>
      <c r="C246" s="1" t="s">
        <v>35</v>
      </c>
      <c r="D246" s="1"/>
      <c r="E246" s="6">
        <v>21203</v>
      </c>
      <c r="F246" s="1" t="s">
        <v>36</v>
      </c>
      <c r="G246" s="1">
        <v>1996</v>
      </c>
      <c r="H246" s="1">
        <v>16</v>
      </c>
      <c r="I246" s="7">
        <v>35186</v>
      </c>
      <c r="J246" s="7">
        <f ca="1">TODAY()</f>
        <v>44606</v>
      </c>
      <c r="K246" s="8" t="s">
        <v>667</v>
      </c>
      <c r="L246" s="9" t="e">
        <f t="shared" ca="1" si="0"/>
        <v>#NAME?</v>
      </c>
      <c r="M246" s="9" t="e">
        <f t="shared" ca="1" si="1"/>
        <v>#NAME?</v>
      </c>
      <c r="N246" s="10" t="e">
        <f t="shared" ca="1" si="2"/>
        <v>#NAME?</v>
      </c>
      <c r="O246" s="1" t="s">
        <v>38</v>
      </c>
      <c r="P246" s="1"/>
      <c r="Q246" s="1" t="s">
        <v>1057</v>
      </c>
      <c r="R246" s="1" t="s">
        <v>1168</v>
      </c>
      <c r="S246" s="1" t="s">
        <v>1169</v>
      </c>
      <c r="T246" s="1" t="s">
        <v>821</v>
      </c>
      <c r="U246" s="1" t="s">
        <v>1170</v>
      </c>
      <c r="V246" s="1" t="s">
        <v>49</v>
      </c>
      <c r="W246" s="1" t="s">
        <v>490</v>
      </c>
      <c r="X246" s="1">
        <v>4</v>
      </c>
      <c r="Y246" s="7">
        <v>36665</v>
      </c>
      <c r="Z246" s="7">
        <v>42558</v>
      </c>
      <c r="AA246" s="1">
        <v>12818</v>
      </c>
      <c r="AB246" s="1">
        <v>5</v>
      </c>
      <c r="AC246" s="1">
        <v>32</v>
      </c>
      <c r="AD246" s="1" t="s">
        <v>1171</v>
      </c>
    </row>
    <row r="247" spans="1:30" ht="13">
      <c r="A247" s="1" t="s">
        <v>1175</v>
      </c>
      <c r="B247" s="1" t="s">
        <v>34</v>
      </c>
      <c r="C247" s="1" t="s">
        <v>35</v>
      </c>
      <c r="D247" s="1"/>
      <c r="E247" s="6">
        <v>21604</v>
      </c>
      <c r="F247" s="1" t="s">
        <v>84</v>
      </c>
      <c r="G247" s="1">
        <v>1998</v>
      </c>
      <c r="H247" s="1">
        <v>17</v>
      </c>
      <c r="I247" s="7">
        <v>35950</v>
      </c>
      <c r="J247" s="7">
        <v>41289</v>
      </c>
      <c r="K247" s="8" t="s">
        <v>37</v>
      </c>
      <c r="L247" s="9" t="e">
        <f t="shared" ca="1" si="0"/>
        <v>#NAME?</v>
      </c>
      <c r="M247" s="9" t="e">
        <f t="shared" ca="1" si="1"/>
        <v>#NAME?</v>
      </c>
      <c r="N247" s="10" t="e">
        <f t="shared" ca="1" si="2"/>
        <v>#NAME?</v>
      </c>
      <c r="O247" s="1" t="s">
        <v>38</v>
      </c>
      <c r="P247" s="1"/>
      <c r="Q247" s="1" t="s">
        <v>90</v>
      </c>
      <c r="R247" s="1" t="s">
        <v>1176</v>
      </c>
      <c r="S247" s="1" t="s">
        <v>1177</v>
      </c>
      <c r="T247" s="1" t="s">
        <v>158</v>
      </c>
      <c r="U247" s="1" t="s">
        <v>87</v>
      </c>
      <c r="X247" s="1">
        <v>2</v>
      </c>
      <c r="Y247" s="7">
        <v>39241</v>
      </c>
      <c r="Z247" s="7">
        <v>40273</v>
      </c>
      <c r="AA247" s="1">
        <v>4005</v>
      </c>
      <c r="AB247" s="1">
        <v>6</v>
      </c>
      <c r="AC247" s="1">
        <v>38</v>
      </c>
      <c r="AD247" s="1" t="s">
        <v>1178</v>
      </c>
    </row>
    <row r="248" spans="1:30" ht="13">
      <c r="A248" s="1" t="s">
        <v>1179</v>
      </c>
      <c r="B248" s="1" t="s">
        <v>34</v>
      </c>
      <c r="C248" s="1" t="s">
        <v>35</v>
      </c>
      <c r="D248" s="1"/>
      <c r="E248" s="6">
        <v>22153</v>
      </c>
      <c r="F248" s="1" t="s">
        <v>84</v>
      </c>
      <c r="G248" s="1">
        <v>1998</v>
      </c>
      <c r="H248" s="1">
        <v>17</v>
      </c>
      <c r="I248" s="7">
        <v>35950</v>
      </c>
      <c r="J248" s="7">
        <v>41352</v>
      </c>
      <c r="K248" s="8" t="s">
        <v>37</v>
      </c>
      <c r="L248" s="9" t="e">
        <f t="shared" ca="1" si="0"/>
        <v>#NAME?</v>
      </c>
      <c r="M248" s="9" t="e">
        <f t="shared" ca="1" si="1"/>
        <v>#NAME?</v>
      </c>
      <c r="N248" s="10" t="e">
        <f t="shared" ca="1" si="2"/>
        <v>#NAME?</v>
      </c>
      <c r="O248" s="1" t="s">
        <v>38</v>
      </c>
      <c r="P248" s="1"/>
      <c r="Q248" s="1" t="s">
        <v>90</v>
      </c>
      <c r="R248" s="1" t="s">
        <v>198</v>
      </c>
      <c r="S248" s="1" t="s">
        <v>1180</v>
      </c>
      <c r="T248" s="1" t="s">
        <v>285</v>
      </c>
      <c r="U248" s="1" t="s">
        <v>285</v>
      </c>
      <c r="V248" s="1" t="s">
        <v>49</v>
      </c>
      <c r="W248" s="1" t="s">
        <v>64</v>
      </c>
      <c r="X248" s="1">
        <v>2</v>
      </c>
      <c r="Y248" s="7">
        <v>39241</v>
      </c>
      <c r="Z248" s="7">
        <v>39887</v>
      </c>
      <c r="AA248" s="1">
        <v>639</v>
      </c>
      <c r="AB248" s="1">
        <v>0</v>
      </c>
      <c r="AC248" s="1">
        <v>0</v>
      </c>
      <c r="AD248" s="1" t="s">
        <v>1181</v>
      </c>
    </row>
    <row r="249" spans="1:30" ht="13">
      <c r="A249" s="1" t="s">
        <v>1182</v>
      </c>
      <c r="B249" s="1" t="s">
        <v>394</v>
      </c>
      <c r="C249" s="1" t="s">
        <v>35</v>
      </c>
      <c r="D249" s="1"/>
      <c r="E249" s="6">
        <v>25429</v>
      </c>
      <c r="F249" s="1" t="s">
        <v>124</v>
      </c>
      <c r="G249" s="1">
        <v>1998</v>
      </c>
      <c r="H249" s="1">
        <v>17</v>
      </c>
      <c r="I249" s="19">
        <v>35950</v>
      </c>
      <c r="J249" s="7">
        <f ca="1">TODAY()</f>
        <v>44606</v>
      </c>
      <c r="K249" s="23" t="s">
        <v>1056</v>
      </c>
      <c r="L249" s="9" t="e">
        <f t="shared" ca="1" si="0"/>
        <v>#NAME?</v>
      </c>
      <c r="M249" s="9" t="e">
        <f t="shared" ca="1" si="1"/>
        <v>#NAME?</v>
      </c>
      <c r="N249" s="10" t="e">
        <f t="shared" ca="1" si="2"/>
        <v>#NAME?</v>
      </c>
      <c r="O249" s="1" t="s">
        <v>38</v>
      </c>
      <c r="P249" s="1"/>
      <c r="Q249" s="1" t="s">
        <v>1057</v>
      </c>
      <c r="R249" s="1" t="s">
        <v>993</v>
      </c>
      <c r="S249" s="1" t="s">
        <v>1183</v>
      </c>
      <c r="T249" s="1" t="s">
        <v>170</v>
      </c>
      <c r="U249" s="1" t="s">
        <v>942</v>
      </c>
      <c r="X249" s="1">
        <v>2</v>
      </c>
      <c r="Y249" s="19">
        <v>39302</v>
      </c>
      <c r="Z249" s="19">
        <v>40270</v>
      </c>
      <c r="AA249" s="1">
        <v>4531</v>
      </c>
      <c r="AB249" s="1">
        <v>3</v>
      </c>
      <c r="AC249" s="1">
        <v>23</v>
      </c>
      <c r="AD249" s="1" t="s">
        <v>1184</v>
      </c>
    </row>
    <row r="250" spans="1:30" ht="13">
      <c r="A250" s="1" t="s">
        <v>1185</v>
      </c>
      <c r="B250" s="1" t="s">
        <v>34</v>
      </c>
      <c r="C250" s="1" t="s">
        <v>35</v>
      </c>
      <c r="D250" s="1"/>
      <c r="E250" s="6">
        <v>22864</v>
      </c>
      <c r="F250" s="1" t="s">
        <v>124</v>
      </c>
      <c r="G250" s="1">
        <v>1998</v>
      </c>
      <c r="H250" s="1">
        <v>17</v>
      </c>
      <c r="I250" s="7">
        <v>35950</v>
      </c>
      <c r="J250" s="7">
        <v>41547</v>
      </c>
      <c r="K250" s="8" t="s">
        <v>37</v>
      </c>
      <c r="L250" s="9" t="e">
        <f t="shared" ca="1" si="0"/>
        <v>#NAME?</v>
      </c>
      <c r="M250" s="9" t="e">
        <f t="shared" ca="1" si="1"/>
        <v>#NAME?</v>
      </c>
      <c r="N250" s="10" t="e">
        <f t="shared" ca="1" si="2"/>
        <v>#NAME?</v>
      </c>
      <c r="O250" s="1" t="s">
        <v>38</v>
      </c>
      <c r="P250" s="1"/>
      <c r="Q250" s="1" t="s">
        <v>1057</v>
      </c>
      <c r="R250" s="1" t="s">
        <v>1186</v>
      </c>
      <c r="S250" s="1" t="s">
        <v>1187</v>
      </c>
      <c r="T250" s="1" t="s">
        <v>139</v>
      </c>
      <c r="U250" s="1" t="s">
        <v>266</v>
      </c>
      <c r="X250" s="1">
        <v>2</v>
      </c>
      <c r="Y250" s="7">
        <v>39546</v>
      </c>
      <c r="Z250" s="7">
        <v>40679</v>
      </c>
      <c r="AA250" s="1">
        <v>4770</v>
      </c>
      <c r="AB250" s="1">
        <v>2</v>
      </c>
      <c r="AC250" s="1">
        <v>13</v>
      </c>
      <c r="AD250" s="1" t="s">
        <v>1188</v>
      </c>
    </row>
    <row r="251" spans="1:30" ht="13">
      <c r="A251" s="1" t="s">
        <v>1189</v>
      </c>
      <c r="B251" s="1" t="s">
        <v>34</v>
      </c>
      <c r="C251" s="1" t="s">
        <v>35</v>
      </c>
      <c r="D251" s="1"/>
      <c r="E251" s="6">
        <v>21869</v>
      </c>
      <c r="F251" s="1" t="s">
        <v>84</v>
      </c>
      <c r="G251" s="1">
        <v>1998</v>
      </c>
      <c r="H251" s="1">
        <v>17</v>
      </c>
      <c r="I251" s="7">
        <v>35950</v>
      </c>
      <c r="J251" s="7">
        <f ca="1">TODAY()</f>
        <v>44606</v>
      </c>
      <c r="K251" s="8" t="s">
        <v>667</v>
      </c>
      <c r="L251" s="9" t="e">
        <f t="shared" ca="1" si="0"/>
        <v>#NAME?</v>
      </c>
      <c r="M251" s="9" t="e">
        <f t="shared" ca="1" si="1"/>
        <v>#NAME?</v>
      </c>
      <c r="N251" s="10" t="e">
        <f t="shared" ca="1" si="2"/>
        <v>#NAME?</v>
      </c>
      <c r="O251" s="1" t="s">
        <v>38</v>
      </c>
      <c r="P251" s="1"/>
      <c r="Q251" s="1" t="s">
        <v>521</v>
      </c>
      <c r="R251" s="1" t="s">
        <v>1190</v>
      </c>
      <c r="S251" s="1" t="s">
        <v>1191</v>
      </c>
      <c r="T251" s="1" t="s">
        <v>170</v>
      </c>
      <c r="U251" s="1" t="s">
        <v>158</v>
      </c>
      <c r="V251" s="1" t="s">
        <v>49</v>
      </c>
      <c r="W251" s="1" t="s">
        <v>490</v>
      </c>
      <c r="X251" s="1">
        <v>1</v>
      </c>
      <c r="Y251" s="7">
        <v>40168</v>
      </c>
      <c r="Z251" s="7">
        <v>40168</v>
      </c>
      <c r="AA251" s="1">
        <v>3917</v>
      </c>
      <c r="AB251" s="1">
        <v>0</v>
      </c>
      <c r="AC251" s="1">
        <v>0</v>
      </c>
      <c r="AD251" s="1" t="s">
        <v>1192</v>
      </c>
    </row>
    <row r="252" spans="1:30" ht="13">
      <c r="A252" s="1" t="s">
        <v>1193</v>
      </c>
      <c r="B252" s="1" t="s">
        <v>34</v>
      </c>
      <c r="C252" s="1" t="s">
        <v>35</v>
      </c>
      <c r="D252" s="1"/>
      <c r="E252" s="6">
        <v>22525</v>
      </c>
      <c r="F252" s="1" t="s">
        <v>84</v>
      </c>
      <c r="G252" s="1">
        <v>1998</v>
      </c>
      <c r="H252" s="1">
        <v>17</v>
      </c>
      <c r="I252" s="7">
        <v>35950</v>
      </c>
      <c r="J252" s="7">
        <v>40886</v>
      </c>
      <c r="K252" s="8" t="s">
        <v>37</v>
      </c>
      <c r="L252" s="9" t="e">
        <f t="shared" ca="1" si="0"/>
        <v>#NAME?</v>
      </c>
      <c r="M252" s="9" t="e">
        <f t="shared" ca="1" si="1"/>
        <v>#NAME?</v>
      </c>
      <c r="N252" s="10" t="e">
        <f t="shared" ca="1" si="2"/>
        <v>#NAME?</v>
      </c>
      <c r="O252" s="1" t="s">
        <v>38</v>
      </c>
      <c r="P252" s="1"/>
      <c r="Q252" s="1" t="s">
        <v>90</v>
      </c>
      <c r="R252" s="1" t="s">
        <v>95</v>
      </c>
      <c r="S252" s="1" t="s">
        <v>1194</v>
      </c>
      <c r="T252" s="1" t="s">
        <v>62</v>
      </c>
      <c r="U252" s="1" t="s">
        <v>42</v>
      </c>
      <c r="V252" s="1" t="s">
        <v>71</v>
      </c>
      <c r="W252" s="1" t="s">
        <v>44</v>
      </c>
      <c r="X252" s="1">
        <v>3</v>
      </c>
      <c r="Y252" s="7">
        <v>38969</v>
      </c>
      <c r="Z252" s="7">
        <v>40732</v>
      </c>
      <c r="AA252" s="1">
        <v>970</v>
      </c>
      <c r="AB252" s="1">
        <v>0</v>
      </c>
      <c r="AC252" s="1">
        <v>0</v>
      </c>
      <c r="AD252" s="1" t="s">
        <v>1195</v>
      </c>
    </row>
    <row r="253" spans="1:30" ht="13">
      <c r="A253" s="1" t="s">
        <v>1196</v>
      </c>
      <c r="B253" s="1" t="s">
        <v>34</v>
      </c>
      <c r="C253" s="1" t="s">
        <v>35</v>
      </c>
      <c r="D253" s="1"/>
      <c r="E253" s="6">
        <v>20908</v>
      </c>
      <c r="F253" s="1" t="s">
        <v>84</v>
      </c>
      <c r="G253" s="1">
        <v>1998</v>
      </c>
      <c r="H253" s="1">
        <v>17</v>
      </c>
      <c r="I253" s="7">
        <v>35950</v>
      </c>
      <c r="J253" s="7">
        <v>42216</v>
      </c>
      <c r="K253" s="8" t="s">
        <v>37</v>
      </c>
      <c r="L253" s="9" t="e">
        <f t="shared" ca="1" si="0"/>
        <v>#NAME?</v>
      </c>
      <c r="M253" s="9" t="e">
        <f t="shared" ca="1" si="1"/>
        <v>#NAME?</v>
      </c>
      <c r="N253" s="10" t="e">
        <f t="shared" ca="1" si="2"/>
        <v>#NAME?</v>
      </c>
      <c r="O253" s="1" t="s">
        <v>38</v>
      </c>
      <c r="P253" s="1"/>
      <c r="Q253" s="1" t="s">
        <v>521</v>
      </c>
      <c r="R253" s="1" t="s">
        <v>162</v>
      </c>
      <c r="S253" s="1" t="s">
        <v>565</v>
      </c>
      <c r="T253" s="1" t="s">
        <v>87</v>
      </c>
      <c r="U253" s="1" t="s">
        <v>42</v>
      </c>
      <c r="V253" s="1" t="s">
        <v>71</v>
      </c>
      <c r="W253" s="1" t="s">
        <v>44</v>
      </c>
      <c r="X253" s="1">
        <v>2</v>
      </c>
      <c r="Y253" s="7">
        <v>39518</v>
      </c>
      <c r="Z253" s="7">
        <v>40133</v>
      </c>
      <c r="AA253" s="1">
        <v>637</v>
      </c>
      <c r="AB253" s="1">
        <v>5</v>
      </c>
      <c r="AC253" s="1">
        <v>32</v>
      </c>
      <c r="AD253" s="1" t="s">
        <v>1197</v>
      </c>
    </row>
    <row r="254" spans="1:30" ht="13">
      <c r="A254" s="1" t="s">
        <v>1198</v>
      </c>
      <c r="B254" s="1" t="s">
        <v>34</v>
      </c>
      <c r="C254" s="1" t="s">
        <v>35</v>
      </c>
      <c r="D254" s="1"/>
      <c r="E254" s="6">
        <v>21173</v>
      </c>
      <c r="F254" s="1" t="s">
        <v>84</v>
      </c>
      <c r="G254" s="1">
        <v>1998</v>
      </c>
      <c r="H254" s="1">
        <v>17</v>
      </c>
      <c r="I254" s="7">
        <v>35950</v>
      </c>
      <c r="J254" s="17">
        <v>42742</v>
      </c>
      <c r="K254" s="8" t="s">
        <v>37</v>
      </c>
      <c r="L254" s="9" t="e">
        <f t="shared" ca="1" si="0"/>
        <v>#NAME?</v>
      </c>
      <c r="M254" s="9" t="e">
        <f t="shared" ca="1" si="1"/>
        <v>#NAME?</v>
      </c>
      <c r="N254" s="10" t="e">
        <f t="shared" ca="1" si="2"/>
        <v>#NAME?</v>
      </c>
      <c r="O254" s="1" t="s">
        <v>38</v>
      </c>
      <c r="P254" s="1"/>
      <c r="Q254" s="1" t="s">
        <v>1057</v>
      </c>
      <c r="R254" s="1" t="s">
        <v>1199</v>
      </c>
      <c r="S254" s="1" t="s">
        <v>1200</v>
      </c>
      <c r="T254" s="1" t="s">
        <v>62</v>
      </c>
      <c r="U254" s="1" t="s">
        <v>1201</v>
      </c>
      <c r="W254" s="1" t="s">
        <v>134</v>
      </c>
      <c r="X254" s="1">
        <v>3</v>
      </c>
      <c r="Y254" s="7">
        <v>38902</v>
      </c>
      <c r="Z254" s="7">
        <v>40701</v>
      </c>
      <c r="AA254" s="1">
        <v>4651</v>
      </c>
      <c r="AB254" s="1">
        <v>7</v>
      </c>
      <c r="AC254" s="1">
        <v>48</v>
      </c>
      <c r="AD254" s="1" t="s">
        <v>1202</v>
      </c>
    </row>
    <row r="255" spans="1:30" ht="13">
      <c r="A255" s="1" t="s">
        <v>1203</v>
      </c>
      <c r="B255" s="1" t="s">
        <v>34</v>
      </c>
      <c r="C255" s="1" t="s">
        <v>35</v>
      </c>
      <c r="D255" s="1"/>
      <c r="E255" s="6">
        <v>23723</v>
      </c>
      <c r="F255" s="1" t="s">
        <v>84</v>
      </c>
      <c r="G255" s="1">
        <v>1998</v>
      </c>
      <c r="H255" s="1">
        <v>17</v>
      </c>
      <c r="I255" s="7">
        <v>35950</v>
      </c>
      <c r="J255" s="7">
        <v>41060</v>
      </c>
      <c r="K255" s="8" t="s">
        <v>37</v>
      </c>
      <c r="L255" s="9" t="e">
        <f t="shared" ca="1" si="0"/>
        <v>#NAME?</v>
      </c>
      <c r="M255" s="9" t="e">
        <f t="shared" ca="1" si="1"/>
        <v>#NAME?</v>
      </c>
      <c r="N255" s="10" t="e">
        <f t="shared" ca="1" si="2"/>
        <v>#NAME?</v>
      </c>
      <c r="O255" s="1" t="s">
        <v>38</v>
      </c>
      <c r="P255" s="1"/>
      <c r="Q255" s="1" t="s">
        <v>90</v>
      </c>
      <c r="R255" s="1" t="s">
        <v>1204</v>
      </c>
      <c r="S255" s="1" t="s">
        <v>565</v>
      </c>
      <c r="T255" s="1" t="s">
        <v>87</v>
      </c>
      <c r="U255" s="1" t="s">
        <v>42</v>
      </c>
      <c r="V255" s="1" t="s">
        <v>71</v>
      </c>
      <c r="W255" s="1" t="s">
        <v>150</v>
      </c>
      <c r="X255" s="1">
        <v>2</v>
      </c>
      <c r="Y255" s="7">
        <v>39599</v>
      </c>
      <c r="Z255" s="7">
        <v>40312</v>
      </c>
      <c r="AA255" s="1">
        <v>612</v>
      </c>
      <c r="AB255" s="1">
        <v>0</v>
      </c>
      <c r="AC255" s="1">
        <v>0</v>
      </c>
      <c r="AD255" s="1" t="s">
        <v>1205</v>
      </c>
    </row>
    <row r="256" spans="1:30" ht="13">
      <c r="A256" s="1" t="s">
        <v>1206</v>
      </c>
      <c r="B256" s="1" t="s">
        <v>34</v>
      </c>
      <c r="C256" s="1" t="s">
        <v>35</v>
      </c>
      <c r="D256" s="1"/>
      <c r="E256" s="6">
        <v>19935</v>
      </c>
      <c r="F256" s="1" t="s">
        <v>36</v>
      </c>
      <c r="G256" s="1">
        <v>1998</v>
      </c>
      <c r="H256" s="1">
        <v>17</v>
      </c>
      <c r="I256" s="7">
        <v>35950</v>
      </c>
      <c r="J256" s="20">
        <v>43321</v>
      </c>
      <c r="K256" s="8" t="s">
        <v>37</v>
      </c>
      <c r="L256" s="9" t="e">
        <f t="shared" ca="1" si="0"/>
        <v>#NAME?</v>
      </c>
      <c r="M256" s="9" t="e">
        <f t="shared" ca="1" si="1"/>
        <v>#NAME?</v>
      </c>
      <c r="N256" s="10" t="e">
        <f t="shared" ca="1" si="2"/>
        <v>#NAME?</v>
      </c>
      <c r="O256" s="1" t="s">
        <v>38</v>
      </c>
      <c r="P256" s="1"/>
      <c r="Q256" s="1" t="s">
        <v>521</v>
      </c>
      <c r="R256" s="1" t="s">
        <v>168</v>
      </c>
      <c r="S256" s="1" t="s">
        <v>169</v>
      </c>
      <c r="T256" s="1" t="s">
        <v>87</v>
      </c>
      <c r="V256" s="1" t="s">
        <v>71</v>
      </c>
      <c r="W256" s="1" t="s">
        <v>44</v>
      </c>
      <c r="X256" s="1">
        <v>1</v>
      </c>
      <c r="Y256" s="7">
        <v>39944</v>
      </c>
      <c r="Z256" s="7">
        <v>39944</v>
      </c>
      <c r="AA256" s="1">
        <v>309</v>
      </c>
      <c r="AB256" s="1">
        <v>0</v>
      </c>
      <c r="AC256" s="1">
        <v>0</v>
      </c>
      <c r="AD256" s="1" t="s">
        <v>1207</v>
      </c>
    </row>
    <row r="257" spans="1:33" ht="13">
      <c r="A257" s="1" t="s">
        <v>1208</v>
      </c>
      <c r="B257" s="1" t="s">
        <v>34</v>
      </c>
      <c r="C257" s="1" t="s">
        <v>35</v>
      </c>
      <c r="D257" s="1"/>
      <c r="E257" s="6">
        <v>22778</v>
      </c>
      <c r="F257" s="1" t="s">
        <v>84</v>
      </c>
      <c r="G257" s="1">
        <v>1998</v>
      </c>
      <c r="H257" s="1">
        <v>17</v>
      </c>
      <c r="I257" s="7">
        <v>35950</v>
      </c>
      <c r="J257" s="7">
        <v>41512</v>
      </c>
      <c r="K257" s="8" t="s">
        <v>37</v>
      </c>
      <c r="L257" s="9" t="e">
        <f t="shared" ca="1" si="0"/>
        <v>#NAME?</v>
      </c>
      <c r="M257" s="9" t="e">
        <f t="shared" ca="1" si="1"/>
        <v>#NAME?</v>
      </c>
      <c r="N257" s="10" t="e">
        <f t="shared" ca="1" si="2"/>
        <v>#NAME?</v>
      </c>
      <c r="O257" s="1" t="s">
        <v>38</v>
      </c>
      <c r="P257" s="1"/>
      <c r="Q257" s="1" t="s">
        <v>1057</v>
      </c>
      <c r="R257" s="1" t="s">
        <v>1209</v>
      </c>
      <c r="S257" s="1" t="s">
        <v>1210</v>
      </c>
      <c r="T257" s="1" t="s">
        <v>42</v>
      </c>
      <c r="U257" s="1" t="s">
        <v>1211</v>
      </c>
      <c r="V257" s="1" t="s">
        <v>49</v>
      </c>
      <c r="W257" s="1" t="s">
        <v>50</v>
      </c>
      <c r="X257" s="1">
        <v>2</v>
      </c>
      <c r="Y257" s="7">
        <v>39518</v>
      </c>
      <c r="Z257" s="7">
        <v>40679</v>
      </c>
      <c r="AA257" s="1">
        <v>755</v>
      </c>
      <c r="AB257" s="1">
        <v>0</v>
      </c>
      <c r="AC257" s="1">
        <v>0</v>
      </c>
      <c r="AD257" s="1" t="s">
        <v>1212</v>
      </c>
    </row>
    <row r="258" spans="1:33" ht="13">
      <c r="A258" s="1" t="s">
        <v>1213</v>
      </c>
      <c r="B258" s="1" t="s">
        <v>34</v>
      </c>
      <c r="C258" s="1" t="s">
        <v>35</v>
      </c>
      <c r="D258" s="1"/>
      <c r="E258" s="6">
        <v>23901</v>
      </c>
      <c r="F258" s="1" t="s">
        <v>124</v>
      </c>
      <c r="G258" s="1">
        <v>1998</v>
      </c>
      <c r="H258" s="1">
        <v>17</v>
      </c>
      <c r="I258" s="7">
        <v>35950</v>
      </c>
      <c r="J258" s="7">
        <f ca="1">TODAY()</f>
        <v>44606</v>
      </c>
      <c r="K258" s="8" t="s">
        <v>667</v>
      </c>
      <c r="L258" s="9" t="e">
        <f t="shared" ca="1" si="0"/>
        <v>#NAME?</v>
      </c>
      <c r="M258" s="9" t="e">
        <f t="shared" ca="1" si="1"/>
        <v>#NAME?</v>
      </c>
      <c r="N258" s="10" t="e">
        <f t="shared" ca="1" si="2"/>
        <v>#NAME?</v>
      </c>
      <c r="O258" s="1" t="s">
        <v>38</v>
      </c>
      <c r="P258" s="1"/>
      <c r="Q258" s="1" t="s">
        <v>521</v>
      </c>
      <c r="R258" s="1" t="s">
        <v>643</v>
      </c>
      <c r="S258" s="1" t="s">
        <v>456</v>
      </c>
      <c r="T258" s="1" t="s">
        <v>158</v>
      </c>
      <c r="U258" s="1" t="s">
        <v>305</v>
      </c>
      <c r="X258" s="1">
        <v>1</v>
      </c>
      <c r="Y258" s="7">
        <v>39485</v>
      </c>
      <c r="Z258" s="7">
        <v>39485</v>
      </c>
      <c r="AA258" s="1">
        <v>306</v>
      </c>
      <c r="AB258" s="1">
        <v>2</v>
      </c>
      <c r="AC258" s="1">
        <v>15</v>
      </c>
      <c r="AD258" s="1" t="s">
        <v>1214</v>
      </c>
    </row>
    <row r="259" spans="1:33" ht="13">
      <c r="A259" s="1" t="s">
        <v>1220</v>
      </c>
      <c r="B259" s="1" t="s">
        <v>394</v>
      </c>
      <c r="C259" s="1" t="s">
        <v>35</v>
      </c>
      <c r="D259" s="1"/>
      <c r="E259" s="6">
        <v>18960</v>
      </c>
      <c r="F259" s="1" t="s">
        <v>36</v>
      </c>
      <c r="G259" s="1">
        <v>1998</v>
      </c>
      <c r="H259" s="1">
        <v>17</v>
      </c>
      <c r="I259" s="7">
        <v>35950</v>
      </c>
      <c r="J259" s="7">
        <v>39675</v>
      </c>
      <c r="K259" s="8" t="s">
        <v>37</v>
      </c>
      <c r="L259" s="9" t="e">
        <f t="shared" ca="1" si="0"/>
        <v>#NAME?</v>
      </c>
      <c r="M259" s="9" t="e">
        <f t="shared" ca="1" si="1"/>
        <v>#NAME?</v>
      </c>
      <c r="N259" s="10" t="e">
        <f t="shared" ca="1" si="2"/>
        <v>#NAME?</v>
      </c>
      <c r="O259" s="1" t="s">
        <v>38</v>
      </c>
      <c r="P259" s="1"/>
      <c r="Q259" s="1" t="s">
        <v>90</v>
      </c>
      <c r="R259" s="1" t="s">
        <v>504</v>
      </c>
      <c r="S259" s="1" t="s">
        <v>469</v>
      </c>
      <c r="T259" s="1" t="s">
        <v>1221</v>
      </c>
      <c r="X259" s="1">
        <v>1</v>
      </c>
      <c r="Y259" s="7">
        <v>39302</v>
      </c>
      <c r="Z259" s="7">
        <v>39302</v>
      </c>
      <c r="AA259" s="1">
        <v>305</v>
      </c>
      <c r="AB259" s="1">
        <v>0</v>
      </c>
      <c r="AC259" s="1">
        <v>0</v>
      </c>
      <c r="AD259" s="1" t="s">
        <v>1222</v>
      </c>
    </row>
    <row r="260" spans="1:33" ht="13">
      <c r="A260" s="1" t="s">
        <v>1223</v>
      </c>
      <c r="B260" s="1" t="s">
        <v>34</v>
      </c>
      <c r="C260" s="1" t="s">
        <v>35</v>
      </c>
      <c r="D260" s="1"/>
      <c r="E260" s="6">
        <v>23830</v>
      </c>
      <c r="F260" s="1" t="s">
        <v>84</v>
      </c>
      <c r="G260" s="1">
        <v>1998</v>
      </c>
      <c r="H260" s="1">
        <v>17</v>
      </c>
      <c r="I260" s="7">
        <v>35950</v>
      </c>
      <c r="J260" s="17">
        <v>39225</v>
      </c>
      <c r="K260" s="8" t="s">
        <v>1127</v>
      </c>
      <c r="L260" s="9" t="e">
        <f t="shared" ca="1" si="0"/>
        <v>#NAME?</v>
      </c>
      <c r="M260" s="9" t="e">
        <f t="shared" ca="1" si="1"/>
        <v>#NAME?</v>
      </c>
      <c r="N260" s="10" t="e">
        <f t="shared" ca="1" si="2"/>
        <v>#NAME?</v>
      </c>
      <c r="O260" s="1" t="s">
        <v>38</v>
      </c>
      <c r="P260" s="1"/>
      <c r="Q260" s="1" t="s">
        <v>90</v>
      </c>
      <c r="R260" s="1" t="s">
        <v>1134</v>
      </c>
      <c r="S260" s="1" t="s">
        <v>1224</v>
      </c>
      <c r="T260" s="1" t="s">
        <v>139</v>
      </c>
      <c r="U260" s="1" t="s">
        <v>955</v>
      </c>
      <c r="V260" s="1" t="s">
        <v>43</v>
      </c>
      <c r="W260" s="1" t="s">
        <v>44</v>
      </c>
      <c r="X260" s="1">
        <v>1</v>
      </c>
      <c r="Y260" s="7">
        <v>39060</v>
      </c>
      <c r="Z260" s="7">
        <v>39060</v>
      </c>
      <c r="AA260" s="1">
        <v>308</v>
      </c>
      <c r="AB260" s="1">
        <v>0</v>
      </c>
      <c r="AC260" s="1">
        <v>0</v>
      </c>
      <c r="AD260" s="1" t="s">
        <v>1076</v>
      </c>
    </row>
    <row r="261" spans="1:33" ht="13">
      <c r="A261" s="1" t="s">
        <v>1230</v>
      </c>
      <c r="B261" s="1" t="s">
        <v>34</v>
      </c>
      <c r="C261" s="1" t="s">
        <v>35</v>
      </c>
      <c r="D261" s="1"/>
      <c r="E261" s="6">
        <v>23458</v>
      </c>
      <c r="F261" s="1" t="s">
        <v>124</v>
      </c>
      <c r="G261" s="1">
        <v>1998</v>
      </c>
      <c r="H261" s="1">
        <v>17</v>
      </c>
      <c r="I261" s="7">
        <v>35950</v>
      </c>
      <c r="J261" s="7">
        <v>41060</v>
      </c>
      <c r="K261" s="8" t="s">
        <v>37</v>
      </c>
      <c r="L261" s="9" t="e">
        <f t="shared" ca="1" si="0"/>
        <v>#NAME?</v>
      </c>
      <c r="M261" s="9" t="e">
        <f t="shared" ca="1" si="1"/>
        <v>#NAME?</v>
      </c>
      <c r="N261" s="10" t="e">
        <f t="shared" ca="1" si="2"/>
        <v>#NAME?</v>
      </c>
      <c r="O261" s="1" t="s">
        <v>38</v>
      </c>
      <c r="P261" s="1"/>
      <c r="Q261" s="1" t="s">
        <v>90</v>
      </c>
      <c r="R261" s="1" t="s">
        <v>1231</v>
      </c>
      <c r="S261" s="1" t="s">
        <v>1232</v>
      </c>
      <c r="T261" s="1" t="s">
        <v>55</v>
      </c>
      <c r="U261" s="1" t="s">
        <v>1233</v>
      </c>
      <c r="X261" s="1">
        <v>2</v>
      </c>
      <c r="Y261" s="7">
        <v>39060</v>
      </c>
      <c r="Z261" s="7">
        <v>40217</v>
      </c>
      <c r="AA261" s="1">
        <v>638</v>
      </c>
      <c r="AB261" s="1">
        <v>3</v>
      </c>
      <c r="AC261" s="1">
        <v>18</v>
      </c>
      <c r="AD261" s="1" t="s">
        <v>1234</v>
      </c>
    </row>
    <row r="262" spans="1:33" ht="13">
      <c r="A262" s="1" t="s">
        <v>1235</v>
      </c>
      <c r="B262" s="1" t="s">
        <v>34</v>
      </c>
      <c r="C262" s="1" t="s">
        <v>35</v>
      </c>
      <c r="D262" s="1"/>
      <c r="E262" s="6">
        <v>22590</v>
      </c>
      <c r="F262" s="1" t="s">
        <v>84</v>
      </c>
      <c r="G262" s="1">
        <v>1998</v>
      </c>
      <c r="H262" s="1">
        <v>17</v>
      </c>
      <c r="I262" s="7">
        <v>35950</v>
      </c>
      <c r="J262" s="7">
        <v>40527</v>
      </c>
      <c r="K262" s="8" t="s">
        <v>37</v>
      </c>
      <c r="L262" s="9" t="e">
        <f t="shared" ca="1" si="0"/>
        <v>#NAME?</v>
      </c>
      <c r="M262" s="9" t="e">
        <f t="shared" ca="1" si="1"/>
        <v>#NAME?</v>
      </c>
      <c r="N262" s="10" t="e">
        <f t="shared" ca="1" si="2"/>
        <v>#NAME?</v>
      </c>
      <c r="O262" s="1" t="s">
        <v>38</v>
      </c>
      <c r="P262" s="1"/>
      <c r="Q262" s="1" t="s">
        <v>39</v>
      </c>
      <c r="R262" s="1" t="s">
        <v>1236</v>
      </c>
      <c r="S262" s="1" t="s">
        <v>1237</v>
      </c>
      <c r="T262" s="1" t="s">
        <v>87</v>
      </c>
      <c r="U262" s="1" t="s">
        <v>42</v>
      </c>
      <c r="V262" s="1" t="s">
        <v>71</v>
      </c>
      <c r="W262" s="1" t="s">
        <v>150</v>
      </c>
      <c r="X262" s="1">
        <v>2</v>
      </c>
      <c r="Y262" s="7">
        <v>39485</v>
      </c>
      <c r="Z262" s="7">
        <v>40273</v>
      </c>
      <c r="AA262" s="1">
        <v>669</v>
      </c>
      <c r="AB262" s="1">
        <v>0</v>
      </c>
      <c r="AC262" s="1">
        <v>0</v>
      </c>
      <c r="AD262" s="1" t="s">
        <v>1238</v>
      </c>
      <c r="AE262" s="6">
        <v>41091</v>
      </c>
    </row>
    <row r="263" spans="1:33" ht="13">
      <c r="A263" s="1" t="s">
        <v>1239</v>
      </c>
      <c r="B263" s="1" t="s">
        <v>34</v>
      </c>
      <c r="C263" s="1" t="s">
        <v>35</v>
      </c>
      <c r="D263" s="1"/>
      <c r="E263" s="6">
        <v>24878</v>
      </c>
      <c r="F263" s="1" t="s">
        <v>124</v>
      </c>
      <c r="G263" s="1">
        <v>1998</v>
      </c>
      <c r="H263" s="1">
        <v>17</v>
      </c>
      <c r="I263" s="7">
        <v>35950</v>
      </c>
      <c r="J263" s="7">
        <v>40617</v>
      </c>
      <c r="K263" s="8" t="s">
        <v>37</v>
      </c>
      <c r="L263" s="9" t="e">
        <f t="shared" ca="1" si="0"/>
        <v>#NAME?</v>
      </c>
      <c r="M263" s="9" t="e">
        <f t="shared" ca="1" si="1"/>
        <v>#NAME?</v>
      </c>
      <c r="N263" s="10" t="e">
        <f t="shared" ca="1" si="2"/>
        <v>#NAME?</v>
      </c>
      <c r="O263" s="1" t="s">
        <v>38</v>
      </c>
      <c r="P263" s="1"/>
      <c r="Q263" s="1" t="s">
        <v>90</v>
      </c>
      <c r="R263" s="1" t="s">
        <v>1240</v>
      </c>
      <c r="S263" s="1" t="s">
        <v>1241</v>
      </c>
      <c r="T263" s="1" t="s">
        <v>1242</v>
      </c>
      <c r="U263" s="1" t="s">
        <v>452</v>
      </c>
      <c r="X263" s="1">
        <v>2</v>
      </c>
      <c r="Y263" s="7">
        <v>39518</v>
      </c>
      <c r="Z263" s="7">
        <v>40312</v>
      </c>
      <c r="AA263" s="1">
        <v>2571</v>
      </c>
      <c r="AB263" s="1">
        <v>3</v>
      </c>
      <c r="AC263" s="1">
        <v>21</v>
      </c>
      <c r="AD263" s="1" t="s">
        <v>1243</v>
      </c>
    </row>
    <row r="264" spans="1:33" ht="13">
      <c r="A264" s="1" t="s">
        <v>1244</v>
      </c>
      <c r="B264" s="1" t="s">
        <v>394</v>
      </c>
      <c r="C264" s="1" t="s">
        <v>35</v>
      </c>
      <c r="D264" s="1"/>
      <c r="E264" s="6">
        <v>23082</v>
      </c>
      <c r="F264" s="1" t="s">
        <v>124</v>
      </c>
      <c r="G264" s="1">
        <v>1998</v>
      </c>
      <c r="H264" s="1">
        <v>17</v>
      </c>
      <c r="I264" s="7">
        <v>35950</v>
      </c>
      <c r="J264" s="14">
        <v>37035</v>
      </c>
      <c r="K264" s="13" t="s">
        <v>59</v>
      </c>
      <c r="L264" s="9" t="e">
        <f t="shared" ca="1" si="0"/>
        <v>#NAME?</v>
      </c>
      <c r="M264" s="9" t="str">
        <f t="shared" si="1"/>
        <v>N/A</v>
      </c>
      <c r="N264" s="10" t="str">
        <f t="shared" si="2"/>
        <v>N/A</v>
      </c>
      <c r="O264" s="1" t="s">
        <v>38</v>
      </c>
      <c r="P264" s="1"/>
      <c r="Q264" s="1" t="s">
        <v>39</v>
      </c>
      <c r="R264" s="1" t="s">
        <v>1245</v>
      </c>
      <c r="S264" s="1" t="s">
        <v>1246</v>
      </c>
      <c r="T264" s="1" t="s">
        <v>810</v>
      </c>
      <c r="U264" s="1" t="s">
        <v>201</v>
      </c>
      <c r="X264" s="1">
        <v>0</v>
      </c>
      <c r="Y264" s="7"/>
      <c r="Z264" s="7"/>
      <c r="AA264" s="1">
        <v>0</v>
      </c>
      <c r="AB264" s="1">
        <v>0</v>
      </c>
      <c r="AC264" s="1">
        <v>0</v>
      </c>
      <c r="AE264" s="6">
        <v>37035</v>
      </c>
      <c r="AG264" s="1" t="s">
        <v>183</v>
      </c>
    </row>
    <row r="265" spans="1:33" ht="13">
      <c r="A265" s="1" t="s">
        <v>1247</v>
      </c>
      <c r="B265" s="1" t="s">
        <v>34</v>
      </c>
      <c r="C265" s="1" t="s">
        <v>35</v>
      </c>
      <c r="D265" s="1"/>
      <c r="E265" s="6">
        <v>22253</v>
      </c>
      <c r="F265" s="1" t="s">
        <v>124</v>
      </c>
      <c r="G265" s="1">
        <v>1998</v>
      </c>
      <c r="H265" s="1">
        <v>17</v>
      </c>
      <c r="I265" s="7">
        <v>35950</v>
      </c>
      <c r="J265" s="7">
        <v>42246</v>
      </c>
      <c r="K265" s="8" t="s">
        <v>37</v>
      </c>
      <c r="L265" s="9" t="e">
        <f t="shared" ca="1" si="0"/>
        <v>#NAME?</v>
      </c>
      <c r="M265" s="9" t="e">
        <f t="shared" ca="1" si="1"/>
        <v>#NAME?</v>
      </c>
      <c r="N265" s="10" t="e">
        <f t="shared" ca="1" si="2"/>
        <v>#NAME?</v>
      </c>
      <c r="O265" s="1" t="s">
        <v>38</v>
      </c>
      <c r="P265" s="1"/>
      <c r="Q265" s="1" t="s">
        <v>1057</v>
      </c>
      <c r="R265" s="1" t="s">
        <v>1248</v>
      </c>
      <c r="S265" s="1" t="s">
        <v>1249</v>
      </c>
      <c r="T265" s="1" t="s">
        <v>400</v>
      </c>
      <c r="U265" s="1" t="s">
        <v>1250</v>
      </c>
      <c r="X265" s="1">
        <v>3</v>
      </c>
      <c r="Y265" s="7">
        <v>39241</v>
      </c>
      <c r="Z265" s="7">
        <v>41723</v>
      </c>
      <c r="AA265" s="1">
        <v>4700</v>
      </c>
      <c r="AB265" s="1">
        <v>5</v>
      </c>
      <c r="AC265" s="1">
        <v>28</v>
      </c>
      <c r="AD265" s="1" t="s">
        <v>1251</v>
      </c>
    </row>
    <row r="266" spans="1:33" ht="13">
      <c r="A266" s="1" t="s">
        <v>1252</v>
      </c>
      <c r="B266" s="1" t="s">
        <v>34</v>
      </c>
      <c r="C266" s="1" t="s">
        <v>35</v>
      </c>
      <c r="D266" s="1"/>
      <c r="E266" s="6">
        <v>22041</v>
      </c>
      <c r="F266" s="1" t="s">
        <v>84</v>
      </c>
      <c r="G266" s="1">
        <v>1998</v>
      </c>
      <c r="H266" s="1">
        <v>17</v>
      </c>
      <c r="I266" s="7">
        <v>35950</v>
      </c>
      <c r="J266" s="7">
        <f ca="1">TODAY()</f>
        <v>44606</v>
      </c>
      <c r="K266" s="8" t="s">
        <v>1056</v>
      </c>
      <c r="L266" s="9" t="e">
        <f t="shared" ca="1" si="0"/>
        <v>#NAME?</v>
      </c>
      <c r="M266" s="9" t="e">
        <f t="shared" ca="1" si="1"/>
        <v>#NAME?</v>
      </c>
      <c r="N266" s="10" t="e">
        <f t="shared" ca="1" si="2"/>
        <v>#NAME?</v>
      </c>
      <c r="O266" s="1" t="s">
        <v>38</v>
      </c>
      <c r="P266" s="1"/>
      <c r="Q266" s="1" t="s">
        <v>1057</v>
      </c>
      <c r="R266" s="1" t="s">
        <v>1253</v>
      </c>
      <c r="S266" s="1" t="s">
        <v>779</v>
      </c>
      <c r="T266" s="1" t="s">
        <v>821</v>
      </c>
      <c r="U266" s="1" t="s">
        <v>87</v>
      </c>
      <c r="V266" s="1" t="s">
        <v>49</v>
      </c>
      <c r="W266" s="1" t="s">
        <v>674</v>
      </c>
      <c r="X266" s="1">
        <v>2</v>
      </c>
      <c r="Y266" s="7">
        <v>39378</v>
      </c>
      <c r="Z266" s="7">
        <v>40344</v>
      </c>
      <c r="AA266" s="1">
        <v>4281</v>
      </c>
      <c r="AB266" s="1">
        <v>6</v>
      </c>
      <c r="AC266" s="1">
        <v>43</v>
      </c>
      <c r="AD266" s="1" t="s">
        <v>1254</v>
      </c>
    </row>
    <row r="267" spans="1:33" ht="13">
      <c r="A267" s="1" t="s">
        <v>1259</v>
      </c>
      <c r="B267" s="1" t="s">
        <v>34</v>
      </c>
      <c r="C267" s="1" t="s">
        <v>35</v>
      </c>
      <c r="D267" s="1"/>
      <c r="E267" s="6">
        <v>22853</v>
      </c>
      <c r="F267" s="1" t="s">
        <v>84</v>
      </c>
      <c r="G267" s="1">
        <v>1998</v>
      </c>
      <c r="H267" s="1">
        <v>17</v>
      </c>
      <c r="I267" s="7">
        <v>35950</v>
      </c>
      <c r="J267" s="7">
        <v>39736</v>
      </c>
      <c r="K267" s="8" t="s">
        <v>37</v>
      </c>
      <c r="L267" s="9" t="e">
        <f t="shared" ca="1" si="0"/>
        <v>#NAME?</v>
      </c>
      <c r="M267" s="9" t="str">
        <f t="shared" si="1"/>
        <v>N/A</v>
      </c>
      <c r="N267" s="10" t="str">
        <f t="shared" si="2"/>
        <v>N/A</v>
      </c>
      <c r="O267" s="1" t="s">
        <v>38</v>
      </c>
      <c r="P267" s="1"/>
      <c r="Q267" s="1" t="s">
        <v>90</v>
      </c>
      <c r="R267" s="1" t="s">
        <v>102</v>
      </c>
      <c r="S267" s="1" t="s">
        <v>1260</v>
      </c>
      <c r="T267" s="1" t="s">
        <v>158</v>
      </c>
      <c r="U267" s="1" t="s">
        <v>1261</v>
      </c>
      <c r="V267" s="1" t="s">
        <v>43</v>
      </c>
      <c r="W267" s="1" t="s">
        <v>150</v>
      </c>
      <c r="X267" s="1">
        <v>0</v>
      </c>
      <c r="Y267" s="7"/>
      <c r="Z267" s="7"/>
      <c r="AA267" s="1">
        <v>0</v>
      </c>
      <c r="AB267" s="1">
        <v>0</v>
      </c>
      <c r="AC267" s="1">
        <v>0</v>
      </c>
      <c r="AG267" s="1" t="s">
        <v>1262</v>
      </c>
    </row>
    <row r="268" spans="1:33" ht="13">
      <c r="A268" s="1" t="s">
        <v>1267</v>
      </c>
      <c r="B268" s="1" t="s">
        <v>34</v>
      </c>
      <c r="C268" s="1" t="s">
        <v>35</v>
      </c>
      <c r="D268" s="1"/>
      <c r="E268" s="6">
        <v>24707</v>
      </c>
      <c r="F268" s="1" t="s">
        <v>84</v>
      </c>
      <c r="G268" s="1">
        <v>2000</v>
      </c>
      <c r="H268" s="1">
        <v>18</v>
      </c>
      <c r="I268" s="7">
        <v>36733</v>
      </c>
      <c r="J268" s="7">
        <v>42195</v>
      </c>
      <c r="K268" s="8" t="s">
        <v>37</v>
      </c>
      <c r="L268" s="9" t="e">
        <f t="shared" ca="1" si="0"/>
        <v>#NAME?</v>
      </c>
      <c r="M268" s="9" t="e">
        <f t="shared" ca="1" si="1"/>
        <v>#NAME?</v>
      </c>
      <c r="N268" s="10" t="e">
        <f t="shared" ca="1" si="2"/>
        <v>#NAME?</v>
      </c>
      <c r="O268" s="1" t="s">
        <v>38</v>
      </c>
      <c r="P268" s="1"/>
      <c r="Q268" s="1" t="s">
        <v>1057</v>
      </c>
      <c r="R268" s="1" t="s">
        <v>1268</v>
      </c>
      <c r="S268" s="1" t="s">
        <v>1269</v>
      </c>
      <c r="T268" s="1" t="s">
        <v>175</v>
      </c>
      <c r="U268" s="1" t="s">
        <v>175</v>
      </c>
      <c r="V268" s="1" t="s">
        <v>43</v>
      </c>
      <c r="W268" s="1" t="s">
        <v>150</v>
      </c>
      <c r="X268" s="1">
        <v>2</v>
      </c>
      <c r="Y268" s="7">
        <v>39887</v>
      </c>
      <c r="Z268" s="7">
        <v>40312</v>
      </c>
      <c r="AA268" s="1">
        <v>579</v>
      </c>
      <c r="AB268" s="1">
        <v>0</v>
      </c>
      <c r="AC268" s="1">
        <v>0</v>
      </c>
      <c r="AD268" s="1" t="s">
        <v>1270</v>
      </c>
    </row>
    <row r="269" spans="1:33" ht="13">
      <c r="A269" s="1" t="s">
        <v>1271</v>
      </c>
      <c r="B269" s="1" t="s">
        <v>34</v>
      </c>
      <c r="C269" s="1" t="s">
        <v>35</v>
      </c>
      <c r="D269" s="1"/>
      <c r="E269" s="6">
        <v>21656</v>
      </c>
      <c r="F269" s="1" t="s">
        <v>124</v>
      </c>
      <c r="G269" s="1">
        <v>2000</v>
      </c>
      <c r="H269" s="1">
        <v>18</v>
      </c>
      <c r="I269" s="7">
        <v>36733</v>
      </c>
      <c r="J269" s="7">
        <f t="shared" ref="J269:J273" ca="1" si="3">TODAY()</f>
        <v>44606</v>
      </c>
      <c r="K269" s="8" t="s">
        <v>1056</v>
      </c>
      <c r="L269" s="9" t="e">
        <f t="shared" ca="1" si="0"/>
        <v>#NAME?</v>
      </c>
      <c r="M269" s="9" t="e">
        <f t="shared" ca="1" si="1"/>
        <v>#NAME?</v>
      </c>
      <c r="N269" s="10" t="e">
        <f t="shared" ca="1" si="2"/>
        <v>#NAME?</v>
      </c>
      <c r="O269" s="1" t="s">
        <v>38</v>
      </c>
      <c r="P269" s="1"/>
      <c r="Q269" s="1" t="s">
        <v>1057</v>
      </c>
      <c r="R269" s="1" t="s">
        <v>1272</v>
      </c>
      <c r="S269" s="1" t="s">
        <v>1273</v>
      </c>
      <c r="T269" s="1" t="s">
        <v>1054</v>
      </c>
      <c r="U269" s="1" t="s">
        <v>1274</v>
      </c>
      <c r="X269" s="1">
        <v>2</v>
      </c>
      <c r="Y269" s="7">
        <v>39898</v>
      </c>
      <c r="Z269" s="7">
        <v>40598</v>
      </c>
      <c r="AA269" s="1">
        <v>5075</v>
      </c>
      <c r="AB269" s="1">
        <v>1</v>
      </c>
      <c r="AC269" s="1">
        <v>5</v>
      </c>
      <c r="AD269" s="1" t="s">
        <v>1275</v>
      </c>
    </row>
    <row r="270" spans="1:33" ht="13">
      <c r="A270" s="1" t="s">
        <v>1276</v>
      </c>
      <c r="B270" s="1" t="s">
        <v>34</v>
      </c>
      <c r="C270" s="1" t="s">
        <v>35</v>
      </c>
      <c r="D270" s="1"/>
      <c r="E270" s="6">
        <v>25777</v>
      </c>
      <c r="F270" s="1" t="s">
        <v>84</v>
      </c>
      <c r="G270" s="1">
        <v>2000</v>
      </c>
      <c r="H270" s="1">
        <v>18</v>
      </c>
      <c r="I270" s="7">
        <v>36733</v>
      </c>
      <c r="J270" s="7">
        <f t="shared" ca="1" si="3"/>
        <v>44606</v>
      </c>
      <c r="K270" s="8" t="s">
        <v>1056</v>
      </c>
      <c r="L270" s="9" t="e">
        <f t="shared" ca="1" si="0"/>
        <v>#NAME?</v>
      </c>
      <c r="M270" s="9" t="e">
        <f t="shared" ca="1" si="1"/>
        <v>#NAME?</v>
      </c>
      <c r="N270" s="10" t="e">
        <f t="shared" ca="1" si="2"/>
        <v>#NAME?</v>
      </c>
      <c r="O270" s="1" t="s">
        <v>38</v>
      </c>
      <c r="P270" s="1"/>
      <c r="Q270" s="1" t="s">
        <v>1057</v>
      </c>
      <c r="R270" s="1" t="s">
        <v>1277</v>
      </c>
      <c r="S270" s="1" t="s">
        <v>1278</v>
      </c>
      <c r="T270" s="1" t="s">
        <v>1279</v>
      </c>
      <c r="U270" s="1" t="s">
        <v>62</v>
      </c>
      <c r="V270" s="1" t="s">
        <v>49</v>
      </c>
      <c r="W270" s="1" t="s">
        <v>64</v>
      </c>
      <c r="X270" s="1">
        <v>3</v>
      </c>
      <c r="Y270" s="7">
        <v>39518</v>
      </c>
      <c r="Z270" s="17">
        <v>43981</v>
      </c>
      <c r="AA270" s="1" t="s">
        <v>1280</v>
      </c>
      <c r="AB270" s="1">
        <v>10</v>
      </c>
      <c r="AC270" s="1" t="s">
        <v>1281</v>
      </c>
      <c r="AD270" s="1" t="s">
        <v>1282</v>
      </c>
    </row>
    <row r="271" spans="1:33" ht="13">
      <c r="A271" s="1" t="s">
        <v>1283</v>
      </c>
      <c r="B271" s="1" t="s">
        <v>34</v>
      </c>
      <c r="C271" s="1" t="s">
        <v>35</v>
      </c>
      <c r="D271" s="1"/>
      <c r="E271" s="6">
        <v>23651</v>
      </c>
      <c r="F271" s="1" t="s">
        <v>84</v>
      </c>
      <c r="G271" s="1">
        <v>2000</v>
      </c>
      <c r="H271" s="1">
        <v>18</v>
      </c>
      <c r="I271" s="7">
        <v>36733</v>
      </c>
      <c r="J271" s="7">
        <f t="shared" ca="1" si="3"/>
        <v>44606</v>
      </c>
      <c r="K271" s="8" t="s">
        <v>1056</v>
      </c>
      <c r="L271" s="9" t="e">
        <f t="shared" ca="1" si="0"/>
        <v>#NAME?</v>
      </c>
      <c r="M271" s="9" t="e">
        <f t="shared" ca="1" si="1"/>
        <v>#NAME?</v>
      </c>
      <c r="N271" s="10" t="e">
        <f t="shared" ca="1" si="2"/>
        <v>#NAME?</v>
      </c>
      <c r="O271" s="1" t="s">
        <v>38</v>
      </c>
      <c r="P271" s="1"/>
      <c r="Q271" s="1" t="s">
        <v>1057</v>
      </c>
      <c r="R271" s="1" t="s">
        <v>311</v>
      </c>
      <c r="S271" s="1" t="s">
        <v>628</v>
      </c>
      <c r="T271" s="1" t="s">
        <v>42</v>
      </c>
      <c r="U271" s="1" t="s">
        <v>139</v>
      </c>
      <c r="V271" s="1" t="s">
        <v>49</v>
      </c>
      <c r="W271" s="1" t="s">
        <v>64</v>
      </c>
      <c r="X271" s="1">
        <v>2</v>
      </c>
      <c r="Y271" s="7">
        <v>39766</v>
      </c>
      <c r="Z271" s="7">
        <v>40598</v>
      </c>
      <c r="AA271" s="1">
        <v>687</v>
      </c>
      <c r="AB271" s="1">
        <v>0</v>
      </c>
      <c r="AC271" s="1">
        <v>0</v>
      </c>
      <c r="AD271" s="1" t="s">
        <v>1284</v>
      </c>
    </row>
    <row r="272" spans="1:33" ht="13">
      <c r="A272" s="1" t="s">
        <v>1285</v>
      </c>
      <c r="B272" s="1" t="s">
        <v>34</v>
      </c>
      <c r="C272" s="1" t="s">
        <v>35</v>
      </c>
      <c r="D272" s="1"/>
      <c r="E272" s="6">
        <v>23420</v>
      </c>
      <c r="F272" s="1" t="s">
        <v>84</v>
      </c>
      <c r="G272" s="1">
        <v>2000</v>
      </c>
      <c r="H272" s="1">
        <v>18</v>
      </c>
      <c r="I272" s="7">
        <v>36733</v>
      </c>
      <c r="J272" s="7">
        <f t="shared" ca="1" si="3"/>
        <v>44606</v>
      </c>
      <c r="K272" s="8" t="s">
        <v>1056</v>
      </c>
      <c r="L272" s="9" t="e">
        <f t="shared" ca="1" si="0"/>
        <v>#NAME?</v>
      </c>
      <c r="M272" s="9" t="e">
        <f t="shared" ca="1" si="1"/>
        <v>#NAME?</v>
      </c>
      <c r="N272" s="10" t="e">
        <f t="shared" ca="1" si="2"/>
        <v>#NAME?</v>
      </c>
      <c r="O272" s="1" t="s">
        <v>38</v>
      </c>
      <c r="P272" s="1"/>
      <c r="Q272" s="1" t="s">
        <v>1057</v>
      </c>
      <c r="R272" s="1" t="s">
        <v>1286</v>
      </c>
      <c r="S272" s="1" t="s">
        <v>227</v>
      </c>
      <c r="T272" s="1" t="s">
        <v>139</v>
      </c>
      <c r="U272" s="1" t="s">
        <v>900</v>
      </c>
      <c r="V272" s="1" t="s">
        <v>71</v>
      </c>
      <c r="W272" s="1" t="s">
        <v>150</v>
      </c>
      <c r="X272" s="1">
        <v>3</v>
      </c>
      <c r="Y272" s="7">
        <v>39766</v>
      </c>
      <c r="Z272" s="7">
        <v>40598</v>
      </c>
      <c r="AA272" s="1">
        <v>970</v>
      </c>
      <c r="AB272" s="1">
        <v>7</v>
      </c>
      <c r="AC272" s="1">
        <v>47</v>
      </c>
      <c r="AD272" s="1" t="s">
        <v>1287</v>
      </c>
    </row>
    <row r="273" spans="1:30" ht="13">
      <c r="A273" s="1" t="s">
        <v>1293</v>
      </c>
      <c r="B273" s="1" t="s">
        <v>34</v>
      </c>
      <c r="C273" s="1" t="s">
        <v>35</v>
      </c>
      <c r="D273" s="1"/>
      <c r="E273" s="6">
        <v>23979</v>
      </c>
      <c r="F273" s="1" t="s">
        <v>124</v>
      </c>
      <c r="G273" s="1">
        <v>2000</v>
      </c>
      <c r="H273" s="1">
        <v>18</v>
      </c>
      <c r="I273" s="7">
        <v>36733</v>
      </c>
      <c r="J273" s="7">
        <f t="shared" ca="1" si="3"/>
        <v>44606</v>
      </c>
      <c r="K273" s="8" t="s">
        <v>1056</v>
      </c>
      <c r="L273" s="9" t="e">
        <f t="shared" ca="1" si="0"/>
        <v>#NAME?</v>
      </c>
      <c r="M273" s="9" t="e">
        <f t="shared" ca="1" si="1"/>
        <v>#NAME?</v>
      </c>
      <c r="N273" s="10" t="e">
        <f t="shared" ca="1" si="2"/>
        <v>#NAME?</v>
      </c>
      <c r="O273" s="1" t="s">
        <v>38</v>
      </c>
      <c r="P273" s="1"/>
      <c r="Q273" s="1" t="s">
        <v>1057</v>
      </c>
      <c r="R273" s="1" t="s">
        <v>1294</v>
      </c>
      <c r="S273" s="1" t="s">
        <v>1295</v>
      </c>
      <c r="T273" s="1" t="s">
        <v>1296</v>
      </c>
      <c r="U273" s="1" t="s">
        <v>1297</v>
      </c>
      <c r="X273" s="1">
        <v>3</v>
      </c>
      <c r="Y273" s="7">
        <v>39944</v>
      </c>
      <c r="Z273" s="17">
        <v>43180</v>
      </c>
      <c r="AA273" s="1" t="s">
        <v>1298</v>
      </c>
      <c r="AB273" s="1">
        <v>9</v>
      </c>
      <c r="AC273" s="1" t="s">
        <v>1299</v>
      </c>
      <c r="AD273" s="1" t="s">
        <v>1300</v>
      </c>
    </row>
    <row r="274" spans="1:30" ht="13">
      <c r="A274" s="1" t="s">
        <v>1301</v>
      </c>
      <c r="B274" s="1" t="s">
        <v>34</v>
      </c>
      <c r="C274" s="1" t="s">
        <v>35</v>
      </c>
      <c r="D274" s="1"/>
      <c r="E274" s="6">
        <v>22104</v>
      </c>
      <c r="F274" s="1" t="s">
        <v>124</v>
      </c>
      <c r="G274" s="1">
        <v>2000</v>
      </c>
      <c r="H274" s="1">
        <v>18</v>
      </c>
      <c r="I274" s="7">
        <v>36733</v>
      </c>
      <c r="J274" s="7">
        <v>42398</v>
      </c>
      <c r="K274" s="8" t="s">
        <v>37</v>
      </c>
      <c r="L274" s="9" t="e">
        <f t="shared" ca="1" si="0"/>
        <v>#NAME?</v>
      </c>
      <c r="M274" s="9" t="e">
        <f t="shared" ca="1" si="1"/>
        <v>#NAME?</v>
      </c>
      <c r="N274" s="10" t="e">
        <f t="shared" ca="1" si="2"/>
        <v>#NAME?</v>
      </c>
      <c r="O274" s="1" t="s">
        <v>38</v>
      </c>
      <c r="P274" s="1"/>
      <c r="Q274" s="1" t="s">
        <v>1057</v>
      </c>
      <c r="R274" s="1" t="s">
        <v>1302</v>
      </c>
      <c r="S274" s="1" t="s">
        <v>1303</v>
      </c>
      <c r="T274" s="1" t="s">
        <v>87</v>
      </c>
      <c r="U274" s="1" t="s">
        <v>1304</v>
      </c>
      <c r="V274" s="1" t="s">
        <v>49</v>
      </c>
      <c r="W274" s="1" t="s">
        <v>50</v>
      </c>
      <c r="X274" s="1">
        <v>2</v>
      </c>
      <c r="Y274" s="7">
        <v>40053</v>
      </c>
      <c r="Z274" s="7">
        <v>41205</v>
      </c>
      <c r="AA274" s="1">
        <v>3781</v>
      </c>
      <c r="AB274" s="1">
        <v>0</v>
      </c>
      <c r="AC274" s="1">
        <v>0</v>
      </c>
      <c r="AD274" s="1" t="s">
        <v>1305</v>
      </c>
    </row>
    <row r="275" spans="1:30" ht="13">
      <c r="A275" s="1" t="s">
        <v>1306</v>
      </c>
      <c r="B275" s="1" t="s">
        <v>34</v>
      </c>
      <c r="C275" s="1" t="s">
        <v>35</v>
      </c>
      <c r="D275" s="1"/>
      <c r="E275" s="6">
        <v>22574</v>
      </c>
      <c r="F275" s="1" t="s">
        <v>84</v>
      </c>
      <c r="G275" s="1">
        <v>2000</v>
      </c>
      <c r="H275" s="1">
        <v>18</v>
      </c>
      <c r="I275" s="7">
        <v>36733</v>
      </c>
      <c r="J275" s="7">
        <v>41258</v>
      </c>
      <c r="K275" s="8" t="s">
        <v>37</v>
      </c>
      <c r="L275" s="9" t="e">
        <f t="shared" ca="1" si="0"/>
        <v>#NAME?</v>
      </c>
      <c r="M275" s="9" t="e">
        <f t="shared" ca="1" si="1"/>
        <v>#NAME?</v>
      </c>
      <c r="N275" s="10" t="e">
        <f t="shared" ca="1" si="2"/>
        <v>#NAME?</v>
      </c>
      <c r="O275" s="1" t="s">
        <v>38</v>
      </c>
      <c r="P275" s="1"/>
      <c r="Q275" s="1" t="s">
        <v>521</v>
      </c>
      <c r="R275" s="1" t="s">
        <v>1307</v>
      </c>
      <c r="S275" s="1" t="s">
        <v>1308</v>
      </c>
      <c r="T275" s="1" t="s">
        <v>1309</v>
      </c>
      <c r="U275" s="1" t="s">
        <v>1310</v>
      </c>
      <c r="V275" s="1" t="s">
        <v>49</v>
      </c>
      <c r="W275" s="1" t="s">
        <v>50</v>
      </c>
      <c r="X275" s="1">
        <v>2</v>
      </c>
      <c r="Y275" s="7">
        <v>39599</v>
      </c>
      <c r="Z275" s="7">
        <v>40637</v>
      </c>
      <c r="AA275" s="1">
        <v>4271</v>
      </c>
      <c r="AB275" s="1">
        <v>4</v>
      </c>
      <c r="AC275" s="1">
        <v>27</v>
      </c>
      <c r="AD275" s="1" t="s">
        <v>1311</v>
      </c>
    </row>
    <row r="276" spans="1:30" ht="13">
      <c r="A276" s="1" t="s">
        <v>1312</v>
      </c>
      <c r="B276" s="1" t="s">
        <v>34</v>
      </c>
      <c r="C276" s="1" t="s">
        <v>35</v>
      </c>
      <c r="D276" s="1"/>
      <c r="E276" s="6">
        <v>22932</v>
      </c>
      <c r="F276" s="1" t="s">
        <v>84</v>
      </c>
      <c r="G276" s="1">
        <v>2000</v>
      </c>
      <c r="H276" s="1">
        <v>18</v>
      </c>
      <c r="I276" s="7">
        <v>36733</v>
      </c>
      <c r="J276" s="7">
        <v>41014</v>
      </c>
      <c r="K276" s="8" t="s">
        <v>37</v>
      </c>
      <c r="L276" s="9" t="e">
        <f t="shared" ca="1" si="0"/>
        <v>#NAME?</v>
      </c>
      <c r="M276" s="9" t="e">
        <f t="shared" ca="1" si="1"/>
        <v>#NAME?</v>
      </c>
      <c r="N276" s="10" t="e">
        <f t="shared" ca="1" si="2"/>
        <v>#NAME?</v>
      </c>
      <c r="O276" s="1" t="s">
        <v>38</v>
      </c>
      <c r="P276" s="1"/>
      <c r="Q276" s="1" t="s">
        <v>521</v>
      </c>
      <c r="R276" s="1" t="s">
        <v>1313</v>
      </c>
      <c r="S276" s="1" t="s">
        <v>658</v>
      </c>
      <c r="T276" s="1" t="s">
        <v>87</v>
      </c>
      <c r="U276" s="1" t="s">
        <v>87</v>
      </c>
      <c r="V276" s="1" t="s">
        <v>49</v>
      </c>
      <c r="W276" s="1" t="s">
        <v>50</v>
      </c>
      <c r="X276" s="1">
        <v>2</v>
      </c>
      <c r="Y276" s="7">
        <v>39944</v>
      </c>
      <c r="Z276" s="7">
        <v>40312</v>
      </c>
      <c r="AA276" s="1">
        <v>592</v>
      </c>
      <c r="AB276" s="1">
        <v>4</v>
      </c>
      <c r="AC276" s="1">
        <v>30</v>
      </c>
      <c r="AD276" s="1" t="s">
        <v>1314</v>
      </c>
    </row>
    <row r="277" spans="1:30" ht="13">
      <c r="A277" s="1" t="s">
        <v>1315</v>
      </c>
      <c r="B277" s="1" t="s">
        <v>34</v>
      </c>
      <c r="C277" s="1" t="s">
        <v>35</v>
      </c>
      <c r="D277" s="1"/>
      <c r="E277" s="6">
        <v>24401</v>
      </c>
      <c r="F277" s="1" t="s">
        <v>36</v>
      </c>
      <c r="G277" s="1">
        <v>2000</v>
      </c>
      <c r="H277" s="1">
        <v>18</v>
      </c>
      <c r="I277" s="7">
        <v>36733</v>
      </c>
      <c r="J277" s="17">
        <v>44393</v>
      </c>
      <c r="K277" s="8" t="s">
        <v>37</v>
      </c>
      <c r="L277" s="9" t="e">
        <f t="shared" ca="1" si="0"/>
        <v>#NAME?</v>
      </c>
      <c r="M277" s="9" t="e">
        <f t="shared" ca="1" si="1"/>
        <v>#NAME?</v>
      </c>
      <c r="N277" s="10" t="e">
        <f t="shared" ca="1" si="2"/>
        <v>#NAME?</v>
      </c>
      <c r="O277" s="1" t="s">
        <v>38</v>
      </c>
      <c r="P277" s="1"/>
      <c r="Q277" s="1" t="s">
        <v>1057</v>
      </c>
      <c r="R277" s="1" t="s">
        <v>1316</v>
      </c>
      <c r="S277" s="1" t="s">
        <v>1317</v>
      </c>
      <c r="T277" s="1" t="s">
        <v>506</v>
      </c>
      <c r="V277" s="1" t="s">
        <v>49</v>
      </c>
      <c r="W277" s="1" t="s">
        <v>182</v>
      </c>
      <c r="X277" s="1">
        <v>2</v>
      </c>
      <c r="Y277" s="7">
        <v>40009</v>
      </c>
      <c r="Z277" s="7">
        <v>40732</v>
      </c>
      <c r="AA277" s="1">
        <v>683</v>
      </c>
      <c r="AB277" s="1">
        <v>0</v>
      </c>
      <c r="AC277" s="1">
        <v>0</v>
      </c>
      <c r="AD277" s="1" t="s">
        <v>1318</v>
      </c>
    </row>
    <row r="278" spans="1:30" ht="13">
      <c r="A278" s="1" t="s">
        <v>1319</v>
      </c>
      <c r="B278" s="1" t="s">
        <v>34</v>
      </c>
      <c r="C278" s="1" t="s">
        <v>35</v>
      </c>
      <c r="D278" s="1"/>
      <c r="E278" s="6">
        <v>23110</v>
      </c>
      <c r="F278" s="1" t="s">
        <v>84</v>
      </c>
      <c r="G278" s="1">
        <v>2000</v>
      </c>
      <c r="H278" s="1">
        <v>18</v>
      </c>
      <c r="I278" s="7">
        <v>36733</v>
      </c>
      <c r="J278" s="17">
        <v>43374</v>
      </c>
      <c r="K278" s="8" t="s">
        <v>37</v>
      </c>
      <c r="L278" s="9" t="e">
        <f t="shared" ca="1" si="0"/>
        <v>#NAME?</v>
      </c>
      <c r="M278" s="9" t="e">
        <f t="shared" ca="1" si="1"/>
        <v>#NAME?</v>
      </c>
      <c r="N278" s="10" t="e">
        <f t="shared" ca="1" si="2"/>
        <v>#NAME?</v>
      </c>
      <c r="O278" s="1" t="s">
        <v>38</v>
      </c>
      <c r="P278" s="1"/>
      <c r="Q278" s="1" t="s">
        <v>1057</v>
      </c>
      <c r="R278" s="1" t="s">
        <v>782</v>
      </c>
      <c r="S278" s="1" t="s">
        <v>1320</v>
      </c>
      <c r="T278" s="1" t="s">
        <v>1008</v>
      </c>
      <c r="U278" s="1" t="s">
        <v>1321</v>
      </c>
      <c r="V278" s="1" t="s">
        <v>49</v>
      </c>
      <c r="W278" s="1" t="s">
        <v>490</v>
      </c>
      <c r="X278" s="1">
        <v>2</v>
      </c>
      <c r="Y278" s="7">
        <v>40009</v>
      </c>
      <c r="Z278" s="7">
        <v>42353</v>
      </c>
      <c r="AA278" s="1">
        <v>5857</v>
      </c>
      <c r="AB278" s="1">
        <v>3</v>
      </c>
      <c r="AC278" s="1">
        <v>13</v>
      </c>
      <c r="AD278" s="1" t="s">
        <v>1322</v>
      </c>
    </row>
    <row r="279" spans="1:30" ht="13">
      <c r="A279" s="1" t="s">
        <v>1323</v>
      </c>
      <c r="B279" s="1" t="s">
        <v>394</v>
      </c>
      <c r="C279" s="1" t="s">
        <v>35</v>
      </c>
      <c r="D279" s="1"/>
      <c r="E279" s="6">
        <v>26175</v>
      </c>
      <c r="F279" s="1" t="s">
        <v>124</v>
      </c>
      <c r="G279" s="1">
        <v>2000</v>
      </c>
      <c r="H279" s="1">
        <v>18</v>
      </c>
      <c r="I279" s="7">
        <v>36733</v>
      </c>
      <c r="J279" s="7">
        <f ca="1">TODAY()</f>
        <v>44606</v>
      </c>
      <c r="K279" s="8" t="s">
        <v>1056</v>
      </c>
      <c r="L279" s="9" t="e">
        <f t="shared" ca="1" si="0"/>
        <v>#NAME?</v>
      </c>
      <c r="M279" s="9" t="e">
        <f t="shared" ca="1" si="1"/>
        <v>#NAME?</v>
      </c>
      <c r="N279" s="10" t="e">
        <f t="shared" ca="1" si="2"/>
        <v>#NAME?</v>
      </c>
      <c r="O279" s="1" t="s">
        <v>38</v>
      </c>
      <c r="P279" s="1"/>
      <c r="Q279" s="1" t="s">
        <v>1057</v>
      </c>
      <c r="R279" s="1" t="s">
        <v>1324</v>
      </c>
      <c r="S279" s="1" t="s">
        <v>1325</v>
      </c>
      <c r="T279" s="1" t="s">
        <v>87</v>
      </c>
      <c r="U279" s="1" t="s">
        <v>1326</v>
      </c>
      <c r="X279" s="1">
        <v>2</v>
      </c>
      <c r="Y279" s="7">
        <v>39944</v>
      </c>
      <c r="Z279" s="17">
        <v>44309</v>
      </c>
      <c r="AA279" s="1" t="s">
        <v>1327</v>
      </c>
      <c r="AB279" s="1">
        <v>0</v>
      </c>
      <c r="AC279" s="1">
        <v>0</v>
      </c>
      <c r="AD279" s="1" t="s">
        <v>1328</v>
      </c>
    </row>
    <row r="280" spans="1:30" ht="13">
      <c r="A280" s="1" t="s">
        <v>1329</v>
      </c>
      <c r="B280" s="1" t="s">
        <v>394</v>
      </c>
      <c r="C280" s="1" t="s">
        <v>35</v>
      </c>
      <c r="D280" s="1"/>
      <c r="E280" s="6">
        <v>25483</v>
      </c>
      <c r="F280" s="1" t="s">
        <v>124</v>
      </c>
      <c r="G280" s="1">
        <v>2000</v>
      </c>
      <c r="H280" s="1">
        <v>18</v>
      </c>
      <c r="I280" s="7">
        <v>36733</v>
      </c>
      <c r="J280" s="17">
        <v>43921</v>
      </c>
      <c r="K280" s="8" t="s">
        <v>37</v>
      </c>
      <c r="L280" s="9" t="e">
        <f t="shared" ca="1" si="0"/>
        <v>#NAME?</v>
      </c>
      <c r="M280" s="9" t="e">
        <f t="shared" ca="1" si="1"/>
        <v>#NAME?</v>
      </c>
      <c r="N280" s="10" t="e">
        <f t="shared" ca="1" si="2"/>
        <v>#NAME?</v>
      </c>
      <c r="O280" s="1" t="s">
        <v>38</v>
      </c>
      <c r="P280" s="1"/>
      <c r="Q280" s="1" t="s">
        <v>1057</v>
      </c>
      <c r="R280" s="1" t="s">
        <v>1330</v>
      </c>
      <c r="S280" s="1" t="s">
        <v>1331</v>
      </c>
      <c r="T280" s="1" t="s">
        <v>62</v>
      </c>
      <c r="U280" s="1" t="s">
        <v>62</v>
      </c>
      <c r="X280" s="1">
        <v>2</v>
      </c>
      <c r="Y280" s="7">
        <v>39599</v>
      </c>
      <c r="Z280" s="7">
        <v>41422</v>
      </c>
      <c r="AA280" s="1">
        <v>4320</v>
      </c>
      <c r="AB280" s="1">
        <v>0</v>
      </c>
      <c r="AC280" s="1">
        <v>0</v>
      </c>
      <c r="AD280" s="1" t="s">
        <v>1332</v>
      </c>
    </row>
    <row r="281" spans="1:30" ht="13">
      <c r="A281" s="1" t="s">
        <v>1333</v>
      </c>
      <c r="B281" s="1" t="s">
        <v>394</v>
      </c>
      <c r="C281" s="1" t="s">
        <v>35</v>
      </c>
      <c r="D281" s="1"/>
      <c r="E281" s="6">
        <v>22969</v>
      </c>
      <c r="F281" s="1" t="s">
        <v>84</v>
      </c>
      <c r="G281" s="1">
        <v>2000</v>
      </c>
      <c r="H281" s="1">
        <v>18</v>
      </c>
      <c r="I281" s="7">
        <v>36733</v>
      </c>
      <c r="J281" s="7">
        <v>42155</v>
      </c>
      <c r="K281" s="8" t="s">
        <v>37</v>
      </c>
      <c r="L281" s="9" t="e">
        <f t="shared" ca="1" si="0"/>
        <v>#NAME?</v>
      </c>
      <c r="M281" s="9" t="e">
        <f t="shared" ca="1" si="1"/>
        <v>#NAME?</v>
      </c>
      <c r="N281" s="10" t="e">
        <f t="shared" ca="1" si="2"/>
        <v>#NAME?</v>
      </c>
      <c r="O281" s="1" t="s">
        <v>38</v>
      </c>
      <c r="P281" s="1"/>
      <c r="Q281" s="1" t="s">
        <v>1057</v>
      </c>
      <c r="R281" s="1" t="s">
        <v>1334</v>
      </c>
      <c r="S281" s="1" t="s">
        <v>1335</v>
      </c>
      <c r="T281" s="1" t="s">
        <v>42</v>
      </c>
      <c r="U281" s="1" t="s">
        <v>654</v>
      </c>
      <c r="X281" s="1">
        <v>2</v>
      </c>
      <c r="Y281" s="7">
        <v>40053</v>
      </c>
      <c r="Z281" s="7">
        <v>40598</v>
      </c>
      <c r="AA281" s="1">
        <v>2477</v>
      </c>
      <c r="AB281" s="1">
        <v>1</v>
      </c>
      <c r="AC281" s="1">
        <v>6</v>
      </c>
      <c r="AD281" s="1" t="s">
        <v>1336</v>
      </c>
    </row>
    <row r="282" spans="1:30" ht="13">
      <c r="A282" s="1" t="s">
        <v>1337</v>
      </c>
      <c r="B282" s="1" t="s">
        <v>34</v>
      </c>
      <c r="C282" s="1" t="s">
        <v>35</v>
      </c>
      <c r="D282" s="1"/>
      <c r="E282" s="6">
        <v>24807</v>
      </c>
      <c r="F282" s="1" t="s">
        <v>84</v>
      </c>
      <c r="G282" s="1">
        <v>2000</v>
      </c>
      <c r="H282" s="1">
        <v>18</v>
      </c>
      <c r="I282" s="7">
        <v>36733</v>
      </c>
      <c r="J282" s="7">
        <v>42605</v>
      </c>
      <c r="K282" s="8" t="s">
        <v>37</v>
      </c>
      <c r="L282" s="9" t="e">
        <f t="shared" ca="1" si="0"/>
        <v>#NAME?</v>
      </c>
      <c r="M282" s="9" t="e">
        <f t="shared" ca="1" si="1"/>
        <v>#NAME?</v>
      </c>
      <c r="N282" s="10" t="e">
        <f t="shared" ca="1" si="2"/>
        <v>#NAME?</v>
      </c>
      <c r="O282" s="1" t="s">
        <v>38</v>
      </c>
      <c r="P282" s="1"/>
      <c r="Q282" s="1" t="s">
        <v>1057</v>
      </c>
      <c r="R282" s="1" t="s">
        <v>631</v>
      </c>
      <c r="S282" s="1" t="s">
        <v>1289</v>
      </c>
      <c r="T282" s="1" t="s">
        <v>272</v>
      </c>
      <c r="U282" s="1" t="s">
        <v>228</v>
      </c>
      <c r="V282" s="1" t="s">
        <v>49</v>
      </c>
      <c r="W282" s="1" t="s">
        <v>64</v>
      </c>
      <c r="X282" s="1">
        <v>2</v>
      </c>
      <c r="Y282" s="7">
        <v>40217</v>
      </c>
      <c r="Z282" s="7">
        <v>41966</v>
      </c>
      <c r="AA282" s="1">
        <v>5122</v>
      </c>
      <c r="AB282" s="1">
        <v>3</v>
      </c>
      <c r="AC282" s="1">
        <v>18</v>
      </c>
      <c r="AD282" s="1" t="s">
        <v>1338</v>
      </c>
    </row>
    <row r="283" spans="1:30" ht="13">
      <c r="A283" s="1" t="s">
        <v>1339</v>
      </c>
      <c r="B283" s="1" t="s">
        <v>34</v>
      </c>
      <c r="C283" s="1" t="s">
        <v>35</v>
      </c>
      <c r="D283" s="1"/>
      <c r="E283" s="6">
        <v>23009</v>
      </c>
      <c r="F283" s="1" t="s">
        <v>84</v>
      </c>
      <c r="G283" s="1">
        <v>2000</v>
      </c>
      <c r="H283" s="1">
        <v>18</v>
      </c>
      <c r="I283" s="7">
        <v>36733</v>
      </c>
      <c r="J283" s="7">
        <f t="shared" ref="J283:J285" ca="1" si="4">TODAY()</f>
        <v>44606</v>
      </c>
      <c r="K283" s="8" t="s">
        <v>1056</v>
      </c>
      <c r="L283" s="9" t="e">
        <f t="shared" ca="1" si="0"/>
        <v>#NAME?</v>
      </c>
      <c r="M283" s="9" t="e">
        <f t="shared" ca="1" si="1"/>
        <v>#NAME?</v>
      </c>
      <c r="N283" s="10" t="e">
        <f t="shared" ca="1" si="2"/>
        <v>#NAME?</v>
      </c>
      <c r="O283" s="1" t="s">
        <v>38</v>
      </c>
      <c r="P283" s="1"/>
      <c r="Q283" s="1" t="s">
        <v>1057</v>
      </c>
      <c r="R283" s="1" t="s">
        <v>477</v>
      </c>
      <c r="S283" s="1" t="s">
        <v>1340</v>
      </c>
      <c r="T283" s="1" t="s">
        <v>139</v>
      </c>
      <c r="U283" s="1" t="s">
        <v>1341</v>
      </c>
      <c r="V283" s="1" t="s">
        <v>71</v>
      </c>
      <c r="W283" s="1" t="s">
        <v>150</v>
      </c>
      <c r="X283" s="1">
        <v>2</v>
      </c>
      <c r="Y283" s="7">
        <v>40133</v>
      </c>
      <c r="Z283" s="7">
        <v>41907</v>
      </c>
      <c r="AA283" s="1">
        <v>4272</v>
      </c>
      <c r="AB283" s="1">
        <v>4</v>
      </c>
      <c r="AC283" s="1">
        <v>25</v>
      </c>
      <c r="AD283" s="1" t="s">
        <v>1342</v>
      </c>
    </row>
    <row r="284" spans="1:30" ht="13">
      <c r="A284" s="1" t="s">
        <v>1350</v>
      </c>
      <c r="B284" s="1" t="s">
        <v>34</v>
      </c>
      <c r="C284" s="1" t="s">
        <v>35</v>
      </c>
      <c r="D284" s="1"/>
      <c r="E284" s="6">
        <v>23341</v>
      </c>
      <c r="F284" s="1" t="s">
        <v>84</v>
      </c>
      <c r="G284" s="1">
        <v>2004</v>
      </c>
      <c r="H284" s="1">
        <v>19</v>
      </c>
      <c r="I284" s="7">
        <v>38113</v>
      </c>
      <c r="J284" s="7">
        <f t="shared" ca="1" si="4"/>
        <v>44606</v>
      </c>
      <c r="K284" s="8" t="s">
        <v>667</v>
      </c>
      <c r="L284" s="9" t="e">
        <f t="shared" ca="1" si="0"/>
        <v>#NAME?</v>
      </c>
      <c r="M284" s="9" t="e">
        <f t="shared" ca="1" si="1"/>
        <v>#NAME?</v>
      </c>
      <c r="N284" s="10" t="e">
        <f t="shared" ca="1" si="2"/>
        <v>#NAME?</v>
      </c>
      <c r="O284" s="1" t="s">
        <v>38</v>
      </c>
      <c r="P284" s="1"/>
      <c r="Q284" s="1" t="s">
        <v>1057</v>
      </c>
      <c r="R284" s="1" t="s">
        <v>1351</v>
      </c>
      <c r="S284" s="1" t="s">
        <v>1352</v>
      </c>
      <c r="T284" s="1" t="s">
        <v>1353</v>
      </c>
      <c r="U284" s="1" t="s">
        <v>1354</v>
      </c>
      <c r="X284" s="1">
        <v>2</v>
      </c>
      <c r="Y284" s="7">
        <v>39887</v>
      </c>
      <c r="Z284" s="17">
        <v>43180</v>
      </c>
      <c r="AA284" s="1" t="s">
        <v>1355</v>
      </c>
      <c r="AB284" s="1">
        <v>5</v>
      </c>
      <c r="AC284" s="1" t="s">
        <v>1356</v>
      </c>
      <c r="AD284" s="1" t="s">
        <v>1357</v>
      </c>
    </row>
    <row r="285" spans="1:30" ht="13">
      <c r="A285" s="1" t="s">
        <v>1358</v>
      </c>
      <c r="B285" s="1" t="s">
        <v>34</v>
      </c>
      <c r="C285" s="1" t="s">
        <v>35</v>
      </c>
      <c r="D285" s="1"/>
      <c r="E285" s="6">
        <v>24726</v>
      </c>
      <c r="F285" s="1" t="s">
        <v>84</v>
      </c>
      <c r="G285" s="1">
        <v>2004</v>
      </c>
      <c r="H285" s="1">
        <v>19</v>
      </c>
      <c r="I285" s="7">
        <v>38113</v>
      </c>
      <c r="J285" s="7">
        <f t="shared" ca="1" si="4"/>
        <v>44606</v>
      </c>
      <c r="K285" s="8" t="s">
        <v>1056</v>
      </c>
      <c r="L285" s="9" t="e">
        <f t="shared" ca="1" si="0"/>
        <v>#NAME?</v>
      </c>
      <c r="M285" s="9" t="e">
        <f t="shared" ca="1" si="1"/>
        <v>#NAME?</v>
      </c>
      <c r="N285" s="10" t="e">
        <f t="shared" ca="1" si="2"/>
        <v>#NAME?</v>
      </c>
      <c r="O285" s="1" t="s">
        <v>38</v>
      </c>
      <c r="P285" s="1"/>
      <c r="Q285" s="1" t="s">
        <v>1057</v>
      </c>
      <c r="R285" s="1" t="s">
        <v>1359</v>
      </c>
      <c r="S285" s="1" t="s">
        <v>1360</v>
      </c>
      <c r="T285" s="1" t="s">
        <v>272</v>
      </c>
      <c r="U285" s="1" t="s">
        <v>955</v>
      </c>
      <c r="V285" s="1" t="s">
        <v>49</v>
      </c>
      <c r="W285" s="1" t="s">
        <v>182</v>
      </c>
      <c r="X285" s="1">
        <v>2</v>
      </c>
      <c r="Y285" s="7">
        <v>40133</v>
      </c>
      <c r="Z285" s="17">
        <v>42944</v>
      </c>
      <c r="AA285" s="1" t="s">
        <v>1361</v>
      </c>
      <c r="AB285" s="1">
        <v>5</v>
      </c>
      <c r="AC285" s="1" t="s">
        <v>1362</v>
      </c>
      <c r="AD285" s="1" t="s">
        <v>1363</v>
      </c>
    </row>
    <row r="286" spans="1:30" ht="13">
      <c r="A286" s="1" t="s">
        <v>1364</v>
      </c>
      <c r="B286" s="1" t="s">
        <v>34</v>
      </c>
      <c r="C286" s="1" t="s">
        <v>35</v>
      </c>
      <c r="D286" s="1"/>
      <c r="E286" s="6">
        <v>25572</v>
      </c>
      <c r="F286" s="1" t="s">
        <v>84</v>
      </c>
      <c r="G286" s="1">
        <v>2004</v>
      </c>
      <c r="H286" s="1">
        <v>19</v>
      </c>
      <c r="I286" s="7">
        <v>38113</v>
      </c>
      <c r="J286" s="17">
        <v>44344</v>
      </c>
      <c r="K286" s="8" t="s">
        <v>37</v>
      </c>
      <c r="L286" s="9" t="e">
        <f t="shared" ca="1" si="0"/>
        <v>#NAME?</v>
      </c>
      <c r="M286" s="9" t="e">
        <f t="shared" ca="1" si="1"/>
        <v>#NAME?</v>
      </c>
      <c r="N286" s="10" t="e">
        <f t="shared" ca="1" si="2"/>
        <v>#NAME?</v>
      </c>
      <c r="O286" s="1" t="s">
        <v>38</v>
      </c>
      <c r="P286" s="1"/>
      <c r="Q286" s="1" t="s">
        <v>1057</v>
      </c>
      <c r="R286" s="1" t="s">
        <v>1365</v>
      </c>
      <c r="S286" s="1" t="s">
        <v>227</v>
      </c>
      <c r="T286" s="1" t="s">
        <v>272</v>
      </c>
      <c r="U286" s="1" t="s">
        <v>900</v>
      </c>
      <c r="V286" s="1" t="s">
        <v>43</v>
      </c>
      <c r="W286" s="1" t="s">
        <v>150</v>
      </c>
      <c r="X286" s="1">
        <v>3</v>
      </c>
      <c r="Y286" s="7">
        <v>40009</v>
      </c>
      <c r="Z286" s="17">
        <v>43930</v>
      </c>
      <c r="AA286" s="1" t="s">
        <v>1366</v>
      </c>
      <c r="AB286" s="1">
        <v>10</v>
      </c>
      <c r="AC286" s="1" t="s">
        <v>1367</v>
      </c>
      <c r="AD286" s="1" t="s">
        <v>1368</v>
      </c>
    </row>
    <row r="287" spans="1:30" ht="13">
      <c r="A287" s="1" t="s">
        <v>1369</v>
      </c>
      <c r="B287" s="1" t="s">
        <v>34</v>
      </c>
      <c r="C287" s="1" t="s">
        <v>35</v>
      </c>
      <c r="D287" s="1"/>
      <c r="E287" s="6">
        <v>25162</v>
      </c>
      <c r="F287" s="1" t="s">
        <v>84</v>
      </c>
      <c r="G287" s="1">
        <v>2004</v>
      </c>
      <c r="H287" s="1">
        <v>19</v>
      </c>
      <c r="I287" s="7">
        <v>38113</v>
      </c>
      <c r="J287" s="7">
        <v>41075</v>
      </c>
      <c r="K287" s="8" t="s">
        <v>37</v>
      </c>
      <c r="L287" s="9" t="e">
        <f t="shared" ca="1" si="0"/>
        <v>#NAME?</v>
      </c>
      <c r="M287" s="9" t="e">
        <f t="shared" ca="1" si="1"/>
        <v>#NAME?</v>
      </c>
      <c r="N287" s="10" t="e">
        <f t="shared" ca="1" si="2"/>
        <v>#NAME?</v>
      </c>
      <c r="O287" s="1" t="s">
        <v>38</v>
      </c>
      <c r="P287" s="1"/>
      <c r="Q287" s="1" t="s">
        <v>521</v>
      </c>
      <c r="R287" s="1" t="s">
        <v>1370</v>
      </c>
      <c r="S287" s="1" t="s">
        <v>1371</v>
      </c>
      <c r="T287" s="1" t="s">
        <v>104</v>
      </c>
      <c r="U287" s="1" t="s">
        <v>175</v>
      </c>
      <c r="V287" s="1" t="s">
        <v>49</v>
      </c>
      <c r="W287" s="1" t="s">
        <v>64</v>
      </c>
      <c r="X287" s="1">
        <v>1</v>
      </c>
      <c r="Y287" s="7">
        <v>40273</v>
      </c>
      <c r="Z287" s="7">
        <v>40273</v>
      </c>
      <c r="AA287" s="1">
        <v>362</v>
      </c>
      <c r="AB287" s="1">
        <v>0</v>
      </c>
      <c r="AC287" s="1">
        <v>0</v>
      </c>
      <c r="AD287" s="1" t="s">
        <v>1372</v>
      </c>
    </row>
    <row r="288" spans="1:30" ht="13">
      <c r="A288" s="1" t="s">
        <v>1378</v>
      </c>
      <c r="B288" s="1" t="s">
        <v>34</v>
      </c>
      <c r="C288" s="1" t="s">
        <v>35</v>
      </c>
      <c r="D288" s="1"/>
      <c r="E288" s="6">
        <v>24627</v>
      </c>
      <c r="F288" s="1" t="s">
        <v>84</v>
      </c>
      <c r="G288" s="1">
        <v>2004</v>
      </c>
      <c r="H288" s="1">
        <v>19</v>
      </c>
      <c r="I288" s="7">
        <v>38113</v>
      </c>
      <c r="J288" s="7">
        <f t="shared" ref="J288:J289" ca="1" si="5">TODAY()</f>
        <v>44606</v>
      </c>
      <c r="K288" s="8" t="s">
        <v>1056</v>
      </c>
      <c r="L288" s="9" t="e">
        <f t="shared" ca="1" si="0"/>
        <v>#NAME?</v>
      </c>
      <c r="M288" s="9" t="e">
        <f t="shared" ca="1" si="1"/>
        <v>#NAME?</v>
      </c>
      <c r="N288" s="10" t="e">
        <f t="shared" ca="1" si="2"/>
        <v>#NAME?</v>
      </c>
      <c r="O288" s="1" t="s">
        <v>38</v>
      </c>
      <c r="P288" s="1"/>
      <c r="Q288" s="1" t="s">
        <v>1057</v>
      </c>
      <c r="R288" s="1" t="s">
        <v>1379</v>
      </c>
      <c r="S288" s="1" t="s">
        <v>779</v>
      </c>
      <c r="T288" s="1" t="s">
        <v>87</v>
      </c>
      <c r="U288" s="1" t="s">
        <v>592</v>
      </c>
      <c r="V288" s="1" t="s">
        <v>49</v>
      </c>
      <c r="W288" s="1" t="s">
        <v>674</v>
      </c>
      <c r="X288" s="1">
        <v>3</v>
      </c>
      <c r="Y288" s="17">
        <v>39766</v>
      </c>
      <c r="Z288" s="17">
        <v>44309</v>
      </c>
      <c r="AA288" s="1" t="s">
        <v>1380</v>
      </c>
      <c r="AB288" s="1">
        <v>9</v>
      </c>
      <c r="AC288" s="1" t="s">
        <v>1381</v>
      </c>
      <c r="AD288" s="1" t="s">
        <v>1382</v>
      </c>
    </row>
    <row r="289" spans="1:33" ht="13">
      <c r="A289" s="1" t="s">
        <v>1383</v>
      </c>
      <c r="B289" s="1" t="s">
        <v>34</v>
      </c>
      <c r="C289" s="1" t="s">
        <v>35</v>
      </c>
      <c r="D289" s="1"/>
      <c r="E289" s="6">
        <v>22157</v>
      </c>
      <c r="F289" s="1" t="s">
        <v>124</v>
      </c>
      <c r="G289" s="1">
        <v>2004</v>
      </c>
      <c r="H289" s="1">
        <v>19</v>
      </c>
      <c r="I289" s="7">
        <v>38113</v>
      </c>
      <c r="J289" s="7">
        <f t="shared" ca="1" si="5"/>
        <v>44606</v>
      </c>
      <c r="K289" s="8" t="s">
        <v>1056</v>
      </c>
      <c r="L289" s="9" t="e">
        <f t="shared" ca="1" si="0"/>
        <v>#NAME?</v>
      </c>
      <c r="M289" s="9" t="e">
        <f t="shared" ca="1" si="1"/>
        <v>#NAME?</v>
      </c>
      <c r="N289" s="10" t="e">
        <f t="shared" ca="1" si="2"/>
        <v>#NAME?</v>
      </c>
      <c r="O289" s="1" t="s">
        <v>38</v>
      </c>
      <c r="P289" s="1"/>
      <c r="Q289" s="1" t="s">
        <v>1057</v>
      </c>
      <c r="R289" s="1" t="s">
        <v>1384</v>
      </c>
      <c r="S289" s="1" t="s">
        <v>1385</v>
      </c>
      <c r="T289" s="1" t="s">
        <v>158</v>
      </c>
      <c r="U289" s="1" t="s">
        <v>1386</v>
      </c>
      <c r="X289" s="1">
        <v>3</v>
      </c>
      <c r="Y289" s="7">
        <v>40009</v>
      </c>
      <c r="Z289" s="17">
        <v>44511</v>
      </c>
      <c r="AA289" s="25">
        <v>3871</v>
      </c>
      <c r="AB289" s="1">
        <v>5</v>
      </c>
      <c r="AC289" s="1" t="s">
        <v>1387</v>
      </c>
      <c r="AD289" s="1" t="s">
        <v>1388</v>
      </c>
      <c r="AG289" s="1" t="s">
        <v>1389</v>
      </c>
    </row>
    <row r="290" spans="1:33" ht="13">
      <c r="A290" s="1" t="s">
        <v>1390</v>
      </c>
      <c r="B290" s="1" t="s">
        <v>394</v>
      </c>
      <c r="C290" s="1" t="s">
        <v>35</v>
      </c>
      <c r="D290" s="1"/>
      <c r="E290" s="6">
        <v>27516</v>
      </c>
      <c r="F290" s="1" t="s">
        <v>84</v>
      </c>
      <c r="G290" s="1">
        <v>2004</v>
      </c>
      <c r="H290" s="1">
        <v>19</v>
      </c>
      <c r="I290" s="7">
        <v>38113</v>
      </c>
      <c r="J290" s="7">
        <v>41803</v>
      </c>
      <c r="K290" s="8" t="s">
        <v>37</v>
      </c>
      <c r="L290" s="9" t="e">
        <f t="shared" ca="1" si="0"/>
        <v>#NAME?</v>
      </c>
      <c r="M290" s="9" t="e">
        <f t="shared" ca="1" si="1"/>
        <v>#NAME?</v>
      </c>
      <c r="N290" s="10" t="e">
        <f t="shared" ca="1" si="2"/>
        <v>#NAME?</v>
      </c>
      <c r="O290" s="1" t="s">
        <v>38</v>
      </c>
      <c r="P290" s="1"/>
      <c r="Q290" s="1" t="s">
        <v>1057</v>
      </c>
      <c r="R290" s="1" t="s">
        <v>1391</v>
      </c>
      <c r="S290" s="1" t="s">
        <v>1392</v>
      </c>
      <c r="T290" s="1" t="s">
        <v>210</v>
      </c>
      <c r="X290" s="1">
        <v>1</v>
      </c>
      <c r="Y290" s="7">
        <v>40273</v>
      </c>
      <c r="Z290" s="7">
        <v>40273</v>
      </c>
      <c r="AA290" s="1">
        <v>362</v>
      </c>
      <c r="AB290" s="1">
        <v>0</v>
      </c>
      <c r="AC290" s="1">
        <v>0</v>
      </c>
      <c r="AD290" s="1" t="s">
        <v>1372</v>
      </c>
    </row>
    <row r="291" spans="1:33" ht="13">
      <c r="A291" s="1" t="s">
        <v>1398</v>
      </c>
      <c r="B291" s="1" t="s">
        <v>394</v>
      </c>
      <c r="C291" s="1" t="s">
        <v>35</v>
      </c>
      <c r="D291" s="1"/>
      <c r="E291" s="6">
        <v>23897</v>
      </c>
      <c r="F291" s="1" t="s">
        <v>124</v>
      </c>
      <c r="G291" s="1">
        <v>2004</v>
      </c>
      <c r="H291" s="1">
        <v>19</v>
      </c>
      <c r="I291" s="7">
        <v>38113</v>
      </c>
      <c r="J291" s="7">
        <f ca="1">TODAY()</f>
        <v>44606</v>
      </c>
      <c r="K291" s="8" t="s">
        <v>1056</v>
      </c>
      <c r="L291" s="9" t="e">
        <f t="shared" ca="1" si="0"/>
        <v>#NAME?</v>
      </c>
      <c r="M291" s="9" t="e">
        <f t="shared" ca="1" si="1"/>
        <v>#NAME?</v>
      </c>
      <c r="N291" s="10" t="e">
        <f t="shared" ca="1" si="2"/>
        <v>#NAME?</v>
      </c>
      <c r="O291" s="1" t="s">
        <v>38</v>
      </c>
      <c r="P291" s="1"/>
      <c r="Q291" s="1" t="s">
        <v>1057</v>
      </c>
      <c r="R291" s="1" t="s">
        <v>1399</v>
      </c>
      <c r="S291" s="1" t="s">
        <v>1400</v>
      </c>
      <c r="T291" s="1" t="s">
        <v>1401</v>
      </c>
      <c r="U291" s="1" t="s">
        <v>1401</v>
      </c>
      <c r="X291" s="1">
        <v>2</v>
      </c>
      <c r="Y291" s="7">
        <v>40344</v>
      </c>
      <c r="Z291" s="17">
        <v>44151</v>
      </c>
      <c r="AA291" s="1" t="s">
        <v>1402</v>
      </c>
      <c r="AB291" s="1">
        <v>0</v>
      </c>
      <c r="AC291" s="1">
        <v>0</v>
      </c>
      <c r="AD291" s="1" t="s">
        <v>1403</v>
      </c>
    </row>
    <row r="292" spans="1:33" ht="13">
      <c r="A292" s="1" t="s">
        <v>1412</v>
      </c>
      <c r="B292" s="1" t="s">
        <v>34</v>
      </c>
      <c r="C292" s="1" t="s">
        <v>35</v>
      </c>
      <c r="D292" s="1"/>
      <c r="E292" s="6">
        <v>27052</v>
      </c>
      <c r="F292" s="1" t="s">
        <v>84</v>
      </c>
      <c r="G292" s="1">
        <v>2009</v>
      </c>
      <c r="H292" s="1">
        <v>20</v>
      </c>
      <c r="I292" s="7">
        <v>39993</v>
      </c>
      <c r="J292" s="17">
        <v>43251</v>
      </c>
      <c r="K292" s="8" t="s">
        <v>37</v>
      </c>
      <c r="L292" s="9" t="e">
        <f t="shared" ca="1" si="0"/>
        <v>#NAME?</v>
      </c>
      <c r="M292" s="9" t="e">
        <f t="shared" ca="1" si="1"/>
        <v>#NAME?</v>
      </c>
      <c r="N292" s="10" t="e">
        <f t="shared" ca="1" si="2"/>
        <v>#NAME?</v>
      </c>
      <c r="O292" s="1" t="s">
        <v>38</v>
      </c>
      <c r="P292" s="1"/>
      <c r="Q292" s="1" t="s">
        <v>90</v>
      </c>
      <c r="R292" s="1" t="s">
        <v>1413</v>
      </c>
      <c r="S292" s="1" t="s">
        <v>635</v>
      </c>
      <c r="T292" s="1" t="s">
        <v>104</v>
      </c>
      <c r="U292" s="1" t="s">
        <v>175</v>
      </c>
      <c r="X292" s="1">
        <v>1</v>
      </c>
      <c r="Y292" s="7">
        <v>42809</v>
      </c>
      <c r="Z292" s="7">
        <v>42809</v>
      </c>
      <c r="AA292" s="1" t="s">
        <v>1414</v>
      </c>
      <c r="AB292" s="1">
        <v>0</v>
      </c>
      <c r="AC292" s="1">
        <v>0</v>
      </c>
      <c r="AD292" s="1" t="s">
        <v>1415</v>
      </c>
    </row>
    <row r="293" spans="1:33" ht="13">
      <c r="A293" s="1" t="s">
        <v>1416</v>
      </c>
      <c r="B293" s="1" t="s">
        <v>34</v>
      </c>
      <c r="C293" s="1" t="s">
        <v>35</v>
      </c>
      <c r="D293" s="1"/>
      <c r="E293" s="6">
        <v>25200</v>
      </c>
      <c r="F293" s="1" t="s">
        <v>84</v>
      </c>
      <c r="G293" s="1">
        <v>2009</v>
      </c>
      <c r="H293" s="1">
        <v>20</v>
      </c>
      <c r="I293" s="7">
        <v>39993</v>
      </c>
      <c r="J293" s="7">
        <f t="shared" ref="J293:J308" ca="1" si="6">TODAY()</f>
        <v>44606</v>
      </c>
      <c r="K293" s="8" t="s">
        <v>1056</v>
      </c>
      <c r="L293" s="9" t="e">
        <f t="shared" ca="1" si="0"/>
        <v>#NAME?</v>
      </c>
      <c r="M293" s="9" t="e">
        <f t="shared" ca="1" si="1"/>
        <v>#NAME?</v>
      </c>
      <c r="N293" s="10" t="e">
        <f t="shared" ca="1" si="2"/>
        <v>#NAME?</v>
      </c>
      <c r="O293" s="1" t="s">
        <v>38</v>
      </c>
      <c r="P293" s="1"/>
      <c r="Q293" s="1" t="s">
        <v>1057</v>
      </c>
      <c r="R293" s="1" t="s">
        <v>1417</v>
      </c>
      <c r="S293" s="1" t="s">
        <v>1418</v>
      </c>
      <c r="T293" s="1" t="s">
        <v>87</v>
      </c>
      <c r="U293" s="1" t="s">
        <v>87</v>
      </c>
      <c r="V293" s="1" t="s">
        <v>49</v>
      </c>
      <c r="W293" s="1" t="s">
        <v>64</v>
      </c>
      <c r="X293" s="1">
        <v>2</v>
      </c>
      <c r="Y293" s="7">
        <v>41907</v>
      </c>
      <c r="Z293" s="17">
        <v>44151</v>
      </c>
      <c r="AA293" s="1" t="s">
        <v>1419</v>
      </c>
      <c r="AB293" s="1">
        <v>5</v>
      </c>
      <c r="AC293" s="1" t="s">
        <v>1420</v>
      </c>
      <c r="AD293" s="1" t="s">
        <v>1421</v>
      </c>
    </row>
    <row r="294" spans="1:33" ht="13">
      <c r="A294" s="1" t="s">
        <v>1428</v>
      </c>
      <c r="B294" s="1" t="s">
        <v>394</v>
      </c>
      <c r="C294" s="1" t="s">
        <v>35</v>
      </c>
      <c r="D294" s="1"/>
      <c r="E294" s="6">
        <v>28777</v>
      </c>
      <c r="F294" s="1" t="s">
        <v>124</v>
      </c>
      <c r="G294" s="1">
        <v>2009</v>
      </c>
      <c r="H294" s="1">
        <v>20</v>
      </c>
      <c r="I294" s="7">
        <v>39993</v>
      </c>
      <c r="J294" s="7">
        <f t="shared" ca="1" si="6"/>
        <v>44606</v>
      </c>
      <c r="K294" s="8" t="s">
        <v>1056</v>
      </c>
      <c r="L294" s="9" t="e">
        <f t="shared" ca="1" si="0"/>
        <v>#NAME?</v>
      </c>
      <c r="M294" s="9" t="e">
        <f t="shared" ca="1" si="1"/>
        <v>#NAME?</v>
      </c>
      <c r="N294" s="10" t="e">
        <f t="shared" ca="1" si="2"/>
        <v>#NAME?</v>
      </c>
      <c r="O294" s="1" t="s">
        <v>38</v>
      </c>
      <c r="P294" s="1"/>
      <c r="Q294" s="1" t="s">
        <v>1057</v>
      </c>
      <c r="R294" s="1" t="s">
        <v>1429</v>
      </c>
      <c r="S294" s="1" t="s">
        <v>1430</v>
      </c>
      <c r="T294" s="1" t="s">
        <v>1431</v>
      </c>
      <c r="U294" s="1" t="s">
        <v>1432</v>
      </c>
      <c r="X294" s="1">
        <v>2</v>
      </c>
      <c r="Y294" s="7">
        <v>42558</v>
      </c>
      <c r="Z294" s="17">
        <v>44118</v>
      </c>
      <c r="AA294" s="1" t="s">
        <v>1433</v>
      </c>
      <c r="AB294" s="1">
        <v>4</v>
      </c>
      <c r="AC294" s="26" t="s">
        <v>1434</v>
      </c>
      <c r="AD294" s="1" t="s">
        <v>1435</v>
      </c>
    </row>
    <row r="295" spans="1:33" ht="13">
      <c r="A295" s="1" t="s">
        <v>1436</v>
      </c>
      <c r="B295" s="1" t="s">
        <v>34</v>
      </c>
      <c r="C295" s="1" t="s">
        <v>35</v>
      </c>
      <c r="D295" s="1"/>
      <c r="E295" s="6">
        <v>23942</v>
      </c>
      <c r="F295" s="1" t="s">
        <v>84</v>
      </c>
      <c r="G295" s="1">
        <v>2009</v>
      </c>
      <c r="H295" s="1">
        <v>20</v>
      </c>
      <c r="I295" s="7">
        <v>39993</v>
      </c>
      <c r="J295" s="7">
        <f t="shared" ca="1" si="6"/>
        <v>44606</v>
      </c>
      <c r="K295" s="8" t="s">
        <v>1056</v>
      </c>
      <c r="L295" s="9" t="e">
        <f t="shared" ca="1" si="0"/>
        <v>#NAME?</v>
      </c>
      <c r="M295" s="9" t="e">
        <f t="shared" ca="1" si="1"/>
        <v>#NAME?</v>
      </c>
      <c r="N295" s="10" t="e">
        <f t="shared" ca="1" si="2"/>
        <v>#NAME?</v>
      </c>
      <c r="O295" s="1" t="s">
        <v>38</v>
      </c>
      <c r="P295" s="1"/>
      <c r="Q295" s="1" t="s">
        <v>1057</v>
      </c>
      <c r="R295" s="1" t="s">
        <v>1437</v>
      </c>
      <c r="S295" s="1" t="s">
        <v>1438</v>
      </c>
      <c r="T295" s="1" t="s">
        <v>62</v>
      </c>
      <c r="U295" s="1" t="s">
        <v>62</v>
      </c>
      <c r="V295" s="1" t="s">
        <v>43</v>
      </c>
      <c r="W295" s="1" t="s">
        <v>150</v>
      </c>
      <c r="X295" s="1">
        <v>1</v>
      </c>
      <c r="Y295" s="7">
        <v>43023</v>
      </c>
      <c r="Z295" s="7">
        <v>43023</v>
      </c>
      <c r="AA295" s="1" t="s">
        <v>1439</v>
      </c>
      <c r="AB295" s="1">
        <v>1</v>
      </c>
      <c r="AC295" s="24" t="s">
        <v>1440</v>
      </c>
      <c r="AD295" s="1" t="s">
        <v>1441</v>
      </c>
    </row>
    <row r="296" spans="1:33" ht="13">
      <c r="A296" s="1" t="s">
        <v>1442</v>
      </c>
      <c r="B296" s="1" t="s">
        <v>34</v>
      </c>
      <c r="C296" s="1" t="s">
        <v>35</v>
      </c>
      <c r="D296" s="1"/>
      <c r="E296" s="6">
        <v>24421</v>
      </c>
      <c r="F296" s="1" t="s">
        <v>84</v>
      </c>
      <c r="G296" s="1">
        <v>2009</v>
      </c>
      <c r="H296" s="1">
        <v>20</v>
      </c>
      <c r="I296" s="7">
        <v>39993</v>
      </c>
      <c r="J296" s="7">
        <f t="shared" ca="1" si="6"/>
        <v>44606</v>
      </c>
      <c r="K296" s="8" t="s">
        <v>1056</v>
      </c>
      <c r="L296" s="9" t="e">
        <f t="shared" ca="1" si="0"/>
        <v>#NAME?</v>
      </c>
      <c r="M296" s="9" t="e">
        <f t="shared" ca="1" si="1"/>
        <v>#NAME?</v>
      </c>
      <c r="N296" s="10" t="e">
        <f t="shared" ca="1" si="2"/>
        <v>#NAME?</v>
      </c>
      <c r="O296" s="1" t="s">
        <v>38</v>
      </c>
      <c r="P296" s="1"/>
      <c r="Q296" s="1" t="s">
        <v>1057</v>
      </c>
      <c r="R296" s="1" t="s">
        <v>1443</v>
      </c>
      <c r="S296" s="1" t="s">
        <v>1444</v>
      </c>
      <c r="T296" s="1" t="s">
        <v>158</v>
      </c>
      <c r="U296" s="1" t="s">
        <v>863</v>
      </c>
      <c r="V296" s="1" t="s">
        <v>49</v>
      </c>
      <c r="W296" s="1" t="s">
        <v>674</v>
      </c>
      <c r="X296" s="1">
        <v>2</v>
      </c>
      <c r="Y296" s="17">
        <v>42991</v>
      </c>
      <c r="Z296" s="17">
        <v>44474</v>
      </c>
      <c r="AA296" s="1">
        <v>0</v>
      </c>
      <c r="AB296" s="1">
        <v>4</v>
      </c>
      <c r="AC296" s="1" t="s">
        <v>1445</v>
      </c>
      <c r="AD296" s="1" t="s">
        <v>1446</v>
      </c>
      <c r="AG296" s="1" t="s">
        <v>1389</v>
      </c>
    </row>
    <row r="297" spans="1:33" ht="13">
      <c r="A297" s="1" t="s">
        <v>1447</v>
      </c>
      <c r="B297" s="1" t="s">
        <v>34</v>
      </c>
      <c r="C297" s="1" t="s">
        <v>35</v>
      </c>
      <c r="D297" s="1"/>
      <c r="E297" s="6">
        <v>27709</v>
      </c>
      <c r="F297" s="1" t="s">
        <v>84</v>
      </c>
      <c r="G297" s="1">
        <v>2009</v>
      </c>
      <c r="H297" s="1">
        <v>20</v>
      </c>
      <c r="I297" s="7">
        <v>39993</v>
      </c>
      <c r="J297" s="7">
        <f t="shared" ca="1" si="6"/>
        <v>44606</v>
      </c>
      <c r="K297" s="8" t="s">
        <v>1056</v>
      </c>
      <c r="L297" s="9" t="e">
        <f t="shared" ca="1" si="0"/>
        <v>#NAME?</v>
      </c>
      <c r="M297" s="9" t="e">
        <f t="shared" ca="1" si="1"/>
        <v>#NAME?</v>
      </c>
      <c r="N297" s="10" t="e">
        <f t="shared" ca="1" si="2"/>
        <v>#NAME?</v>
      </c>
      <c r="O297" s="1" t="s">
        <v>38</v>
      </c>
      <c r="P297" s="1"/>
      <c r="Q297" s="1" t="s">
        <v>1057</v>
      </c>
      <c r="R297" s="1" t="s">
        <v>631</v>
      </c>
      <c r="S297" s="1" t="s">
        <v>1448</v>
      </c>
      <c r="T297" s="1" t="s">
        <v>1449</v>
      </c>
      <c r="U297" s="1" t="s">
        <v>917</v>
      </c>
      <c r="V297" s="1" t="s">
        <v>43</v>
      </c>
      <c r="W297" s="1" t="s">
        <v>150</v>
      </c>
      <c r="X297" s="1">
        <v>1</v>
      </c>
      <c r="Y297" s="7">
        <v>41788</v>
      </c>
      <c r="Z297" s="7">
        <v>41788</v>
      </c>
      <c r="AA297" s="1">
        <v>3968</v>
      </c>
      <c r="AB297" s="1">
        <v>2</v>
      </c>
      <c r="AC297" s="1">
        <v>13</v>
      </c>
      <c r="AD297" s="1" t="s">
        <v>1450</v>
      </c>
    </row>
    <row r="298" spans="1:33" ht="13">
      <c r="A298" s="1" t="s">
        <v>1451</v>
      </c>
      <c r="B298" s="1" t="s">
        <v>34</v>
      </c>
      <c r="C298" s="1" t="s">
        <v>35</v>
      </c>
      <c r="D298" s="1"/>
      <c r="E298" s="6">
        <v>26863</v>
      </c>
      <c r="F298" s="1" t="s">
        <v>124</v>
      </c>
      <c r="G298" s="1">
        <v>2013</v>
      </c>
      <c r="H298" s="1">
        <v>21</v>
      </c>
      <c r="I298" s="7">
        <v>41442</v>
      </c>
      <c r="J298" s="7">
        <f t="shared" ca="1" si="6"/>
        <v>44606</v>
      </c>
      <c r="K298" s="8" t="s">
        <v>1056</v>
      </c>
      <c r="L298" s="9" t="e">
        <f t="shared" ca="1" si="0"/>
        <v>#NAME?</v>
      </c>
      <c r="M298" s="9" t="e">
        <f t="shared" ca="1" si="1"/>
        <v>#NAME?</v>
      </c>
      <c r="N298" s="10" t="str">
        <f t="shared" si="2"/>
        <v>N/A</v>
      </c>
      <c r="O298" s="1" t="s">
        <v>38</v>
      </c>
      <c r="P298" s="1"/>
      <c r="Q298" s="1" t="s">
        <v>1057</v>
      </c>
      <c r="R298" s="1" t="s">
        <v>643</v>
      </c>
      <c r="S298" s="1" t="s">
        <v>1452</v>
      </c>
      <c r="T298" s="1" t="s">
        <v>158</v>
      </c>
      <c r="U298" s="1" t="s">
        <v>1453</v>
      </c>
      <c r="V298" s="1" t="s">
        <v>43</v>
      </c>
      <c r="W298" s="1" t="s">
        <v>150</v>
      </c>
      <c r="X298" s="1">
        <v>0</v>
      </c>
      <c r="Y298" s="7"/>
      <c r="Z298" s="7"/>
      <c r="AA298" s="1">
        <v>0</v>
      </c>
      <c r="AB298" s="1">
        <v>0</v>
      </c>
      <c r="AC298" s="1">
        <v>0</v>
      </c>
      <c r="AD298" s="1"/>
    </row>
    <row r="299" spans="1:33" ht="13">
      <c r="A299" s="1" t="s">
        <v>1459</v>
      </c>
      <c r="B299" s="1" t="s">
        <v>34</v>
      </c>
      <c r="C299" s="1" t="s">
        <v>35</v>
      </c>
      <c r="D299" s="1"/>
      <c r="E299" s="6">
        <v>27661</v>
      </c>
      <c r="F299" s="1" t="s">
        <v>84</v>
      </c>
      <c r="G299" s="1">
        <v>2013</v>
      </c>
      <c r="H299" s="1">
        <v>21</v>
      </c>
      <c r="I299" s="7">
        <v>41442</v>
      </c>
      <c r="J299" s="7">
        <f t="shared" ca="1" si="6"/>
        <v>44606</v>
      </c>
      <c r="K299" s="8" t="s">
        <v>1056</v>
      </c>
      <c r="L299" s="9" t="e">
        <f t="shared" ca="1" si="0"/>
        <v>#NAME?</v>
      </c>
      <c r="M299" s="9" t="e">
        <f t="shared" ca="1" si="1"/>
        <v>#NAME?</v>
      </c>
      <c r="N299" s="10" t="e">
        <f t="shared" ca="1" si="2"/>
        <v>#NAME?</v>
      </c>
      <c r="O299" s="1" t="s">
        <v>38</v>
      </c>
      <c r="P299" s="1"/>
      <c r="Q299" s="1" t="s">
        <v>1057</v>
      </c>
      <c r="R299" s="1"/>
      <c r="S299" s="1"/>
      <c r="T299" s="1"/>
      <c r="U299" s="1"/>
      <c r="V299" s="1"/>
      <c r="W299" s="1"/>
      <c r="X299" s="1">
        <v>2</v>
      </c>
      <c r="Y299" s="17">
        <v>43384</v>
      </c>
      <c r="Z299" s="17">
        <v>43538</v>
      </c>
      <c r="AA299" s="24" t="s">
        <v>1461</v>
      </c>
      <c r="AB299" s="1">
        <v>3</v>
      </c>
      <c r="AC299" s="1" t="s">
        <v>1462</v>
      </c>
      <c r="AD299" s="1" t="s">
        <v>1463</v>
      </c>
    </row>
    <row r="300" spans="1:33" ht="13">
      <c r="A300" s="1" t="s">
        <v>1464</v>
      </c>
      <c r="B300" s="1" t="s">
        <v>394</v>
      </c>
      <c r="C300" s="1" t="s">
        <v>35</v>
      </c>
      <c r="D300" s="1"/>
      <c r="E300" s="6">
        <v>28884</v>
      </c>
      <c r="F300" s="1" t="s">
        <v>84</v>
      </c>
      <c r="G300" s="1">
        <v>2013</v>
      </c>
      <c r="H300" s="1">
        <v>21</v>
      </c>
      <c r="I300" s="7">
        <v>41442</v>
      </c>
      <c r="J300" s="7">
        <f t="shared" ca="1" si="6"/>
        <v>44606</v>
      </c>
      <c r="K300" s="8" t="s">
        <v>1056</v>
      </c>
      <c r="L300" s="9" t="e">
        <f t="shared" ca="1" si="0"/>
        <v>#NAME?</v>
      </c>
      <c r="M300" s="9" t="e">
        <f t="shared" ca="1" si="1"/>
        <v>#NAME?</v>
      </c>
      <c r="N300" s="10" t="e">
        <f t="shared" ca="1" si="2"/>
        <v>#NAME?</v>
      </c>
      <c r="O300" s="1" t="s">
        <v>38</v>
      </c>
      <c r="P300" s="1"/>
      <c r="Q300" s="1" t="s">
        <v>1057</v>
      </c>
      <c r="R300" s="1"/>
      <c r="S300" s="1"/>
      <c r="T300" s="1"/>
      <c r="U300" s="1"/>
      <c r="V300" s="1"/>
      <c r="W300" s="1"/>
      <c r="X300" s="1">
        <v>1</v>
      </c>
      <c r="Y300" s="17">
        <v>43538</v>
      </c>
      <c r="Z300" s="17">
        <v>43538</v>
      </c>
      <c r="AA300" s="1" t="s">
        <v>1465</v>
      </c>
      <c r="AB300" s="1">
        <v>6</v>
      </c>
      <c r="AC300" s="1" t="s">
        <v>1466</v>
      </c>
      <c r="AD300" s="1" t="s">
        <v>1467</v>
      </c>
    </row>
    <row r="301" spans="1:33" ht="13">
      <c r="A301" s="1" t="s">
        <v>1471</v>
      </c>
      <c r="B301" s="1" t="s">
        <v>394</v>
      </c>
      <c r="C301" s="1" t="s">
        <v>35</v>
      </c>
      <c r="D301" s="1"/>
      <c r="E301" s="6">
        <v>29013</v>
      </c>
      <c r="F301" s="1" t="s">
        <v>84</v>
      </c>
      <c r="G301" s="1">
        <v>2013</v>
      </c>
      <c r="H301" s="1">
        <v>21</v>
      </c>
      <c r="I301" s="7">
        <v>41442</v>
      </c>
      <c r="J301" s="7">
        <f t="shared" ca="1" si="6"/>
        <v>44606</v>
      </c>
      <c r="K301" s="8" t="s">
        <v>1056</v>
      </c>
      <c r="L301" s="9" t="e">
        <f t="shared" ca="1" si="0"/>
        <v>#NAME?</v>
      </c>
      <c r="M301" s="9" t="e">
        <f t="shared" ca="1" si="1"/>
        <v>#NAME?</v>
      </c>
      <c r="N301" s="10" t="e">
        <f t="shared" ca="1" si="2"/>
        <v>#NAME?</v>
      </c>
      <c r="O301" s="1" t="s">
        <v>38</v>
      </c>
      <c r="P301" s="1"/>
      <c r="Q301" s="1" t="s">
        <v>1057</v>
      </c>
      <c r="R301" s="1"/>
      <c r="S301" s="1"/>
      <c r="T301" s="1"/>
      <c r="U301" s="1"/>
      <c r="V301" s="1"/>
      <c r="W301" s="1"/>
      <c r="X301" s="1">
        <v>1</v>
      </c>
      <c r="Y301" s="17">
        <v>43437</v>
      </c>
      <c r="Z301" s="17">
        <v>43437</v>
      </c>
      <c r="AA301" s="1" t="s">
        <v>1473</v>
      </c>
      <c r="AB301" s="1">
        <v>2</v>
      </c>
      <c r="AC301" s="1" t="s">
        <v>1474</v>
      </c>
      <c r="AD301" s="1" t="s">
        <v>1475</v>
      </c>
    </row>
    <row r="302" spans="1:33" ht="13">
      <c r="A302" s="1" t="s">
        <v>1476</v>
      </c>
      <c r="B302" s="1" t="s">
        <v>394</v>
      </c>
      <c r="C302" s="1" t="s">
        <v>35</v>
      </c>
      <c r="D302" s="1"/>
      <c r="E302" s="6">
        <v>28307</v>
      </c>
      <c r="F302" s="1" t="s">
        <v>124</v>
      </c>
      <c r="G302" s="1">
        <v>2013</v>
      </c>
      <c r="H302" s="1">
        <v>21</v>
      </c>
      <c r="I302" s="7">
        <v>41442</v>
      </c>
      <c r="J302" s="7">
        <f t="shared" ca="1" si="6"/>
        <v>44606</v>
      </c>
      <c r="K302" s="8" t="s">
        <v>1056</v>
      </c>
      <c r="L302" s="9" t="e">
        <f t="shared" ca="1" si="0"/>
        <v>#NAME?</v>
      </c>
      <c r="M302" s="9" t="e">
        <f t="shared" ca="1" si="1"/>
        <v>#NAME?</v>
      </c>
      <c r="N302" s="10" t="e">
        <f t="shared" ca="1" si="2"/>
        <v>#NAME?</v>
      </c>
      <c r="O302" s="1" t="s">
        <v>38</v>
      </c>
      <c r="P302" s="1"/>
      <c r="Q302" s="1" t="s">
        <v>1057</v>
      </c>
      <c r="R302" s="1"/>
      <c r="S302" s="1"/>
      <c r="T302" s="1"/>
      <c r="U302" s="1"/>
      <c r="V302" s="1"/>
      <c r="W302" s="1"/>
      <c r="X302" s="1">
        <v>1</v>
      </c>
      <c r="Y302" s="17">
        <v>43733</v>
      </c>
      <c r="Z302" s="17">
        <v>43733</v>
      </c>
      <c r="AA302" s="1" t="s">
        <v>1478</v>
      </c>
      <c r="AB302" s="1">
        <v>3</v>
      </c>
      <c r="AC302" s="27" t="s">
        <v>1479</v>
      </c>
      <c r="AD302" s="1" t="s">
        <v>1480</v>
      </c>
    </row>
    <row r="303" spans="1:33" ht="13">
      <c r="A303" s="1" t="s">
        <v>1481</v>
      </c>
      <c r="B303" s="1" t="s">
        <v>34</v>
      </c>
      <c r="C303" s="1" t="s">
        <v>35</v>
      </c>
      <c r="D303" s="1"/>
      <c r="E303" s="6">
        <v>27795</v>
      </c>
      <c r="F303" s="1" t="s">
        <v>124</v>
      </c>
      <c r="G303" s="1">
        <v>2013</v>
      </c>
      <c r="H303" s="1">
        <v>21</v>
      </c>
      <c r="I303" s="7">
        <v>41442</v>
      </c>
      <c r="J303" s="7">
        <f t="shared" ca="1" si="6"/>
        <v>44606</v>
      </c>
      <c r="K303" s="8" t="s">
        <v>1056</v>
      </c>
      <c r="L303" s="9" t="e">
        <f t="shared" ca="1" si="0"/>
        <v>#NAME?</v>
      </c>
      <c r="M303" s="9" t="e">
        <f t="shared" ca="1" si="1"/>
        <v>#NAME?</v>
      </c>
      <c r="N303" s="10" t="e">
        <f t="shared" ca="1" si="2"/>
        <v>#NAME?</v>
      </c>
      <c r="O303" s="1" t="s">
        <v>38</v>
      </c>
      <c r="P303" s="1"/>
      <c r="Q303" s="1" t="s">
        <v>1057</v>
      </c>
      <c r="R303" s="1"/>
      <c r="S303" s="1"/>
      <c r="T303" s="1"/>
      <c r="U303" s="1"/>
      <c r="V303" s="1"/>
      <c r="W303" s="1"/>
      <c r="X303" s="1">
        <v>1</v>
      </c>
      <c r="Y303" s="17">
        <v>43666</v>
      </c>
      <c r="Z303" s="17">
        <v>43666</v>
      </c>
      <c r="AA303" s="1" t="s">
        <v>1483</v>
      </c>
      <c r="AB303" s="1">
        <v>7</v>
      </c>
      <c r="AC303" s="1" t="s">
        <v>1484</v>
      </c>
      <c r="AD303" s="1" t="s">
        <v>1485</v>
      </c>
    </row>
    <row r="304" spans="1:33" ht="13">
      <c r="A304" s="1" t="s">
        <v>1486</v>
      </c>
      <c r="B304" s="1" t="s">
        <v>394</v>
      </c>
      <c r="C304" s="1" t="s">
        <v>35</v>
      </c>
      <c r="D304" s="1"/>
      <c r="E304" s="6">
        <v>32039</v>
      </c>
      <c r="F304" s="1" t="s">
        <v>84</v>
      </c>
      <c r="G304" s="1">
        <v>2017</v>
      </c>
      <c r="H304" s="1">
        <v>22</v>
      </c>
      <c r="I304" s="2">
        <v>42893</v>
      </c>
      <c r="J304" s="7">
        <f t="shared" ca="1" si="6"/>
        <v>44606</v>
      </c>
      <c r="K304" s="8" t="s">
        <v>1056</v>
      </c>
      <c r="L304" s="9" t="e">
        <f t="shared" ca="1" si="0"/>
        <v>#NAME?</v>
      </c>
      <c r="M304" s="9" t="e">
        <f t="shared" ca="1" si="1"/>
        <v>#NAME?</v>
      </c>
      <c r="N304" s="10" t="e">
        <f t="shared" ca="1" si="2"/>
        <v>#NAME?</v>
      </c>
      <c r="O304" s="1" t="s">
        <v>38</v>
      </c>
      <c r="P304" s="1"/>
      <c r="Q304" s="1" t="s">
        <v>1057</v>
      </c>
      <c r="R304" s="1"/>
      <c r="S304" s="1"/>
      <c r="T304" s="1"/>
      <c r="U304" s="1"/>
      <c r="V304" s="1"/>
      <c r="W304" s="1"/>
      <c r="X304" s="1">
        <v>1</v>
      </c>
      <c r="Y304" s="2">
        <v>44511</v>
      </c>
      <c r="Z304" s="2">
        <v>44511</v>
      </c>
      <c r="AA304" s="1">
        <v>0</v>
      </c>
      <c r="AB304" s="1">
        <v>1</v>
      </c>
      <c r="AC304" s="1" t="s">
        <v>1488</v>
      </c>
      <c r="AD304" s="1" t="s">
        <v>1489</v>
      </c>
      <c r="AG304" s="1" t="s">
        <v>1389</v>
      </c>
    </row>
    <row r="305" spans="1:33" ht="13">
      <c r="A305" s="1" t="s">
        <v>1490</v>
      </c>
      <c r="B305" s="1" t="s">
        <v>394</v>
      </c>
      <c r="C305" s="1" t="s">
        <v>35</v>
      </c>
      <c r="D305" s="1"/>
      <c r="E305" s="6">
        <v>32076</v>
      </c>
      <c r="F305" s="1" t="s">
        <v>84</v>
      </c>
      <c r="G305" s="1">
        <v>2017</v>
      </c>
      <c r="H305" s="1">
        <v>22</v>
      </c>
      <c r="I305" s="2">
        <v>42893</v>
      </c>
      <c r="J305" s="7">
        <f t="shared" ca="1" si="6"/>
        <v>44606</v>
      </c>
      <c r="K305" s="8" t="s">
        <v>1056</v>
      </c>
      <c r="L305" s="9" t="e">
        <f t="shared" ca="1" si="0"/>
        <v>#NAME?</v>
      </c>
      <c r="M305" s="9" t="e">
        <f t="shared" ca="1" si="1"/>
        <v>#NAME?</v>
      </c>
      <c r="N305" s="10" t="str">
        <f t="shared" si="2"/>
        <v>N/A</v>
      </c>
      <c r="O305" s="1" t="s">
        <v>38</v>
      </c>
      <c r="P305" s="1"/>
      <c r="Q305" s="1" t="s">
        <v>1057</v>
      </c>
      <c r="R305" s="1"/>
      <c r="S305" s="1"/>
      <c r="T305" s="1"/>
      <c r="U305" s="1"/>
      <c r="V305" s="1"/>
      <c r="W305" s="1"/>
      <c r="X305" s="1">
        <v>0</v>
      </c>
      <c r="Y305" s="7"/>
      <c r="Z305" s="7"/>
      <c r="AA305" s="1">
        <v>0</v>
      </c>
      <c r="AB305" s="1">
        <v>0</v>
      </c>
      <c r="AC305" s="1">
        <v>0</v>
      </c>
      <c r="AD305" s="1"/>
    </row>
    <row r="306" spans="1:33" ht="13">
      <c r="A306" s="1" t="s">
        <v>1493</v>
      </c>
      <c r="B306" s="1" t="s">
        <v>34</v>
      </c>
      <c r="C306" s="1" t="s">
        <v>35</v>
      </c>
      <c r="D306" s="1"/>
      <c r="E306" s="6">
        <v>29927</v>
      </c>
      <c r="F306" s="1" t="s">
        <v>84</v>
      </c>
      <c r="G306" s="1">
        <v>2017</v>
      </c>
      <c r="H306" s="1">
        <v>22</v>
      </c>
      <c r="I306" s="2">
        <v>42893</v>
      </c>
      <c r="J306" s="7">
        <f t="shared" ca="1" si="6"/>
        <v>44606</v>
      </c>
      <c r="K306" s="8" t="s">
        <v>1056</v>
      </c>
      <c r="L306" s="9" t="e">
        <f t="shared" ca="1" si="0"/>
        <v>#NAME?</v>
      </c>
      <c r="M306" s="9" t="e">
        <f t="shared" ca="1" si="1"/>
        <v>#NAME?</v>
      </c>
      <c r="N306" s="10" t="str">
        <f t="shared" si="2"/>
        <v>N/A</v>
      </c>
      <c r="O306" s="1" t="s">
        <v>38</v>
      </c>
      <c r="P306" s="1"/>
      <c r="Q306" s="1" t="s">
        <v>1057</v>
      </c>
      <c r="R306" s="1"/>
      <c r="S306" s="1"/>
      <c r="T306" s="1"/>
      <c r="U306" s="1"/>
      <c r="V306" s="1"/>
      <c r="W306" s="1"/>
      <c r="X306" s="1">
        <v>0</v>
      </c>
      <c r="Y306" s="7"/>
      <c r="Z306" s="7"/>
      <c r="AA306" s="1">
        <v>0</v>
      </c>
      <c r="AB306" s="1">
        <v>0</v>
      </c>
      <c r="AC306" s="1">
        <v>0</v>
      </c>
      <c r="AD306" s="1"/>
    </row>
    <row r="307" spans="1:33" ht="13">
      <c r="A307" s="1" t="s">
        <v>1495</v>
      </c>
      <c r="B307" s="1" t="s">
        <v>34</v>
      </c>
      <c r="C307" s="1" t="s">
        <v>35</v>
      </c>
      <c r="D307" s="1"/>
      <c r="E307" s="6">
        <v>27739</v>
      </c>
      <c r="F307" s="1" t="s">
        <v>84</v>
      </c>
      <c r="G307" s="1">
        <v>2017</v>
      </c>
      <c r="H307" s="1">
        <v>22</v>
      </c>
      <c r="I307" s="2">
        <v>42893</v>
      </c>
      <c r="J307" s="7">
        <f t="shared" ca="1" si="6"/>
        <v>44606</v>
      </c>
      <c r="K307" s="8" t="s">
        <v>1056</v>
      </c>
      <c r="L307" s="9" t="e">
        <f t="shared" ca="1" si="0"/>
        <v>#NAME?</v>
      </c>
      <c r="M307" s="9" t="e">
        <f t="shared" ca="1" si="1"/>
        <v>#NAME?</v>
      </c>
      <c r="N307" s="10" t="str">
        <f t="shared" si="2"/>
        <v>N/A</v>
      </c>
      <c r="O307" s="1" t="s">
        <v>38</v>
      </c>
      <c r="P307" s="1"/>
      <c r="Q307" s="1" t="s">
        <v>1057</v>
      </c>
      <c r="R307" s="1"/>
      <c r="S307" s="1"/>
      <c r="T307" s="1"/>
      <c r="U307" s="1"/>
      <c r="V307" s="1"/>
      <c r="W307" s="1"/>
      <c r="X307" s="1">
        <v>0</v>
      </c>
      <c r="Y307" s="7"/>
      <c r="Z307" s="7"/>
      <c r="AA307" s="1">
        <v>0</v>
      </c>
      <c r="AB307" s="1">
        <v>0</v>
      </c>
      <c r="AC307" s="1">
        <v>0</v>
      </c>
      <c r="AD307" s="1"/>
    </row>
    <row r="308" spans="1:33" ht="13">
      <c r="A308" s="1" t="s">
        <v>1497</v>
      </c>
      <c r="B308" s="1" t="s">
        <v>34</v>
      </c>
      <c r="C308" s="1" t="s">
        <v>35</v>
      </c>
      <c r="D308" s="1"/>
      <c r="E308" s="6">
        <v>31306</v>
      </c>
      <c r="F308" s="1" t="s">
        <v>124</v>
      </c>
      <c r="G308" s="1">
        <v>2017</v>
      </c>
      <c r="H308" s="1">
        <v>22</v>
      </c>
      <c r="I308" s="2">
        <v>42893</v>
      </c>
      <c r="J308" s="7">
        <f t="shared" ca="1" si="6"/>
        <v>44606</v>
      </c>
      <c r="K308" s="8" t="s">
        <v>1056</v>
      </c>
      <c r="L308" s="9" t="e">
        <f t="shared" ca="1" si="0"/>
        <v>#NAME?</v>
      </c>
      <c r="M308" s="9" t="e">
        <f t="shared" ca="1" si="1"/>
        <v>#NAME?</v>
      </c>
      <c r="N308" s="10" t="str">
        <f t="shared" si="2"/>
        <v>N/A</v>
      </c>
      <c r="O308" s="1" t="s">
        <v>38</v>
      </c>
      <c r="P308" s="1"/>
      <c r="Q308" s="1" t="s">
        <v>1057</v>
      </c>
      <c r="R308" s="1"/>
      <c r="S308" s="1"/>
      <c r="T308" s="1"/>
      <c r="U308" s="1"/>
      <c r="V308" s="1"/>
      <c r="W308" s="1"/>
      <c r="X308" s="1">
        <v>0</v>
      </c>
      <c r="Y308" s="7"/>
      <c r="Z308" s="7"/>
      <c r="AA308" s="1">
        <v>0</v>
      </c>
      <c r="AB308" s="1">
        <v>0</v>
      </c>
      <c r="AC308" s="1">
        <v>0</v>
      </c>
      <c r="AD308" s="1"/>
    </row>
    <row r="309" spans="1:33" ht="13">
      <c r="A309" s="1" t="s">
        <v>1500</v>
      </c>
      <c r="B309" s="1" t="s">
        <v>34</v>
      </c>
      <c r="C309" s="1" t="s">
        <v>35</v>
      </c>
      <c r="D309" s="1"/>
      <c r="E309" s="6">
        <v>30657</v>
      </c>
      <c r="F309" s="1" t="s">
        <v>124</v>
      </c>
      <c r="G309" s="1">
        <v>2017</v>
      </c>
      <c r="H309" s="1">
        <v>22</v>
      </c>
      <c r="I309" s="2">
        <v>42893</v>
      </c>
      <c r="J309" s="2">
        <v>43343</v>
      </c>
      <c r="K309" s="3" t="s">
        <v>1501</v>
      </c>
      <c r="L309" s="9" t="e">
        <f t="shared" ca="1" si="0"/>
        <v>#NAME?</v>
      </c>
      <c r="M309" s="9" t="str">
        <f t="shared" si="1"/>
        <v>N/A</v>
      </c>
      <c r="N309" s="10" t="str">
        <f t="shared" si="2"/>
        <v>N/A</v>
      </c>
      <c r="O309" s="1" t="s">
        <v>38</v>
      </c>
      <c r="P309" s="1"/>
      <c r="Q309" s="1" t="s">
        <v>297</v>
      </c>
      <c r="R309" s="1"/>
      <c r="S309" s="1"/>
      <c r="T309" s="1"/>
      <c r="U309" s="1"/>
      <c r="V309" s="1"/>
      <c r="W309" s="1"/>
      <c r="X309" s="1">
        <v>0</v>
      </c>
      <c r="Y309" s="7"/>
      <c r="Z309" s="7"/>
      <c r="AA309" s="1">
        <v>0</v>
      </c>
      <c r="AB309" s="1">
        <v>0</v>
      </c>
      <c r="AC309" s="1">
        <v>0</v>
      </c>
      <c r="AD309" s="1"/>
      <c r="AG309" s="1" t="s">
        <v>324</v>
      </c>
    </row>
    <row r="310" spans="1:33" ht="13">
      <c r="A310" s="1" t="s">
        <v>1506</v>
      </c>
      <c r="B310" s="1" t="s">
        <v>394</v>
      </c>
      <c r="C310" s="1" t="s">
        <v>35</v>
      </c>
      <c r="D310" s="1"/>
      <c r="E310" s="6">
        <v>30439</v>
      </c>
      <c r="F310" s="1" t="s">
        <v>84</v>
      </c>
      <c r="G310" s="1">
        <v>2017</v>
      </c>
      <c r="H310" s="1">
        <v>22</v>
      </c>
      <c r="I310" s="2">
        <v>42893</v>
      </c>
      <c r="J310" s="7">
        <f t="shared" ref="J310:J316" ca="1" si="7">TODAY()</f>
        <v>44606</v>
      </c>
      <c r="K310" s="8" t="s">
        <v>1056</v>
      </c>
      <c r="L310" s="9" t="e">
        <f t="shared" ca="1" si="0"/>
        <v>#NAME?</v>
      </c>
      <c r="M310" s="9" t="e">
        <f t="shared" ca="1" si="1"/>
        <v>#NAME?</v>
      </c>
      <c r="N310" s="10" t="str">
        <f t="shared" si="2"/>
        <v>N/A</v>
      </c>
      <c r="O310" s="1" t="s">
        <v>38</v>
      </c>
      <c r="P310" s="1"/>
      <c r="Q310" s="1" t="s">
        <v>1057</v>
      </c>
      <c r="R310" s="1"/>
      <c r="S310" s="1"/>
      <c r="T310" s="1"/>
      <c r="U310" s="1"/>
      <c r="V310" s="1"/>
      <c r="W310" s="1"/>
      <c r="X310" s="1">
        <v>0</v>
      </c>
      <c r="Y310" s="7"/>
      <c r="Z310" s="7"/>
      <c r="AA310" s="1">
        <v>0</v>
      </c>
      <c r="AB310" s="1">
        <v>0</v>
      </c>
      <c r="AC310" s="1">
        <v>0</v>
      </c>
      <c r="AD310" s="1"/>
    </row>
    <row r="311" spans="1:33" ht="13">
      <c r="A311" s="1" t="s">
        <v>1511</v>
      </c>
      <c r="B311" s="1" t="s">
        <v>394</v>
      </c>
      <c r="C311" s="1" t="s">
        <v>35</v>
      </c>
      <c r="D311" s="1"/>
      <c r="E311" s="1">
        <v>1988</v>
      </c>
      <c r="F311" s="1" t="s">
        <v>84</v>
      </c>
      <c r="G311" s="1">
        <v>2021</v>
      </c>
      <c r="H311" s="1">
        <v>23</v>
      </c>
      <c r="I311" s="2">
        <v>44536</v>
      </c>
      <c r="J311" s="7">
        <f t="shared" ca="1" si="7"/>
        <v>44606</v>
      </c>
      <c r="K311" s="3" t="s">
        <v>1512</v>
      </c>
      <c r="L311" s="9" t="e">
        <f t="shared" ca="1" si="0"/>
        <v>#NAME?</v>
      </c>
      <c r="M311" s="9" t="str">
        <f t="shared" si="1"/>
        <v>N/A</v>
      </c>
      <c r="N311" s="10" t="str">
        <f t="shared" si="2"/>
        <v>N/A</v>
      </c>
      <c r="O311" s="1" t="s">
        <v>38</v>
      </c>
      <c r="P311" s="1"/>
      <c r="Q311" s="3" t="s">
        <v>1513</v>
      </c>
      <c r="R311" s="1" t="s">
        <v>643</v>
      </c>
      <c r="S311" s="1" t="s">
        <v>1514</v>
      </c>
      <c r="T311" s="1" t="s">
        <v>272</v>
      </c>
      <c r="U311" s="1" t="s">
        <v>1515</v>
      </c>
      <c r="V311" s="1" t="s">
        <v>80</v>
      </c>
      <c r="W311" s="1" t="s">
        <v>64</v>
      </c>
      <c r="X311" s="1">
        <v>0</v>
      </c>
      <c r="Y311" s="2"/>
      <c r="Z311" s="2"/>
      <c r="AA311" s="1">
        <v>0</v>
      </c>
      <c r="AB311" s="1">
        <v>0</v>
      </c>
      <c r="AC311" s="1">
        <v>0</v>
      </c>
      <c r="AD311" s="1"/>
    </row>
    <row r="312" spans="1:33" ht="13">
      <c r="A312" s="1" t="s">
        <v>1520</v>
      </c>
      <c r="B312" s="1" t="s">
        <v>394</v>
      </c>
      <c r="C312" s="1" t="s">
        <v>35</v>
      </c>
      <c r="D312" s="1"/>
      <c r="E312" s="6">
        <v>31733</v>
      </c>
      <c r="F312" s="1" t="s">
        <v>124</v>
      </c>
      <c r="G312" s="1">
        <v>2021</v>
      </c>
      <c r="H312" s="1">
        <v>23</v>
      </c>
      <c r="I312" s="2">
        <v>44536</v>
      </c>
      <c r="J312" s="7">
        <f t="shared" ca="1" si="7"/>
        <v>44606</v>
      </c>
      <c r="K312" s="3" t="s">
        <v>1512</v>
      </c>
      <c r="L312" s="9" t="e">
        <f t="shared" ca="1" si="0"/>
        <v>#NAME?</v>
      </c>
      <c r="M312" s="9" t="str">
        <f t="shared" si="1"/>
        <v>N/A</v>
      </c>
      <c r="N312" s="10" t="str">
        <f t="shared" si="2"/>
        <v>N/A</v>
      </c>
      <c r="O312" s="1" t="s">
        <v>38</v>
      </c>
      <c r="P312" s="1"/>
      <c r="Q312" s="3" t="s">
        <v>1513</v>
      </c>
      <c r="R312" s="1" t="s">
        <v>1521</v>
      </c>
      <c r="S312" s="1" t="s">
        <v>1522</v>
      </c>
      <c r="T312" s="1" t="s">
        <v>1523</v>
      </c>
      <c r="U312" s="1" t="s">
        <v>1524</v>
      </c>
      <c r="V312" s="1"/>
      <c r="W312" s="1"/>
      <c r="X312" s="1">
        <v>0</v>
      </c>
      <c r="Y312" s="2"/>
      <c r="Z312" s="2"/>
      <c r="AA312" s="1">
        <v>0</v>
      </c>
      <c r="AB312" s="1">
        <v>0</v>
      </c>
      <c r="AC312" s="1">
        <v>0</v>
      </c>
      <c r="AD312" s="1"/>
    </row>
    <row r="313" spans="1:33" ht="13">
      <c r="A313" s="1" t="s">
        <v>1525</v>
      </c>
      <c r="B313" s="1" t="s">
        <v>394</v>
      </c>
      <c r="C313" s="1" t="s">
        <v>35</v>
      </c>
      <c r="D313" s="1"/>
      <c r="E313" s="6">
        <v>31321</v>
      </c>
      <c r="F313" s="1" t="s">
        <v>84</v>
      </c>
      <c r="G313" s="1">
        <v>2021</v>
      </c>
      <c r="H313" s="1">
        <v>23</v>
      </c>
      <c r="I313" s="2">
        <v>44536</v>
      </c>
      <c r="J313" s="7">
        <f t="shared" ca="1" si="7"/>
        <v>44606</v>
      </c>
      <c r="K313" s="3" t="s">
        <v>1512</v>
      </c>
      <c r="L313" s="9" t="e">
        <f t="shared" ca="1" si="0"/>
        <v>#NAME?</v>
      </c>
      <c r="M313" s="9" t="str">
        <f t="shared" si="1"/>
        <v>N/A</v>
      </c>
      <c r="N313" s="10" t="str">
        <f t="shared" si="2"/>
        <v>N/A</v>
      </c>
      <c r="O313" s="1" t="s">
        <v>38</v>
      </c>
      <c r="P313" s="1"/>
      <c r="Q313" s="3" t="s">
        <v>1513</v>
      </c>
      <c r="R313" s="1" t="s">
        <v>1526</v>
      </c>
      <c r="S313" s="1" t="s">
        <v>1527</v>
      </c>
      <c r="T313" s="1" t="s">
        <v>579</v>
      </c>
      <c r="U313" s="1" t="s">
        <v>62</v>
      </c>
      <c r="V313" s="1" t="s">
        <v>1528</v>
      </c>
      <c r="W313" s="1" t="s">
        <v>150</v>
      </c>
      <c r="X313" s="1">
        <v>0</v>
      </c>
      <c r="Y313" s="2"/>
      <c r="Z313" s="2"/>
      <c r="AA313" s="1">
        <v>0</v>
      </c>
      <c r="AB313" s="1">
        <v>0</v>
      </c>
      <c r="AC313" s="1">
        <v>0</v>
      </c>
      <c r="AD313" s="1"/>
    </row>
    <row r="314" spans="1:33" ht="13">
      <c r="A314" s="1" t="s">
        <v>1529</v>
      </c>
      <c r="B314" s="1" t="s">
        <v>34</v>
      </c>
      <c r="C314" s="1" t="s">
        <v>35</v>
      </c>
      <c r="D314" s="1"/>
      <c r="E314" s="1">
        <v>1979</v>
      </c>
      <c r="F314" s="1" t="s">
        <v>84</v>
      </c>
      <c r="G314" s="1">
        <v>2021</v>
      </c>
      <c r="H314" s="1">
        <v>23</v>
      </c>
      <c r="I314" s="2">
        <v>44536</v>
      </c>
      <c r="J314" s="7">
        <f t="shared" ca="1" si="7"/>
        <v>44606</v>
      </c>
      <c r="K314" s="3" t="s">
        <v>1512</v>
      </c>
      <c r="L314" s="9" t="e">
        <f t="shared" ca="1" si="0"/>
        <v>#NAME?</v>
      </c>
      <c r="M314" s="9" t="str">
        <f t="shared" si="1"/>
        <v>N/A</v>
      </c>
      <c r="N314" s="10" t="str">
        <f t="shared" si="2"/>
        <v>N/A</v>
      </c>
      <c r="O314" s="1" t="s">
        <v>38</v>
      </c>
      <c r="P314" s="1"/>
      <c r="Q314" s="3" t="s">
        <v>1513</v>
      </c>
      <c r="R314" s="1" t="s">
        <v>311</v>
      </c>
      <c r="S314" s="1" t="s">
        <v>1530</v>
      </c>
      <c r="T314" s="1" t="s">
        <v>62</v>
      </c>
      <c r="U314" s="1" t="s">
        <v>87</v>
      </c>
      <c r="V314" s="1" t="s">
        <v>80</v>
      </c>
      <c r="W314" s="1" t="s">
        <v>182</v>
      </c>
      <c r="X314" s="1">
        <v>0</v>
      </c>
      <c r="Y314" s="2"/>
      <c r="Z314" s="2"/>
      <c r="AA314" s="1">
        <v>0</v>
      </c>
      <c r="AB314" s="1">
        <v>0</v>
      </c>
      <c r="AC314" s="1">
        <v>0</v>
      </c>
      <c r="AD314" s="1"/>
    </row>
    <row r="315" spans="1:33" ht="13">
      <c r="A315" s="1" t="s">
        <v>1534</v>
      </c>
      <c r="B315" s="1" t="s">
        <v>34</v>
      </c>
      <c r="C315" s="1" t="s">
        <v>35</v>
      </c>
      <c r="D315" s="1"/>
      <c r="E315" s="1">
        <v>1982</v>
      </c>
      <c r="F315" s="1" t="s">
        <v>84</v>
      </c>
      <c r="G315" s="1">
        <v>2021</v>
      </c>
      <c r="H315" s="1">
        <v>23</v>
      </c>
      <c r="I315" s="2">
        <v>44536</v>
      </c>
      <c r="J315" s="7">
        <f t="shared" ca="1" si="7"/>
        <v>44606</v>
      </c>
      <c r="K315" s="3" t="s">
        <v>1512</v>
      </c>
      <c r="L315" s="9" t="e">
        <f t="shared" ca="1" si="0"/>
        <v>#NAME?</v>
      </c>
      <c r="M315" s="9" t="str">
        <f t="shared" si="1"/>
        <v>N/A</v>
      </c>
      <c r="N315" s="10" t="str">
        <f t="shared" si="2"/>
        <v>N/A</v>
      </c>
      <c r="O315" s="1" t="s">
        <v>38</v>
      </c>
      <c r="P315" s="1"/>
      <c r="Q315" s="3" t="s">
        <v>1513</v>
      </c>
      <c r="R315" s="1" t="s">
        <v>1535</v>
      </c>
      <c r="S315" s="1" t="s">
        <v>1536</v>
      </c>
      <c r="T315" s="1" t="s">
        <v>158</v>
      </c>
      <c r="U315" s="1" t="s">
        <v>1537</v>
      </c>
      <c r="V315" s="1" t="s">
        <v>43</v>
      </c>
      <c r="W315" s="1" t="s">
        <v>150</v>
      </c>
      <c r="X315" s="1">
        <v>0</v>
      </c>
      <c r="Y315" s="2"/>
      <c r="Z315" s="2"/>
      <c r="AA315" s="1">
        <v>0</v>
      </c>
      <c r="AB315" s="1">
        <v>0</v>
      </c>
      <c r="AC315" s="1">
        <v>0</v>
      </c>
      <c r="AD315" s="1"/>
    </row>
    <row r="316" spans="1:33" ht="13">
      <c r="A316" s="1" t="s">
        <v>1544</v>
      </c>
      <c r="B316" s="1" t="s">
        <v>394</v>
      </c>
      <c r="C316" s="1" t="s">
        <v>35</v>
      </c>
      <c r="D316" s="1"/>
      <c r="E316" s="1">
        <v>1983</v>
      </c>
      <c r="F316" s="1" t="s">
        <v>84</v>
      </c>
      <c r="G316" s="1">
        <v>2021</v>
      </c>
      <c r="H316" s="1">
        <v>23</v>
      </c>
      <c r="I316" s="2">
        <v>44536</v>
      </c>
      <c r="J316" s="7">
        <f t="shared" ca="1" si="7"/>
        <v>44606</v>
      </c>
      <c r="K316" s="3" t="s">
        <v>1512</v>
      </c>
      <c r="L316" s="9" t="e">
        <f t="shared" ca="1" si="0"/>
        <v>#NAME?</v>
      </c>
      <c r="M316" s="9" t="str">
        <f t="shared" si="1"/>
        <v>N/A</v>
      </c>
      <c r="N316" s="10" t="str">
        <f t="shared" si="2"/>
        <v>N/A</v>
      </c>
      <c r="O316" s="1" t="s">
        <v>38</v>
      </c>
      <c r="P316" s="1"/>
      <c r="Q316" s="3" t="s">
        <v>1513</v>
      </c>
      <c r="R316" s="1" t="s">
        <v>504</v>
      </c>
      <c r="S316" s="1" t="s">
        <v>474</v>
      </c>
      <c r="T316" s="1" t="s">
        <v>87</v>
      </c>
      <c r="U316" s="1" t="s">
        <v>87</v>
      </c>
      <c r="V316" s="1" t="s">
        <v>1545</v>
      </c>
      <c r="W316" s="1" t="s">
        <v>150</v>
      </c>
      <c r="X316" s="1">
        <v>0</v>
      </c>
      <c r="Y316" s="2"/>
      <c r="Z316" s="2"/>
      <c r="AA316" s="1">
        <v>0</v>
      </c>
      <c r="AB316" s="1">
        <v>0</v>
      </c>
      <c r="AC316" s="1">
        <v>0</v>
      </c>
      <c r="AD316" s="1"/>
    </row>
    <row r="317" spans="1:33" ht="13">
      <c r="C317" s="6"/>
      <c r="D317" s="6"/>
      <c r="E317" s="6"/>
      <c r="I317" s="12"/>
      <c r="J317" s="12"/>
      <c r="K317" s="28"/>
      <c r="L317" s="29"/>
      <c r="M317" s="29"/>
      <c r="N317" s="30"/>
      <c r="Y317" s="12"/>
      <c r="Z317" s="12"/>
    </row>
    <row r="318" spans="1:33" ht="13">
      <c r="A318" s="42" t="s">
        <v>1577</v>
      </c>
      <c r="I318" s="12"/>
      <c r="J318" s="12"/>
      <c r="K318" s="28"/>
      <c r="L318" s="29"/>
      <c r="M318" s="29"/>
      <c r="N318" s="30"/>
      <c r="Y318" s="12"/>
      <c r="Z318" s="12"/>
    </row>
    <row r="319" spans="1:33" ht="13">
      <c r="A319" s="52" t="s">
        <v>1571</v>
      </c>
      <c r="B319" s="53"/>
      <c r="C319" s="48">
        <f ca="1">IFERROR(__xludf.DUMMYFUNCTION("AVERAGE(FILTER(L:L,(K:K=""D"")+(K:K=""R"")+(K:K=""M"")+(K:K=""T"")+(K:K=""RG"")))"),15.2540032639335)</f>
        <v>15.2540032639335</v>
      </c>
    </row>
    <row r="320" spans="1:33" ht="13">
      <c r="A320" s="52" t="s">
        <v>1572</v>
      </c>
      <c r="B320" s="53"/>
      <c r="C320" s="48">
        <f ca="1">IFERROR(__xludf.DUMMYFUNCTION("AVERAGE(FILTER(L:L,(K:K=""A"")))"),14.5172945205479)</f>
        <v>14.5172945205479</v>
      </c>
    </row>
    <row r="321" spans="1:3" ht="13">
      <c r="A321" s="52" t="s">
        <v>1573</v>
      </c>
      <c r="B321" s="53"/>
      <c r="C321" s="48" t="e">
        <f ca="1">AVERAGE(M:M)</f>
        <v>#NAME?</v>
      </c>
    </row>
    <row r="322" spans="1:3" ht="13">
      <c r="A322" s="52" t="s">
        <v>1574</v>
      </c>
      <c r="B322" s="53"/>
      <c r="C322" s="48" t="e">
        <f ca="1">AVERAGE(N:N)</f>
        <v>#NAME?</v>
      </c>
    </row>
    <row r="324" spans="1:3" ht="13">
      <c r="A324" s="42" t="s">
        <v>1578</v>
      </c>
    </row>
    <row r="325" spans="1:3" ht="13">
      <c r="A325" s="52" t="s">
        <v>1571</v>
      </c>
      <c r="B325" s="53"/>
      <c r="C325" s="48">
        <f ca="1">IFERROR(__xludf.DUMMYFUNCTION("AVERAGE(FILTER(L:L,(K:K=""D"")+(K:K=""R"")+(K:K=""M"")+(K:K=""T"")+(K:K=""RG""), (B:B=""Male"")))"),14.848839578852)</f>
        <v>14.848839578851999</v>
      </c>
    </row>
    <row r="326" spans="1:3" ht="13">
      <c r="A326" s="52" t="s">
        <v>1572</v>
      </c>
      <c r="B326" s="53"/>
      <c r="C326" s="48">
        <f ca="1">IFERROR(__xludf.DUMMYFUNCTION("AVERAGE(FILTER(L:L,(K:K=""A""),(B:B=""Male"")))"),15.8525529265255)</f>
        <v>15.852552926525499</v>
      </c>
    </row>
    <row r="327" spans="1:3" ht="13">
      <c r="A327" s="52" t="s">
        <v>1573</v>
      </c>
      <c r="B327" s="53"/>
      <c r="C327" s="48">
        <f ca="1">IFERROR(__xludf.DUMMYFUNCTION("AVERAGE(FILTER(M:M,(B:B=""Male"")))"),6.39990057445868)</f>
        <v>6.3999005744586803</v>
      </c>
    </row>
    <row r="328" spans="1:3" ht="13">
      <c r="A328" s="52" t="s">
        <v>1574</v>
      </c>
      <c r="B328" s="53"/>
      <c r="C328" s="48">
        <f ca="1">IFERROR(__xludf.DUMMYFUNCTION("AVERAGE(FILTER(N:N,(B:B=""Male"")))"),4.56257579160116)</f>
        <v>4.5625757916011596</v>
      </c>
    </row>
    <row r="330" spans="1:3" ht="13">
      <c r="A330" s="42" t="s">
        <v>1579</v>
      </c>
    </row>
    <row r="331" spans="1:3" ht="13">
      <c r="A331" s="52" t="s">
        <v>1571</v>
      </c>
      <c r="B331" s="53"/>
      <c r="C331" s="48">
        <f ca="1">IFERROR(__xludf.DUMMYFUNCTION("AVERAGE(FILTER(L:L,(K:K=""D"")+(K:K=""R"")+(K:K=""M"")+(K:K=""T"")+(K:K=""RG""), (B:B=""Female"")))"),18.0554207436399)</f>
        <v>18.0554207436399</v>
      </c>
    </row>
    <row r="332" spans="1:3" ht="13">
      <c r="A332" s="52" t="s">
        <v>1572</v>
      </c>
      <c r="B332" s="53"/>
      <c r="C332" s="48">
        <f ca="1">IFERROR(__xludf.DUMMYFUNCTION("AVERAGE(FILTER(L:L,(K:K=""A""),(B:B=""Female"")))"),11.5797260273972)</f>
        <v>11.5797260273972</v>
      </c>
    </row>
    <row r="333" spans="1:3" ht="13">
      <c r="A333" s="52" t="s">
        <v>1573</v>
      </c>
      <c r="B333" s="53"/>
      <c r="C333" s="48">
        <f ca="1">IFERROR(__xludf.DUMMYFUNCTION("AVERAGE(FILTER(M:M,(B:B=""Female"")))"),5.88044831880448)</f>
        <v>5.88044831880448</v>
      </c>
    </row>
    <row r="334" spans="1:3" ht="13">
      <c r="A334" s="52" t="s">
        <v>1574</v>
      </c>
      <c r="B334" s="53"/>
      <c r="C334" s="48">
        <f ca="1">IFERROR(__xludf.DUMMYFUNCTION("AVERAGE(FILTER(N:N,(B:B=""Female"")))"),5.86999347684279)</f>
        <v>5.8699934768427902</v>
      </c>
    </row>
  </sheetData>
  <mergeCells count="12">
    <mergeCell ref="A326:B326"/>
    <mergeCell ref="A327:B327"/>
    <mergeCell ref="A319:B319"/>
    <mergeCell ref="A320:B320"/>
    <mergeCell ref="A321:B321"/>
    <mergeCell ref="A322:B322"/>
    <mergeCell ref="A325:B325"/>
    <mergeCell ref="A328:B328"/>
    <mergeCell ref="A331:B331"/>
    <mergeCell ref="A332:B332"/>
    <mergeCell ref="A333:B333"/>
    <mergeCell ref="A334:B33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4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5" defaultRowHeight="15.75" customHeight="1"/>
  <sheetData>
    <row r="1" spans="1:26" ht="15.75" customHeight="1">
      <c r="A1" s="1"/>
      <c r="B1" s="1" t="s">
        <v>34</v>
      </c>
      <c r="C1" s="1" t="s">
        <v>394</v>
      </c>
      <c r="D1" s="1" t="s">
        <v>35</v>
      </c>
      <c r="E1" s="1" t="s">
        <v>361</v>
      </c>
      <c r="F1" s="1" t="s">
        <v>530</v>
      </c>
      <c r="G1" s="1" t="s">
        <v>459</v>
      </c>
    </row>
    <row r="2" spans="1:26" ht="15.75" customHeight="1">
      <c r="A2" s="36" t="s">
        <v>1567</v>
      </c>
      <c r="B2" s="36">
        <f>COUNTIFS(astronauts!B:B,"Male")</f>
        <v>299</v>
      </c>
      <c r="C2" s="36">
        <f>COUNTIFS(astronauts!B:B,"Female")</f>
        <v>61</v>
      </c>
      <c r="D2" s="36">
        <f>COUNTIF(astronauts!C:C, "White")</f>
        <v>316</v>
      </c>
      <c r="E2" s="36">
        <f>COUNTIF(astronauts!C:C, "Black")</f>
        <v>19</v>
      </c>
      <c r="F2" s="36">
        <f>COUNTIF(astronauts!C:C, "Hispanic")</f>
        <v>14</v>
      </c>
      <c r="G2" s="36">
        <f>COUNTIF(astronauts!C:C, "Asian")</f>
        <v>10</v>
      </c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spans="1:26" ht="15.75" customHeight="1">
      <c r="A3" s="40" t="s">
        <v>36</v>
      </c>
      <c r="B3" s="40">
        <f>COUNTIFS(astronauts!B:B,"Male", astronauts!F:F, "Bachelor's")/B2</f>
        <v>0.1806020066889632</v>
      </c>
      <c r="C3" s="40">
        <f>COUNTIFS(astronauts!B:B,"Female", astronauts!F:F, "Bachelor's")/C2</f>
        <v>3.2786885245901641E-2</v>
      </c>
      <c r="D3" s="40">
        <f>COUNTIFS(astronauts!C:C,"White", astronauts!F:F, "Bachelor's")/D2</f>
        <v>0.17405063291139242</v>
      </c>
      <c r="E3" s="40">
        <f>COUNTIFS(astronauts!C:C,"Black", astronauts!F:F, "Bachelor's")/E2</f>
        <v>5.2631578947368418E-2</v>
      </c>
      <c r="F3" s="40">
        <f>COUNTIFS(astronauts!C:C,"Hispanic", astronauts!F:F, "Bachelor's")/F2</f>
        <v>0</v>
      </c>
      <c r="G3" s="40">
        <f>COUNTIFS(astronauts!C:C,"Asian", astronauts!F:F, "Bachelor's")/G2</f>
        <v>0</v>
      </c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ht="15.75" customHeight="1">
      <c r="A4" s="40" t="s">
        <v>84</v>
      </c>
      <c r="B4" s="32">
        <f>COUNTIFS(astronauts!B:B,"Male", astronauts!F:F, "Master's")/B2</f>
        <v>0.54849498327759194</v>
      </c>
      <c r="C4" s="32">
        <f>COUNTIFS(astronauts!B:B,"Female", astronauts!F:F, "Master's")/C2</f>
        <v>0.39344262295081966</v>
      </c>
      <c r="D4" s="33">
        <f>COUNTIFS(astronauts!C:C,"White", astronauts!F:F, "Master's")/D2</f>
        <v>0.52848101265822789</v>
      </c>
      <c r="E4" s="32">
        <f>COUNTIFS(astronauts!C:C,"Black", astronauts!F:F, "Master's")/E2</f>
        <v>0.42105263157894735</v>
      </c>
      <c r="F4" s="32">
        <f>COUNTIFS(astronauts!C:C,"Hispanic", astronauts!F:F, "Master's")/F2</f>
        <v>0.5714285714285714</v>
      </c>
      <c r="G4" s="32">
        <f>COUNTIFS(astronauts!C:C,"Asian", astronauts!F:F, "Master's")/G2</f>
        <v>0.4</v>
      </c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ht="15.75" customHeight="1">
      <c r="A5" s="40" t="s">
        <v>124</v>
      </c>
      <c r="B5" s="32">
        <f>COUNTIFS(astronauts!B:B,"Male", astronauts!F:F, "Doctorate")/B2</f>
        <v>0.2709030100334448</v>
      </c>
      <c r="C5" s="32">
        <f>COUNTIFS(astronauts!B:B,"Female", astronauts!F:F, "Doctorate")/C2</f>
        <v>0.57377049180327866</v>
      </c>
      <c r="D5" s="32">
        <f>COUNTIFS(astronauts!C:C,"White", astronauts!F:F, "Doctorate")/D2</f>
        <v>0.29746835443037972</v>
      </c>
      <c r="E5" s="32">
        <f>COUNTIFS(astronauts!C:C,"Black", astronauts!F:F, "Doctorate")/E2</f>
        <v>0.52631578947368418</v>
      </c>
      <c r="F5" s="32">
        <f>COUNTIFS(astronauts!C:C,"Hispanic", astronauts!F:F, "Doctorate")/F2</f>
        <v>0.42857142857142855</v>
      </c>
      <c r="G5" s="32">
        <f>COUNTIFS(astronauts!C:C,"Asian", astronauts!F:F, "Doctorate")/G2</f>
        <v>0.6</v>
      </c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9" spans="1:26" ht="15.75" customHeight="1">
      <c r="A9" s="42" t="s">
        <v>1567</v>
      </c>
      <c r="B9" s="1" t="s">
        <v>1559</v>
      </c>
      <c r="C9" s="1" t="s">
        <v>1560</v>
      </c>
      <c r="D9" s="35" t="s">
        <v>1561</v>
      </c>
      <c r="E9" s="35" t="s">
        <v>1562</v>
      </c>
      <c r="F9" s="35" t="s">
        <v>1563</v>
      </c>
      <c r="G9" s="35" t="s">
        <v>1564</v>
      </c>
      <c r="H9" s="35" t="s">
        <v>1565</v>
      </c>
      <c r="I9" s="1" t="s">
        <v>1566</v>
      </c>
    </row>
    <row r="10" spans="1:26" ht="15.75" customHeight="1">
      <c r="A10" s="36" t="s">
        <v>1580</v>
      </c>
      <c r="B10" s="36">
        <f>COUNTIFS(astronauts!B:B,"Male", astronauts!C:C, "White")</f>
        <v>266</v>
      </c>
      <c r="C10" s="36">
        <f>COUNTIFS(astronauts!B:B,"Female", astronauts!C:C, "White")</f>
        <v>50</v>
      </c>
      <c r="D10" s="37">
        <f>COUNTIFS(astronauts!C:C, "Black", astronauts!B:B, "Male")</f>
        <v>13</v>
      </c>
      <c r="E10" s="37">
        <f>COUNTIFS(astronauts!C:C, "Black", astronauts!B:B, "Female")</f>
        <v>6</v>
      </c>
      <c r="F10" s="37">
        <f>COUNTIFS(astronauts!C:C, "Hispanic", astronauts!B:B, "Male")</f>
        <v>12</v>
      </c>
      <c r="G10" s="37">
        <f>COUNTIFS(astronauts!C:C, "Hispanic", astronauts!B:B, "Female")</f>
        <v>2</v>
      </c>
      <c r="H10" s="37">
        <f>COUNTIFS(astronauts!C:C,"Asian", astronauts!B:B, "Male")</f>
        <v>8</v>
      </c>
      <c r="I10" s="38">
        <f>COUNTIFS(astronauts!C:C,"Asian", astronauts!B:B, "Female")</f>
        <v>2</v>
      </c>
    </row>
    <row r="11" spans="1:26" ht="15.75" customHeight="1">
      <c r="A11" s="40" t="s">
        <v>1581</v>
      </c>
      <c r="B11" s="40">
        <f>B10/SUM(B10:I10)</f>
        <v>0.74094707520891367</v>
      </c>
      <c r="C11" s="40">
        <f>C10/SUM(B10:I10)</f>
        <v>0.1392757660167131</v>
      </c>
      <c r="D11" s="40">
        <f>D10/SUM(B10:I10)</f>
        <v>3.6211699164345405E-2</v>
      </c>
      <c r="E11" s="40">
        <f>E10/SUM(B10:I10)</f>
        <v>1.6713091922005572E-2</v>
      </c>
      <c r="F11" s="40">
        <f>F10/SUM(B10:I10)</f>
        <v>3.3426183844011144E-2</v>
      </c>
      <c r="G11" s="49">
        <f>G10/SUM(B10:I10)</f>
        <v>5.5710306406685237E-3</v>
      </c>
      <c r="H11" s="49">
        <f>H10/SUM(B10:I10)</f>
        <v>2.2284122562674095E-2</v>
      </c>
      <c r="I11" s="49">
        <f>I10/SUM(B10:I10)</f>
        <v>5.5710306406685237E-3</v>
      </c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ht="15.75" customHeight="1">
      <c r="A12" s="40" t="s">
        <v>36</v>
      </c>
      <c r="B12" s="40">
        <f>COUNTIFS(astronauts!B:B,"Male", astronauts!C:C, "White", astronauts!F:F, "Bachelor's")/B10</f>
        <v>0.19924812030075187</v>
      </c>
      <c r="C12" s="40">
        <f>COUNTIFS(astronauts!B:B,"Female", astronauts!C:C, "White", astronauts!F:F, "Bachelor's")/C10</f>
        <v>0.04</v>
      </c>
      <c r="D12" s="49">
        <f>COUNTIFS(astronauts!B:B,"Male", astronauts!C:C, "Black", astronauts!F:F, "Bachelor's")/D10</f>
        <v>7.6923076923076927E-2</v>
      </c>
      <c r="E12" s="49">
        <f>COUNTIFS(astronauts!C:C,"Black", astronauts!B:B,"Female", astronauts!F:F, "Bachelor's")/E10</f>
        <v>0</v>
      </c>
      <c r="F12" s="49">
        <f>COUNTIFS(astronauts!C:C,"Hispanic", astronauts!B:B, "Male", astronauts!F:F, "Bachelor's")/F10</f>
        <v>0</v>
      </c>
      <c r="G12" s="49">
        <f>COUNTIFS(astronauts!C:C,"Hispanic", astronauts!B:B, "Female", astronauts!F:F, "Bachelor's")/G10</f>
        <v>0</v>
      </c>
      <c r="H12" s="49">
        <f>COUNTIFS(astronauts!B:B,"Male", astronauts!C:C, "Asian", astronauts!F:F, "Bachelor's")/H10</f>
        <v>0</v>
      </c>
      <c r="I12" s="49">
        <f>COUNTIFS(astronauts!B:B,"Female", astronauts!C:C, "Asian", astronauts!F:F, "Bachelor's")/I10</f>
        <v>0</v>
      </c>
    </row>
    <row r="13" spans="1:26" ht="15.75" customHeight="1">
      <c r="A13" s="40" t="s">
        <v>84</v>
      </c>
      <c r="B13" s="32">
        <f>COUNTIFS(astronauts!B:B,"Male", astronauts!C:C, "White", astronauts!F:F, "Master's")/B10</f>
        <v>0.55263157894736847</v>
      </c>
      <c r="C13" s="32">
        <f>COUNTIFS(astronauts!B:B,"Female", astronauts!C:C, "White", astronauts!F:F, "Master's")/C10</f>
        <v>0.4</v>
      </c>
      <c r="D13" s="49">
        <f>COUNTIFS(astronauts!B:B,"Male", astronauts!C:C, "Black", astronauts!F:F, "Master's")/D10</f>
        <v>0.46153846153846156</v>
      </c>
      <c r="E13" s="49">
        <f>COUNTIFS(astronauts!C:C,"Black", astronauts!B:B,"Female", astronauts!F:F, "Master's")/E10</f>
        <v>0.33333333333333331</v>
      </c>
      <c r="F13" s="49">
        <f>COUNTIFS(astronauts!C:C,"Hispanic", astronauts!B:B, "Male", astronauts!F:F, "Master's")/F10</f>
        <v>0.66666666666666663</v>
      </c>
      <c r="G13" s="49">
        <f>COUNTIFS(astronauts!C:C,"Hispanic", astronauts!B:B, "Female", astronauts!F:F, "Master's")/G10</f>
        <v>0</v>
      </c>
      <c r="H13" s="49">
        <f>COUNTIFS(astronauts!B:B,"Male", astronauts!C:C, "Asian", astronauts!F:F, "Master's")/H10</f>
        <v>0.375</v>
      </c>
      <c r="I13" s="49">
        <f>COUNTIFS(astronauts!B:B,"Female", astronauts!C:C, "Asian", astronauts!F:F, "Master's")/I10</f>
        <v>0.5</v>
      </c>
    </row>
    <row r="14" spans="1:26" ht="15.75" customHeight="1">
      <c r="A14" s="40" t="s">
        <v>124</v>
      </c>
      <c r="B14" s="32">
        <f>COUNTIFS(astronauts!B:B,"Male", astronauts!C:C, "White", astronauts!F:F, "Doctorate")/B10</f>
        <v>0.24812030075187969</v>
      </c>
      <c r="C14" s="32">
        <f>COUNTIFS(astronauts!B:B,"Female", astronauts!C:C, "White", astronauts!F:F, "Doctorate")/C10</f>
        <v>0.56000000000000005</v>
      </c>
      <c r="D14" s="49">
        <f>COUNTIFS(astronauts!B:B,"Male", astronauts!C:C, "Black", astronauts!F:F, "Doctorate")/D10</f>
        <v>0.46153846153846156</v>
      </c>
      <c r="E14" s="49">
        <f>COUNTIFS(astronauts!C:C,"Black", astronauts!B:B,"Female", astronauts!F:F, "Doctorate")/E10</f>
        <v>0.66666666666666663</v>
      </c>
      <c r="F14" s="49">
        <f>COUNTIFS(astronauts!C:C,"Hispanic", astronauts!B:B, "Male", astronauts!F:F, "Doctorate")/F10</f>
        <v>0.33333333333333331</v>
      </c>
      <c r="G14" s="49">
        <f>COUNTIFS(astronauts!C:C,"Hispanic", astronauts!B:B, "Female", astronauts!F:F, "Doctorate")/G10</f>
        <v>1</v>
      </c>
      <c r="H14" s="49">
        <f>COUNTIFS(astronauts!B:B,"Male", astronauts!C:C, "Asian", astronauts!F:F, "Doctorate")/H10</f>
        <v>0.625</v>
      </c>
      <c r="I14" s="49">
        <f>COUNTIFS(astronauts!B:B,"Female", astronauts!C:C, "Asian", astronauts!F:F, "Doctorate")/I10</f>
        <v>0.5</v>
      </c>
    </row>
    <row r="16" spans="1:26" ht="15.75" customHeight="1">
      <c r="A16" s="42" t="s">
        <v>1582</v>
      </c>
      <c r="B16" s="1" t="s">
        <v>1559</v>
      </c>
      <c r="C16" s="1" t="s">
        <v>1560</v>
      </c>
      <c r="D16" s="35" t="s">
        <v>1561</v>
      </c>
      <c r="E16" s="35" t="s">
        <v>1562</v>
      </c>
      <c r="F16" s="35" t="s">
        <v>1563</v>
      </c>
      <c r="G16" s="35" t="s">
        <v>1564</v>
      </c>
      <c r="H16" s="35" t="s">
        <v>1565</v>
      </c>
      <c r="I16" s="1" t="s">
        <v>1566</v>
      </c>
    </row>
    <row r="17" spans="1:26" ht="15.75" customHeight="1">
      <c r="A17" s="36" t="s">
        <v>1580</v>
      </c>
      <c r="B17" s="36">
        <f>COUNTIFS(astronauts!B:B,"Male", astronauts!C:C, "White", astronauts!H:H, "&gt;=12")</f>
        <v>128</v>
      </c>
      <c r="C17" s="36">
        <f>COUNTIFS(astronauts!B:B,"Female", astronauts!C:C, "White", astronauts!H:H, "&gt;=12")</f>
        <v>37</v>
      </c>
      <c r="D17" s="37">
        <f>COUNTIFS(astronauts!C:C, "Black", astronauts!B:B, "Male", astronauts!H:H, "&gt;=12")</f>
        <v>10</v>
      </c>
      <c r="E17" s="37">
        <f>COUNTIFS(astronauts!C:C, "Black", astronauts!B:B, "Female", astronauts!H:H, "&gt;=12")</f>
        <v>6</v>
      </c>
      <c r="F17" s="37">
        <f>COUNTIFS(astronauts!C:C, "Hispanic", astronauts!B:B, "Male", astronauts!H:H, "&gt;=12")</f>
        <v>10</v>
      </c>
      <c r="G17" s="37">
        <f>COUNTIFS(astronauts!C:C, "Hispanic", astronauts!B:B, "Female", astronauts!H:H, "&gt;=12")</f>
        <v>2</v>
      </c>
      <c r="H17" s="37">
        <f>COUNTIFS(astronauts!C:C,"Asian", astronauts!B:B, "Male", astronauts!H:H, "&gt;=12")</f>
        <v>7</v>
      </c>
      <c r="I17" s="38">
        <f>COUNTIFS(astronauts!C:C,"Asian", astronauts!B:B, "Female", astronauts!H:H, "&gt;=12")</f>
        <v>2</v>
      </c>
    </row>
    <row r="18" spans="1:26" ht="15.75" customHeight="1">
      <c r="A18" s="40" t="s">
        <v>1581</v>
      </c>
      <c r="B18" s="40">
        <f>B17/SUM(B17:I17)</f>
        <v>0.63366336633663367</v>
      </c>
      <c r="C18" s="40">
        <f>C17/SUM(B17:I17)</f>
        <v>0.18316831683168316</v>
      </c>
      <c r="D18" s="49">
        <f>D17/SUM(B17:I17)</f>
        <v>4.9504950495049507E-2</v>
      </c>
      <c r="E18" s="49">
        <f>E17/SUM(B17:I17)</f>
        <v>2.9702970297029702E-2</v>
      </c>
      <c r="F18" s="49">
        <f>F17/SUM(B17:I17)</f>
        <v>4.9504950495049507E-2</v>
      </c>
      <c r="G18" s="49">
        <f>G17/SUM(B17:I17)</f>
        <v>9.9009900990099011E-3</v>
      </c>
      <c r="H18" s="49">
        <f>H17/SUM(B17:I17)</f>
        <v>3.4653465346534656E-2</v>
      </c>
      <c r="I18" s="49">
        <f>I17/SUM(B17:I17)</f>
        <v>9.9009900990099011E-3</v>
      </c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5.75" customHeight="1">
      <c r="A19" s="40" t="s">
        <v>36</v>
      </c>
      <c r="B19" s="40">
        <f>COUNTIFS(astronauts!B:B,"Male", astronauts!C:C, "White", astronauts!F:F, "Bachelor's", astronauts!H:H, "&gt;=12")/B17</f>
        <v>8.59375E-2</v>
      </c>
      <c r="C19" s="32">
        <f>COUNTIFS(astronauts!B:B,"Female", astronauts!C:C, "White", astronauts!F:F, "Bachelor's", astronauts!H:H, "&gt;=12")/C17</f>
        <v>2.7027027027027029E-2</v>
      </c>
      <c r="D19" s="49">
        <f>COUNTIFS(astronauts!B:B,"Male", astronauts!C:C, "Black", astronauts!F:F, "Bachelor's", astronauts!H:H, "&gt;=12")/D17</f>
        <v>0</v>
      </c>
      <c r="E19" s="49">
        <f>COUNTIFS(astronauts!C:C,"Black", astronauts!B:B,"Female", astronauts!F:F, "Bachelor's", astronauts!H:H, "&gt;=12")/E17</f>
        <v>0</v>
      </c>
      <c r="F19" s="49">
        <f>COUNTIFS(astronauts!C:C,"Hispanic", astronauts!B:B, "Male", astronauts!F:F, "Bachelor's", astronauts!H:H, "&gt;=12")/F17</f>
        <v>0</v>
      </c>
      <c r="G19" s="49">
        <f>COUNTIFS(astronauts!C:C,"Hispanic", astronauts!B:B, "Female", astronauts!F:F, "Bachelor's", astronauts!H:H, "&gt;=12")/G17</f>
        <v>0</v>
      </c>
      <c r="H19" s="49">
        <f>COUNTIFS(astronauts!B:B,"Male", astronauts!C:C, "Asian", astronauts!F:F, "Bachelor's", astronauts!H:H, "&gt;=12")/H17</f>
        <v>0</v>
      </c>
      <c r="I19" s="49">
        <f>COUNTIFS(astronauts!B:B,"Female", astronauts!C:C, "Asian", astronauts!F:F, "Bachelor's", astronauts!H:H, "&gt;=12")/I17</f>
        <v>0</v>
      </c>
    </row>
    <row r="20" spans="1:26" ht="15.75" customHeight="1">
      <c r="A20" s="40" t="s">
        <v>84</v>
      </c>
      <c r="B20" s="32">
        <f>COUNTIFS(astronauts!B:B,"Male", astronauts!C:C, "White", astronauts!F:F, "Master's", astronauts!H:H, "&gt;=12")/B17</f>
        <v>0.6328125</v>
      </c>
      <c r="C20" s="32">
        <f>COUNTIFS(astronauts!B:B,"Female", astronauts!C:C, "White", astronauts!F:F, "Master's", astronauts!H:H, "&gt;=12")/C17</f>
        <v>0.54054054054054057</v>
      </c>
      <c r="D20" s="49">
        <f>COUNTIFS(astronauts!B:B,"Male", astronauts!C:C, "Black", astronauts!F:F, "Master's", astronauts!H:H, "&gt;=12")/D17</f>
        <v>0.6</v>
      </c>
      <c r="E20" s="49">
        <f>COUNTIFS(astronauts!C:C,"Black", astronauts!B:B,"Female", astronauts!F:F, "Master's", astronauts!H:H, "&gt;=12")/E17</f>
        <v>0.33333333333333331</v>
      </c>
      <c r="F20" s="49">
        <f>COUNTIFS(astronauts!C:C,"Hispanic", astronauts!B:B, "Male", astronauts!F:F, "Master's", astronauts!H:H, "&gt;=12")/F17</f>
        <v>0.7</v>
      </c>
      <c r="G20" s="49">
        <f>COUNTIFS(astronauts!C:C,"Hispanic", astronauts!B:B, "Female", astronauts!F:F, "Master's", astronauts!H:H, "&gt;=12")/G17</f>
        <v>0</v>
      </c>
      <c r="H20" s="49">
        <f>COUNTIFS(astronauts!B:B,"Male", astronauts!C:C, "Asian", astronauts!F:F, "Master's", astronauts!H:H, "&gt;=12")/H17</f>
        <v>0.2857142857142857</v>
      </c>
      <c r="I20" s="49">
        <f>COUNTIFS(astronauts!B:B,"Female", astronauts!C:C, "Asian", astronauts!F:F, "Master's", astronauts!H:H, "&gt;=12")/I17</f>
        <v>0.5</v>
      </c>
    </row>
    <row r="21" spans="1:26" ht="15.75" customHeight="1">
      <c r="A21" s="40" t="s">
        <v>124</v>
      </c>
      <c r="B21" s="32">
        <f>COUNTIFS(astronauts!B:B,"Male", astronauts!C:C, "White", astronauts!F:F, "Doctorate", astronauts!H:H, "&gt;=12")/B17</f>
        <v>0.28125</v>
      </c>
      <c r="C21" s="32">
        <f>COUNTIFS(astronauts!B:B,"Female", astronauts!C:C, "White", astronauts!F:F, "Doctorate", astronauts!H:H, "&gt;=12")/C17</f>
        <v>0.43243243243243246</v>
      </c>
      <c r="D21" s="49">
        <f>COUNTIFS(astronauts!B:B,"Male", astronauts!C:C, "Black", astronauts!F:F, "Doctorate", astronauts!H:H, "&gt;=12")/D17</f>
        <v>0.4</v>
      </c>
      <c r="E21" s="49">
        <f>COUNTIFS(astronauts!C:C,"Black", astronauts!B:B,"Female", astronauts!F:F, "Doctorate", astronauts!H:H, "&gt;=12")/E17</f>
        <v>0.66666666666666663</v>
      </c>
      <c r="F21" s="49">
        <f>COUNTIFS(astronauts!C:C,"Hispanic", astronauts!B:B, "Male", astronauts!F:F, "Doctorate", astronauts!H:H, "&gt;=12")/F17</f>
        <v>0.3</v>
      </c>
      <c r="G21" s="49">
        <f>COUNTIFS(astronauts!C:C,"Hispanic", astronauts!B:B, "Female", astronauts!F:F, "Doctorate", astronauts!H:H, "&gt;=12")/G17</f>
        <v>1</v>
      </c>
      <c r="H21" s="49">
        <f>COUNTIFS(astronauts!B:B,"Male", astronauts!C:C, "Asian", astronauts!F:F, "Doctorate", astronauts!H:H, "&gt;=12")/H17</f>
        <v>0.7142857142857143</v>
      </c>
      <c r="I21" s="49">
        <f>COUNTIFS(astronauts!B:B,"Female", astronauts!C:C, "Asian", astronauts!F:F, "Doctorate", astronauts!H:H, "&gt;=12")/I17</f>
        <v>0.5</v>
      </c>
    </row>
    <row r="23" spans="1:26" ht="15.75" customHeight="1">
      <c r="A23" s="42" t="s">
        <v>1583</v>
      </c>
      <c r="B23" s="1" t="s">
        <v>1559</v>
      </c>
      <c r="C23" s="1" t="s">
        <v>1560</v>
      </c>
      <c r="D23" s="35" t="s">
        <v>1561</v>
      </c>
      <c r="E23" s="35" t="s">
        <v>1562</v>
      </c>
      <c r="F23" s="35" t="s">
        <v>1563</v>
      </c>
      <c r="G23" s="35" t="s">
        <v>1564</v>
      </c>
      <c r="H23" s="35" t="s">
        <v>1565</v>
      </c>
      <c r="I23" s="1" t="s">
        <v>1566</v>
      </c>
    </row>
    <row r="24" spans="1:26" ht="15.75" customHeight="1">
      <c r="A24" s="36" t="s">
        <v>1580</v>
      </c>
      <c r="B24" s="36">
        <f>COUNTIFS(astronauts!B:B,"Male", astronauts!C:C, "White", astronauts!H:H, "&gt;=18")</f>
        <v>33</v>
      </c>
      <c r="C24" s="36">
        <f>COUNTIFS(astronauts!B:B,"Female", astronauts!C:C, "White", astronauts!H:H, "&gt;=18")</f>
        <v>17</v>
      </c>
      <c r="D24" s="37">
        <f>COUNTIFS(astronauts!C:C, "Black", astronauts!B:B, "Male", astronauts!H:H, "&gt;=18")</f>
        <v>5</v>
      </c>
      <c r="E24" s="37">
        <f>COUNTIFS(astronauts!C:C, "Black", astronauts!B:B, "Female", astronauts!H:H, "&gt;=18")</f>
        <v>2</v>
      </c>
      <c r="F24" s="37">
        <f>COUNTIFS(astronauts!C:C, "Hispanic", astronauts!B:B, "Male", astronauts!H:H, "&gt;=18")</f>
        <v>4</v>
      </c>
      <c r="G24" s="37">
        <f>COUNTIFS(astronauts!C:C, "Hispanic", astronauts!B:B, "Female", astronauts!H:H, "&gt;=18")</f>
        <v>1</v>
      </c>
      <c r="H24" s="37">
        <f>COUNTIFS(astronauts!C:C,"Asian", astronauts!B:B, "Male", astronauts!H:H, "&gt;=18")</f>
        <v>4</v>
      </c>
      <c r="I24" s="38">
        <f>COUNTIFS(astronauts!C:C,"Asian", astronauts!B:B, "Female", astronauts!H:H, "&gt;=18")</f>
        <v>0</v>
      </c>
    </row>
    <row r="25" spans="1:26" ht="15.75" customHeight="1">
      <c r="A25" s="40" t="s">
        <v>1581</v>
      </c>
      <c r="B25" s="40">
        <f>B24/SUM(B24:I24)</f>
        <v>0.5</v>
      </c>
      <c r="C25" s="40">
        <f>C24/SUM(B24:I24)</f>
        <v>0.25757575757575757</v>
      </c>
      <c r="D25" s="49">
        <f>D24/SUM(B24:I24)</f>
        <v>7.575757575757576E-2</v>
      </c>
      <c r="E25" s="49">
        <f>E24/SUM(B24:I24)</f>
        <v>3.0303030303030304E-2</v>
      </c>
      <c r="F25" s="49">
        <f>F24/SUM(B24:I24)</f>
        <v>6.0606060606060608E-2</v>
      </c>
      <c r="G25" s="49">
        <f>G24/SUM(B24:I24)</f>
        <v>1.5151515151515152E-2</v>
      </c>
      <c r="H25" s="49">
        <f>H24/SUM(B24:I24)</f>
        <v>6.0606060606060608E-2</v>
      </c>
      <c r="I25" s="49">
        <f>I24/SUM(B24:I24)</f>
        <v>0</v>
      </c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15.75" customHeight="1">
      <c r="A26" s="40" t="s">
        <v>36</v>
      </c>
      <c r="B26" s="40">
        <f>COUNTIFS(astronauts!B:B,"Male", astronauts!C:C, "White", astronauts!F:F, "Bachelor's", astronauts!H:H, "&gt;=18")/B24</f>
        <v>3.0303030303030304E-2</v>
      </c>
      <c r="C26" s="32">
        <f>COUNTIFS(astronauts!B:B,"Female", astronauts!C:C, "White", astronauts!F:F, "Bachelor's", astronauts!H:H, "&gt;=18")/C24</f>
        <v>0</v>
      </c>
      <c r="D26" s="49">
        <f>COUNTIFS(astronauts!B:B,"Male", astronauts!C:C, "Black", astronauts!F:F, "Bachelor's", astronauts!H:H, "&gt;=18")/D24</f>
        <v>0</v>
      </c>
      <c r="E26" s="49">
        <f>COUNTIFS(astronauts!C:C,"Black", astronauts!B:B,"Female", astronauts!F:F, "Bachelor's", astronauts!H:H, "&gt;=18")/E24</f>
        <v>0</v>
      </c>
      <c r="F26" s="49">
        <f>COUNTIFS(astronauts!C:C,"Hispanic", astronauts!B:B, "Male", astronauts!F:F, "Bachelor's", astronauts!H:H, "&gt;=18")/F24</f>
        <v>0</v>
      </c>
      <c r="G26" s="49">
        <f>COUNTIFS(astronauts!C:C,"Hispanic", astronauts!B:B, "Female", astronauts!F:F, "Bachelor's", astronauts!H:H, "&gt;=18")/G24</f>
        <v>0</v>
      </c>
      <c r="H26" s="49">
        <f>COUNTIFS(astronauts!B:B,"Male", astronauts!C:C, "Asian", astronauts!F:F, "Bachelor's", astronauts!H:H, "&gt;=18")/H24</f>
        <v>0</v>
      </c>
      <c r="I26" s="50">
        <v>0</v>
      </c>
    </row>
    <row r="27" spans="1:26" ht="15.75" customHeight="1">
      <c r="A27" s="40" t="s">
        <v>84</v>
      </c>
      <c r="B27" s="32">
        <f>COUNTIFS(astronauts!B:B,"Male", astronauts!C:C, "White", astronauts!F:F, "Master's", astronauts!H:H, "&gt;=18")/B24</f>
        <v>0.72727272727272729</v>
      </c>
      <c r="C27" s="32">
        <f>COUNTIFS(astronauts!B:B,"Female", astronauts!C:C, "White", astronauts!F:F, "Master's", astronauts!H:H, "&gt;=18")/C24</f>
        <v>0.6470588235294118</v>
      </c>
      <c r="D27" s="49">
        <f>COUNTIFS(astronauts!B:B,"Male", astronauts!C:C, "Black", astronauts!F:F, "Master's", astronauts!H:H, "&gt;=18")/D24</f>
        <v>0.4</v>
      </c>
      <c r="E27" s="49">
        <f>COUNTIFS(astronauts!C:C,"Black", astronauts!B:B,"Female", astronauts!F:F, "Master's", astronauts!H:H, "&gt;=18")/E24</f>
        <v>0</v>
      </c>
      <c r="F27" s="49">
        <f>COUNTIFS(astronauts!C:C,"Hispanic", astronauts!B:B, "Male", astronauts!F:F, "Master's", astronauts!H:H, "&gt;=18")/F24</f>
        <v>0.5</v>
      </c>
      <c r="G27" s="49">
        <f>COUNTIFS(astronauts!C:C,"Hispanic", astronauts!B:B, "Female", astronauts!F:F, "Master's", astronauts!H:H, "&gt;=18")/G24</f>
        <v>0</v>
      </c>
      <c r="H27" s="49">
        <f>COUNTIFS(astronauts!B:B,"Male", astronauts!C:C, "Asian", astronauts!F:F, "Master's", astronauts!H:H, "&gt;=18")/H24</f>
        <v>0.25</v>
      </c>
      <c r="I27" s="50">
        <v>0</v>
      </c>
    </row>
    <row r="28" spans="1:26" ht="15.75" customHeight="1">
      <c r="A28" s="40" t="s">
        <v>124</v>
      </c>
      <c r="B28" s="32">
        <f>COUNTIFS(astronauts!B:B,"Male", astronauts!C:C, "White", astronauts!F:F, "Doctorate", astronauts!H:H, "&gt;=18")/B24</f>
        <v>0.24242424242424243</v>
      </c>
      <c r="C28" s="32">
        <f>COUNTIFS(astronauts!B:B,"Female", astronauts!C:C, "White", astronauts!F:F, "Doctorate", astronauts!H:H, "&gt;=18")/C24</f>
        <v>0.35294117647058826</v>
      </c>
      <c r="D28" s="49">
        <f>COUNTIFS(astronauts!B:B,"Male", astronauts!C:C, "Black", astronauts!F:F, "Doctorate", astronauts!H:H, "&gt;=18")/D24</f>
        <v>0.6</v>
      </c>
      <c r="E28" s="49">
        <f>COUNTIFS(astronauts!C:C,"Black", astronauts!B:B,"Female", astronauts!F:F, "Doctorate", astronauts!H:H, "&gt;=18")/E24</f>
        <v>1</v>
      </c>
      <c r="F28" s="49">
        <f>COUNTIFS(astronauts!C:C,"Hispanic", astronauts!B:B, "Male", astronauts!F:F, "Doctorate", astronauts!H:H, "&gt;=18")/F24</f>
        <v>0.5</v>
      </c>
      <c r="G28" s="49">
        <f>COUNTIFS(astronauts!C:C,"Hispanic", astronauts!B:B, "Female", astronauts!F:F, "Doctorate", astronauts!H:H, "&gt;=18")/G24</f>
        <v>1</v>
      </c>
      <c r="H28" s="49">
        <f>COUNTIFS(astronauts!B:B,"Male", astronauts!C:C, "Asian", astronauts!F:F, "Doctorate", astronauts!H:H, "&gt;=18")/H24</f>
        <v>0.75</v>
      </c>
      <c r="I28" s="50">
        <v>0</v>
      </c>
    </row>
    <row r="30" spans="1:26" ht="15.75" customHeight="1">
      <c r="A30" s="42" t="s">
        <v>1584</v>
      </c>
      <c r="B30" s="1" t="s">
        <v>1559</v>
      </c>
      <c r="C30" s="1" t="s">
        <v>1560</v>
      </c>
      <c r="D30" s="35" t="s">
        <v>1561</v>
      </c>
      <c r="E30" s="35" t="s">
        <v>1562</v>
      </c>
      <c r="F30" s="35" t="s">
        <v>1563</v>
      </c>
      <c r="G30" s="35" t="s">
        <v>1564</v>
      </c>
      <c r="H30" s="35" t="s">
        <v>1565</v>
      </c>
      <c r="I30" s="1" t="s">
        <v>1566</v>
      </c>
    </row>
    <row r="31" spans="1:26" ht="15.75" customHeight="1">
      <c r="A31" s="36" t="s">
        <v>1580</v>
      </c>
      <c r="B31" s="51">
        <f>COUNTIFS(astronauts!B:B,"Male", astronauts!C:C, "White", astronauts!H:H, "&lt;=8")</f>
        <v>99</v>
      </c>
      <c r="C31" s="36">
        <f>COUNTIFS(astronauts!B:B,"Female", astronauts!C:C, "White", astronauts!H:H, "&lt;=8")</f>
        <v>6</v>
      </c>
      <c r="D31" s="37">
        <f>COUNTIFS(astronauts!C:C, "Black", astronauts!B:B, "Male", astronauts!H:H, "&lt;=8")</f>
        <v>2</v>
      </c>
      <c r="E31" s="37">
        <f>COUNTIFS(astronauts!C:C, "Black", astronauts!B:B, "Female", astronauts!H:H, "&lt;=8")</f>
        <v>0</v>
      </c>
      <c r="F31" s="37">
        <f>COUNTIFS(astronauts!C:C, "Hispanic", astronauts!B:B, "Male", astronauts!H:H, "&lt;=9")</f>
        <v>1</v>
      </c>
      <c r="G31" s="37">
        <f>COUNTIFS(astronauts!C:C, "Hispanic", astronauts!B:B, "Female", astronauts!H:H, "&lt;=8")</f>
        <v>0</v>
      </c>
      <c r="H31" s="37">
        <f>COUNTIFS(astronauts!C:C,"Asian", astronauts!B:B, "Male", astronauts!H:H, "&lt;=8")</f>
        <v>1</v>
      </c>
      <c r="I31" s="38">
        <f>COUNTIFS(astronauts!C:C,"Asian", astronauts!B:B, "Female", astronauts!H:H, "&lt;=8")</f>
        <v>0</v>
      </c>
    </row>
    <row r="32" spans="1:26" ht="15.75" customHeight="1">
      <c r="A32" s="40" t="s">
        <v>1581</v>
      </c>
      <c r="B32" s="32">
        <f>B31/SUM(B31:I31)</f>
        <v>0.90825688073394495</v>
      </c>
      <c r="C32" s="32">
        <f>C31/SUM(B31:I31)</f>
        <v>5.5045871559633031E-2</v>
      </c>
      <c r="D32" s="32">
        <f>D31/SUM(B31:I31)</f>
        <v>1.834862385321101E-2</v>
      </c>
      <c r="E32" s="32">
        <f>E31/SUM(B31:I31)</f>
        <v>0</v>
      </c>
      <c r="F32" s="32">
        <f>F31/SUM(B31:I31)</f>
        <v>9.1743119266055051E-3</v>
      </c>
      <c r="G32" s="32">
        <f>G31/SUM(B31:I31)</f>
        <v>0</v>
      </c>
      <c r="H32" s="32">
        <f>H31/SUM(B31:I31)</f>
        <v>9.1743119266055051E-3</v>
      </c>
      <c r="I32" s="32">
        <f>I31/SUM(B31:I31)</f>
        <v>0</v>
      </c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9" ht="15.75" customHeight="1">
      <c r="A33" s="40" t="s">
        <v>36</v>
      </c>
      <c r="B33" s="40">
        <f>COUNTIFS(astronauts!B:B,"Male", astronauts!C:C, "White", astronauts!F:F, "Bachelor's", astronauts!H:H, "&lt;=8")/B31</f>
        <v>0.32323232323232326</v>
      </c>
      <c r="C33" s="32">
        <f>COUNTIFS(astronauts!B:B,"Female", astronauts!C:C, "White", astronauts!F:F, "Bachelor's", astronauts!H:H, "&lt;=8")/C31</f>
        <v>0</v>
      </c>
      <c r="D33" s="49">
        <f>COUNTIFS(astronauts!B:B,"Male", astronauts!C:C, "Black", astronauts!F:F, "Bachelor's", astronauts!H:H, "&lt;=8")/D31</f>
        <v>0</v>
      </c>
      <c r="E33" s="49" t="e">
        <f>COUNTIFS(astronauts!C:C,"Black", astronauts!B:B,"Female", astronauts!F:F, "Bachelor's", astronauts!H:H, "&lt;=8")/E31</f>
        <v>#DIV/0!</v>
      </c>
      <c r="F33" s="49">
        <f>COUNTIFS(astronauts!C:C,"Hispanic", astronauts!B:B, "Male", astronauts!F:F, "Bachelor's", astronauts!H:H, "&lt;8")/F31</f>
        <v>0</v>
      </c>
      <c r="G33" s="49" t="e">
        <f>COUNTIFS(astronauts!C:C,"Hispanic", astronauts!B:B, "Female", astronauts!F:F, "Bachelor's", astronauts!H:H, "&lt;=8")/G31</f>
        <v>#DIV/0!</v>
      </c>
      <c r="H33" s="49">
        <f>COUNTIFS(astronauts!B:B,"Male", astronauts!C:C, "Asian", astronauts!F:F, "Bachelor's", astronauts!H:H, "&lt;=8")/H31</f>
        <v>0</v>
      </c>
      <c r="I33" s="50">
        <v>0</v>
      </c>
    </row>
    <row r="34" spans="1:9" ht="15.75" customHeight="1">
      <c r="A34" s="40" t="s">
        <v>84</v>
      </c>
      <c r="B34" s="32">
        <f>COUNTIFS(astronauts!B:B,"Male", astronauts!C:C, "White", astronauts!F:F, "Master's", astronauts!H:H, "&lt;=8")/B31</f>
        <v>0.41414141414141414</v>
      </c>
      <c r="C34" s="32">
        <f>COUNTIFS(astronauts!B:B,"Female", astronauts!C:C, "White", astronauts!F:F, "Master's", astronauts!H:H, "&lt;=8")/C31</f>
        <v>0</v>
      </c>
      <c r="D34" s="49">
        <f>COUNTIFS(astronauts!B:B,"Male", astronauts!C:C, "Black", astronauts!F:F, "Master's", astronauts!H:H, "&lt;=8")/D31</f>
        <v>0</v>
      </c>
      <c r="E34" s="49" t="e">
        <f>COUNTIFS(astronauts!C:C,"Black", astronauts!B:B,"Female", astronauts!F:F, "Master's", astronauts!H:H, "&lt;=9")/E31</f>
        <v>#DIV/0!</v>
      </c>
      <c r="F34" s="49">
        <f>COUNTIFS(astronauts!C:C,"Hispanic", astronauts!B:B, "Male", astronauts!F:F, "Master's", astronauts!H:H, "&lt;=8")/F31</f>
        <v>0</v>
      </c>
      <c r="G34" s="49" t="e">
        <f>COUNTIFS(astronauts!C:C,"Hispanic", astronauts!B:B, "Female", astronauts!F:F, "Master's", astronauts!H:H, "&lt;=8")/G31</f>
        <v>#DIV/0!</v>
      </c>
      <c r="H34" s="49">
        <f>COUNTIFS(astronauts!B:B,"Male", astronauts!C:C, "Asian", astronauts!F:F, "Master's", astronauts!H:H, "&lt;=8")/H31</f>
        <v>1</v>
      </c>
      <c r="I34" s="50">
        <v>0</v>
      </c>
    </row>
    <row r="35" spans="1:9" ht="15.75" customHeight="1">
      <c r="A35" s="40" t="s">
        <v>124</v>
      </c>
      <c r="B35" s="32">
        <f>COUNTIFS(astronauts!B:B,"Male", astronauts!C:C, "White", astronauts!F:F, "Doctorate", astronauts!H:H, "&lt;=9")/B31</f>
        <v>0.28282828282828282</v>
      </c>
      <c r="C35" s="32">
        <f>COUNTIFS(astronauts!B:B,"Female", astronauts!C:C, "White", astronauts!F:F, "Doctorate", astronauts!H:H, "&lt;=8")/C31</f>
        <v>1</v>
      </c>
      <c r="D35" s="49">
        <f>COUNTIFS(astronauts!B:B,"Male", astronauts!C:C, "Black", astronauts!F:F, "Doctorate", astronauts!H:H, "&lt;=8")/D31</f>
        <v>1</v>
      </c>
      <c r="E35" s="49" t="e">
        <f>COUNTIFS(astronauts!C:C,"Black", astronauts!B:B,"Female", astronauts!F:F, "Doctorate", astronauts!H:H, "&lt;=8")/E31</f>
        <v>#DIV/0!</v>
      </c>
      <c r="F35" s="49">
        <f>COUNTIFS(astronauts!C:C,"Hispanic", astronauts!B:B, "Male", astronauts!F:F, "Doctorate", astronauts!H:H, "&lt;=8")/F31</f>
        <v>0</v>
      </c>
      <c r="G35" s="49" t="e">
        <f>COUNTIFS(astronauts!C:C,"Hispanic", astronauts!B:B, "Female", astronauts!F:F, "Doctorate", astronauts!H:H, "&lt;=8")/G31</f>
        <v>#DIV/0!</v>
      </c>
      <c r="H35" s="49">
        <f>COUNTIFS(astronauts!B:B,"Male", astronauts!C:C, "Asian", astronauts!F:F, "Doctorate", astronauts!H:H, "&lt;=8")/H31</f>
        <v>0</v>
      </c>
      <c r="I35" s="50">
        <v>0</v>
      </c>
    </row>
    <row r="37" spans="1:9" ht="15.75" customHeight="1">
      <c r="A37" s="42" t="s">
        <v>1585</v>
      </c>
      <c r="B37" s="1" t="s">
        <v>1559</v>
      </c>
      <c r="C37" s="1" t="s">
        <v>1560</v>
      </c>
      <c r="D37" s="35" t="s">
        <v>1561</v>
      </c>
      <c r="E37" s="35" t="s">
        <v>1562</v>
      </c>
      <c r="F37" s="35" t="s">
        <v>1563</v>
      </c>
      <c r="G37" s="35" t="s">
        <v>1564</v>
      </c>
      <c r="H37" s="35" t="s">
        <v>1565</v>
      </c>
      <c r="I37" s="1" t="s">
        <v>1566</v>
      </c>
    </row>
    <row r="38" spans="1:9" ht="15.75" customHeight="1">
      <c r="A38" s="36" t="s">
        <v>1580</v>
      </c>
      <c r="B38" s="51">
        <f>COUNTIFS(astronauts!B:B,"Male", astronauts!C:C, "White", astronauts!H:H, "&gt;=9", astronauts!H:H, "&lt;=17")</f>
        <v>134</v>
      </c>
      <c r="C38" s="36">
        <f>COUNTIFS(astronauts!B:B,"Female", astronauts!C:C, "White", astronauts!H:H, "&gt;=9", astronauts!H:H, "&lt;=17")</f>
        <v>27</v>
      </c>
      <c r="D38" s="37">
        <f>COUNTIFS(astronauts!C:C, "Black", astronauts!B:B, "Male", astronauts!H:H, "&gt;=9", astronauts!H:H, "&lt;=17")</f>
        <v>6</v>
      </c>
      <c r="E38" s="37">
        <f>COUNTIFS(astronauts!C:C, "Black", astronauts!B:B, "Female", astronauts!H:H, "&gt;=9", astronauts!H:H, "&lt;=17")</f>
        <v>4</v>
      </c>
      <c r="F38" s="37">
        <f>COUNTIFS(astronauts!C:C, "Hispanic", astronauts!B:B, "Male", astronauts!H:H, "&gt;=9", astronauts!H:H, "&lt;=17")</f>
        <v>8</v>
      </c>
      <c r="G38" s="37">
        <f>COUNTIFS(astronauts!C:C, "Hispanic", astronauts!B:B, "Female", astronauts!H:H, "&gt;=9", astronauts!H:H, "&lt;=17")</f>
        <v>1</v>
      </c>
      <c r="H38" s="37">
        <f>COUNTIFS(astronauts!C:C,"Asian", astronauts!B:B, "Male", astronauts!H:H, "&gt;=9", astronauts!H:H, "&lt;=17")</f>
        <v>3</v>
      </c>
      <c r="I38" s="38">
        <f>COUNTIFS(astronauts!C:C,"Asian", astronauts!B:B, "Female", astronauts!H:H, "&gt;=9", astronauts!H:H, "&lt;=17")</f>
        <v>2</v>
      </c>
    </row>
    <row r="39" spans="1:9" ht="15.75" customHeight="1">
      <c r="A39" s="40" t="s">
        <v>1581</v>
      </c>
      <c r="B39" s="32">
        <f>B38/SUM(B38:I38)</f>
        <v>0.72432432432432436</v>
      </c>
      <c r="C39" s="32">
        <f>C38/SUM(B38:I38)</f>
        <v>0.14594594594594595</v>
      </c>
      <c r="D39" s="32">
        <f>D38/SUM(B38:I38)</f>
        <v>3.2432432432432434E-2</v>
      </c>
      <c r="E39" s="32">
        <f>E38/SUM(B38:I38)</f>
        <v>2.1621621621621623E-2</v>
      </c>
      <c r="F39" s="32">
        <f>F38/SUM(B38:I38)</f>
        <v>4.3243243243243246E-2</v>
      </c>
      <c r="G39" s="32">
        <f>G38/SUM(B38:I38)</f>
        <v>5.4054054054054057E-3</v>
      </c>
      <c r="H39" s="32">
        <f>H38/SUM(B38:I38)</f>
        <v>1.6216216216216217E-2</v>
      </c>
      <c r="I39" s="32">
        <f>I38/SUM(B38:I38)</f>
        <v>1.0810810810810811E-2</v>
      </c>
    </row>
    <row r="40" spans="1:9" ht="15.75" customHeight="1">
      <c r="A40" s="40" t="s">
        <v>36</v>
      </c>
      <c r="B40" s="40">
        <f>COUNTIFS(astronauts!B:B,"Male", astronauts!C:C, "White", astronauts!F:F, "Bachelor's", astronauts!H:H, "&gt;=9", astronauts!H:H, "&lt;=17")/B38</f>
        <v>0.14925373134328357</v>
      </c>
      <c r="C40" s="32">
        <f>COUNTIFS(astronauts!B:B,"Female", astronauts!C:C, "White", astronauts!F:F, "Bachelor's", astronauts!H:H, "&gt;=9", astronauts!H:H, "&lt;=17")/C38</f>
        <v>7.407407407407407E-2</v>
      </c>
      <c r="D40" s="49">
        <f>COUNTIFS(astronauts!B:B,"Male", astronauts!C:C, "Black", astronauts!F:F, "Bachelor's", astronauts!H:H, "&gt;=9", astronauts!H:H, "&lt;=17")/D38</f>
        <v>0.16666666666666666</v>
      </c>
      <c r="E40" s="49">
        <f>COUNTIFS(astronauts!C:C,"Black", astronauts!B:B,"Female", astronauts!F:F, "Bachelor's", astronauts!H:H, "&gt;=9", astronauts!H:H, "&lt;=17")/E38</f>
        <v>0</v>
      </c>
      <c r="F40" s="49">
        <f>COUNTIFS(astronauts!C:C,"Hispanic", astronauts!B:B, "Male", astronauts!F:F, "Bachelor's", astronauts!H:H, "&gt;=9", astronauts!H:H, "&lt;=17")/F38</f>
        <v>0</v>
      </c>
      <c r="G40" s="49">
        <f>COUNTIFS(astronauts!C:C,"Hispanic", astronauts!B:B, "Female", astronauts!F:F, "Bachelor's", astronauts!H:H, "&gt;=9", astronauts!H:H, "&lt;=17")/G38</f>
        <v>0</v>
      </c>
      <c r="H40" s="49">
        <f>COUNTIFS(astronauts!B:B,"Male", astronauts!C:C, "Asian", astronauts!F:F, "Bachelor's", astronauts!H:H, "&gt;=9", astronauts!H:H, "&lt;=17")/H38</f>
        <v>0</v>
      </c>
      <c r="I40" s="49">
        <f>COUNTIFS(astronauts!B:B,"Female", astronauts!C:C, "Asian", astronauts!F:F, "Bachelor's", astronauts!H:H, "&gt;=9", astronauts!H:H, "&lt;=17")/I38</f>
        <v>0</v>
      </c>
    </row>
    <row r="41" spans="1:9" ht="15.75" customHeight="1">
      <c r="A41" s="40" t="s">
        <v>84</v>
      </c>
      <c r="B41" s="32">
        <f>COUNTIFS(astronauts!B:B,"Male", astronauts!C:C, "White", astronauts!F:F, "Master's", astronauts!H:H, "&gt;=9", astronauts!H:H, "&lt;=17")/B38</f>
        <v>0.61194029850746268</v>
      </c>
      <c r="C41" s="32">
        <f>COUNTIFS(astronauts!B:B,"Female", astronauts!C:C, "White", astronauts!F:F, "Master's", astronauts!H:H, "&gt;=9", astronauts!H:H, "&lt;=17")/C38</f>
        <v>0.33333333333333331</v>
      </c>
      <c r="D41" s="49">
        <f>COUNTIFS(astronauts!B:B,"Male", astronauts!C:C, "Black", astronauts!F:F, "Master's", astronauts!H:H, "&gt;=9", astronauts!H:H, "&lt;=17")/D38</f>
        <v>0.66666666666666663</v>
      </c>
      <c r="E41" s="49">
        <f>COUNTIFS(astronauts!C:C,"Black", astronauts!B:B,"Female", astronauts!F:F, "Master's", astronauts!H:H, "&gt;=9", astronauts!H:H, "&lt;=17")/E38</f>
        <v>0.5</v>
      </c>
      <c r="F41" s="49">
        <f>COUNTIFS(astronauts!C:C,"Hispanic", astronauts!B:B, "Male", astronauts!F:F, "Master's", astronauts!H:H, "&gt;=9", astronauts!H:H, "&lt;=17")/F38</f>
        <v>0.75</v>
      </c>
      <c r="G41" s="49">
        <f>COUNTIFS(astronauts!C:C,"Hispanic", astronauts!B:B, "Female", astronauts!F:F, "Master's", astronauts!H:H, "&gt;=9", astronauts!H:H, "&lt;=17")/G38</f>
        <v>0</v>
      </c>
      <c r="H41" s="49">
        <f>COUNTIFS(astronauts!B:B,"Male", astronauts!C:C, "Asian", astronauts!F:F, "Master's", astronauts!H:H, "&gt;=9", astronauts!H:H, "&lt;=17")/H38</f>
        <v>0.33333333333333331</v>
      </c>
      <c r="I41" s="49">
        <f>COUNTIFS(astronauts!B:B,"Female", astronauts!C:C, "Asian", astronauts!F:F, "Master's", astronauts!H:H, "&gt;=9", astronauts!H:H, "&lt;=17")/I38</f>
        <v>0.5</v>
      </c>
    </row>
    <row r="42" spans="1:9" ht="15.75" customHeight="1">
      <c r="A42" s="40" t="s">
        <v>124</v>
      </c>
      <c r="B42" s="32">
        <f>COUNTIFS(astronauts!B:B,"Male", astronauts!C:C, "White", astronauts!F:F, "Doctorate", astronauts!H:H, "&gt;=9", astronauts!H:H, "&lt;=17")/B38</f>
        <v>0.23880597014925373</v>
      </c>
      <c r="C42" s="32">
        <f>COUNTIFS(astronauts!B:B,"Female", astronauts!C:C, "White", astronauts!F:F, "Doctorate", astronauts!H:H, "&gt;=9", astronauts!H:H, "&lt;=17")/C38</f>
        <v>0.59259259259259256</v>
      </c>
      <c r="D42" s="49">
        <f>COUNTIFS(astronauts!B:B,"Male", astronauts!C:C, "Black", astronauts!F:F, "Doctorate", astronauts!H:H, "&gt;=9", astronauts!H:H, "&lt;=17")/D38</f>
        <v>0.16666666666666666</v>
      </c>
      <c r="E42" s="49">
        <f>COUNTIFS(astronauts!C:C,"Black", astronauts!B:B,"Female", astronauts!F:F, "Doctorate", astronauts!H:H, "&gt;=9", astronauts!H:H, "&lt;=17"/E38)</f>
        <v>0</v>
      </c>
      <c r="F42" s="49">
        <f>COUNTIFS(astronauts!C:C,"Hispanic", astronauts!B:B, "Male", astronauts!F:F, "Doctorate", astronauts!H:H, "&gt;=9", astronauts!H:H, "&lt;=17")/F38</f>
        <v>0.25</v>
      </c>
      <c r="G42" s="49">
        <f>COUNTIFS(astronauts!C:C,"Hispanic", astronauts!B:B, "Female", astronauts!F:F, "Doctorate", astronauts!H:H, "&gt;=9", astronauts!H:H, "&lt;=17")/G38</f>
        <v>1</v>
      </c>
      <c r="H42" s="49">
        <f>COUNTIFS(astronauts!B:B,"Male", astronauts!C:C, "Asian", astronauts!F:F, "Doctorate", astronauts!H:H, "&gt;=9", astronauts!H:H, "&lt;=19")/H38</f>
        <v>0.66666666666666663</v>
      </c>
      <c r="I42" s="49">
        <f>COUNTIFS(astronauts!B:B,"Female", astronauts!C:C, "Asian", astronauts!F:F, "Doctorate", astronauts!H:H, "&gt;=9", astronauts!H:H, "&lt;=17")/I38</f>
        <v>0.5</v>
      </c>
    </row>
    <row r="44" spans="1:9" ht="15.75" customHeight="1">
      <c r="A44" s="42" t="s">
        <v>1586</v>
      </c>
      <c r="B44" s="1" t="s">
        <v>1559</v>
      </c>
      <c r="C44" s="1" t="s">
        <v>1560</v>
      </c>
      <c r="D44" s="35" t="s">
        <v>1561</v>
      </c>
      <c r="E44" s="35" t="s">
        <v>1562</v>
      </c>
      <c r="F44" s="35" t="s">
        <v>1563</v>
      </c>
      <c r="G44" s="35" t="s">
        <v>1564</v>
      </c>
      <c r="H44" s="35" t="s">
        <v>1565</v>
      </c>
      <c r="I44" s="1" t="s">
        <v>1566</v>
      </c>
    </row>
    <row r="45" spans="1:9" ht="15.75" customHeight="1">
      <c r="A45" s="36" t="s">
        <v>1580</v>
      </c>
      <c r="B45" s="36">
        <f>COUNTIFS(astronauts!B:B,"Male", astronauts!C:C, "White", astronauts!H:H, "&gt;=18")</f>
        <v>33</v>
      </c>
      <c r="C45" s="36">
        <f>COUNTIFS(astronauts!B:B,"Female", astronauts!C:C, "White", astronauts!H:H, "&gt;=18")</f>
        <v>17</v>
      </c>
      <c r="D45" s="37">
        <f>COUNTIFS(astronauts!C:C, "Black", astronauts!B:B, "Male", astronauts!H:H, "&gt;=18")</f>
        <v>5</v>
      </c>
      <c r="E45" s="37">
        <f>COUNTIFS(astronauts!C:C, "Black", astronauts!B:B, "Female", astronauts!H:H, "&gt;=18")</f>
        <v>2</v>
      </c>
      <c r="F45" s="37">
        <f>COUNTIFS(astronauts!C:C, "Hispanic", astronauts!B:B, "Male", astronauts!H:H, "&gt;=18")</f>
        <v>4</v>
      </c>
      <c r="G45" s="37">
        <f>COUNTIFS(astronauts!C:C, "Hispanic", astronauts!B:B, "Female", astronauts!H:H, "&gt;=18")</f>
        <v>1</v>
      </c>
      <c r="H45" s="37">
        <f>COUNTIFS(astronauts!C:C,"Asian", astronauts!B:B, "Male", astronauts!H:H, "&gt;=18")</f>
        <v>4</v>
      </c>
      <c r="I45" s="38">
        <f>COUNTIFS(astronauts!C:C,"Asian", astronauts!B:B, "Female", astronauts!H:H, "&gt;=18")</f>
        <v>0</v>
      </c>
    </row>
    <row r="46" spans="1:9" ht="15.75" customHeight="1">
      <c r="A46" s="40" t="s">
        <v>1581</v>
      </c>
      <c r="B46" s="40">
        <f>B45/SUM(B45:I45)</f>
        <v>0.5</v>
      </c>
      <c r="C46" s="40">
        <f>C45/SUM(B45:I45)</f>
        <v>0.25757575757575757</v>
      </c>
      <c r="D46" s="49">
        <f>D45/SUM(B45:I45)</f>
        <v>7.575757575757576E-2</v>
      </c>
      <c r="E46" s="49">
        <f>E45/SUM(B45:I45)</f>
        <v>3.0303030303030304E-2</v>
      </c>
      <c r="F46" s="49">
        <f>F45/SUM(B45:I45)</f>
        <v>6.0606060606060608E-2</v>
      </c>
      <c r="G46" s="49">
        <f>G45/SUM(B45:I45)</f>
        <v>1.5151515151515152E-2</v>
      </c>
      <c r="H46" s="49">
        <f>H45/SUM(B45:I45)</f>
        <v>6.0606060606060608E-2</v>
      </c>
      <c r="I46" s="49">
        <f>I45/SUM(B45:I45)</f>
        <v>0</v>
      </c>
    </row>
    <row r="47" spans="1:9" ht="15.75" customHeight="1">
      <c r="A47" s="40" t="s">
        <v>36</v>
      </c>
      <c r="B47" s="40">
        <f>COUNTIFS(astronauts!B:B,"Male", astronauts!C:C, "White", astronauts!F:F, "Bachelor's", astronauts!H:H, "&gt;=18")/B45</f>
        <v>3.0303030303030304E-2</v>
      </c>
      <c r="C47" s="32">
        <f>COUNTIFS(astronauts!B:B,"Female", astronauts!C:C, "White", astronauts!F:F, "Bachelor's", astronauts!H:H, "&gt;=18")/C45</f>
        <v>0</v>
      </c>
      <c r="D47" s="49">
        <f>COUNTIFS(astronauts!B:B,"Male", astronauts!C:C, "Black", astronauts!F:F, "Bachelor's", astronauts!H:H, "&gt;=18")/D45</f>
        <v>0</v>
      </c>
      <c r="E47" s="49">
        <f>COUNTIFS(astronauts!C:C,"Black", astronauts!B:B,"Female", astronauts!F:F, "Bachelor's", astronauts!H:H, "&gt;=18")/E45</f>
        <v>0</v>
      </c>
      <c r="F47" s="49">
        <f>COUNTIFS(astronauts!C:C,"Hispanic", astronauts!B:B, "Male", astronauts!F:F, "Bachelor's", astronauts!H:H, "&gt;=18")/F45</f>
        <v>0</v>
      </c>
      <c r="G47" s="49">
        <f>COUNTIFS(astronauts!C:C,"Hispanic", astronauts!B:B, "Female", astronauts!F:F, "Bachelor's", astronauts!H:H, "&gt;=18")/G45</f>
        <v>0</v>
      </c>
      <c r="H47" s="49">
        <f>COUNTIFS(astronauts!B:B,"Male", astronauts!C:C, "Asian", astronauts!F:F, "Bachelor's", astronauts!H:H, "&gt;=18")/H45</f>
        <v>0</v>
      </c>
      <c r="I47" s="50">
        <v>0</v>
      </c>
    </row>
    <row r="48" spans="1:9" ht="15.75" customHeight="1">
      <c r="A48" s="40" t="s">
        <v>84</v>
      </c>
      <c r="B48" s="32">
        <f>COUNTIFS(astronauts!B:B,"Male", astronauts!C:C, "White", astronauts!F:F, "Master's", astronauts!H:H, "&gt;=18")/B45</f>
        <v>0.72727272727272729</v>
      </c>
      <c r="C48" s="32">
        <f>COUNTIFS(astronauts!B:B,"Female", astronauts!C:C, "White", astronauts!F:F, "Master's", astronauts!H:H, "&gt;=18")/C45</f>
        <v>0.6470588235294118</v>
      </c>
      <c r="D48" s="49">
        <f>COUNTIFS(astronauts!B:B,"Male", astronauts!C:C, "Black", astronauts!F:F, "Master's", astronauts!H:H, "&gt;=18")/D45</f>
        <v>0.4</v>
      </c>
      <c r="E48" s="49">
        <f>COUNTIFS(astronauts!C:C,"Black", astronauts!B:B,"Female", astronauts!F:F, "Master's", astronauts!H:H, "&gt;=18")/E45</f>
        <v>0</v>
      </c>
      <c r="F48" s="49">
        <f>COUNTIFS(astronauts!C:C,"Hispanic", astronauts!B:B, "Male", astronauts!F:F, "Master's", astronauts!H:H, "&gt;=18")/F45</f>
        <v>0.5</v>
      </c>
      <c r="G48" s="49">
        <f>COUNTIFS(astronauts!C:C,"Hispanic", astronauts!B:B, "Female", astronauts!F:F, "Master's", astronauts!H:H, "&gt;=18")/G45</f>
        <v>0</v>
      </c>
      <c r="H48" s="49">
        <f>COUNTIFS(astronauts!B:B,"Male", astronauts!C:C, "Asian", astronauts!F:F, "Master's", astronauts!H:H, "&gt;=18")/H45</f>
        <v>0.25</v>
      </c>
      <c r="I48" s="50">
        <v>0</v>
      </c>
    </row>
    <row r="49" spans="1:9" ht="15.75" customHeight="1">
      <c r="A49" s="40" t="s">
        <v>124</v>
      </c>
      <c r="B49" s="32">
        <f>COUNTIFS(astronauts!B:B,"Male", astronauts!C:C, "White", astronauts!F:F, "Doctorate", astronauts!H:H, "&gt;=18")/B45</f>
        <v>0.24242424242424243</v>
      </c>
      <c r="C49" s="32">
        <f>COUNTIFS(astronauts!B:B,"Female", astronauts!C:C, "White", astronauts!F:F, "Doctorate", astronauts!H:H, "&gt;=18")/C45</f>
        <v>0.35294117647058826</v>
      </c>
      <c r="D49" s="49">
        <f>COUNTIFS(astronauts!B:B,"Male", astronauts!C:C, "Black", astronauts!F:F, "Doctorate", astronauts!H:H, "&gt;=18")/D45</f>
        <v>0.6</v>
      </c>
      <c r="E49" s="49">
        <f>COUNTIFS(astronauts!C:C,"Black", astronauts!B:B,"Female", astronauts!F:F, "Doctorate", astronauts!H:H, "&gt;=18")/E45</f>
        <v>1</v>
      </c>
      <c r="F49" s="49">
        <f>COUNTIFS(astronauts!C:C,"Hispanic", astronauts!B:B, "Male", astronauts!F:F, "Doctorate", astronauts!H:H, "&gt;=18")/F45</f>
        <v>0.5</v>
      </c>
      <c r="G49" s="49">
        <f>COUNTIFS(astronauts!C:C,"Hispanic", astronauts!B:B, "Female", astronauts!F:F, "Doctorate", astronauts!H:H, "&gt;=18")/G45</f>
        <v>1</v>
      </c>
      <c r="H49" s="49">
        <f>COUNTIFS(astronauts!B:B,"Male", astronauts!C:C, "Asian", astronauts!F:F, "Doctorate", astronauts!H:H, "&gt;=18")/H45</f>
        <v>0.75</v>
      </c>
      <c r="I49" s="50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333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sheetData>
    <row r="1" spans="1:25" ht="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</row>
    <row r="2" spans="1:25" ht="13">
      <c r="A2" s="1" t="s">
        <v>393</v>
      </c>
      <c r="B2" s="1" t="s">
        <v>394</v>
      </c>
      <c r="C2" s="1" t="s">
        <v>35</v>
      </c>
      <c r="D2" s="1"/>
      <c r="E2" s="6">
        <v>18134</v>
      </c>
      <c r="F2" s="1" t="s">
        <v>124</v>
      </c>
      <c r="G2" s="1">
        <v>1978</v>
      </c>
      <c r="H2" s="1">
        <v>8</v>
      </c>
      <c r="I2" s="1" t="s">
        <v>38</v>
      </c>
      <c r="J2" s="1"/>
      <c r="K2" s="1" t="s">
        <v>521</v>
      </c>
      <c r="L2" s="1" t="s">
        <v>326</v>
      </c>
      <c r="M2" s="1" t="s">
        <v>157</v>
      </c>
      <c r="N2" s="1" t="s">
        <v>170</v>
      </c>
      <c r="O2" s="1" t="s">
        <v>395</v>
      </c>
      <c r="R2" s="1">
        <v>1</v>
      </c>
      <c r="S2" s="1">
        <v>191</v>
      </c>
      <c r="T2" s="1">
        <v>0</v>
      </c>
      <c r="U2" s="1">
        <v>0</v>
      </c>
      <c r="V2" s="1" t="s">
        <v>396</v>
      </c>
    </row>
    <row r="3" spans="1:25" ht="13">
      <c r="A3" s="1" t="s">
        <v>432</v>
      </c>
      <c r="B3" s="1" t="s">
        <v>394</v>
      </c>
      <c r="C3" s="1" t="s">
        <v>35</v>
      </c>
      <c r="D3" s="1"/>
      <c r="E3" s="6">
        <v>15720</v>
      </c>
      <c r="F3" s="1" t="s">
        <v>124</v>
      </c>
      <c r="G3" s="1">
        <v>1978</v>
      </c>
      <c r="H3" s="1">
        <v>8</v>
      </c>
      <c r="I3" s="1" t="s">
        <v>38</v>
      </c>
      <c r="J3" s="1"/>
      <c r="K3" s="1" t="s">
        <v>90</v>
      </c>
      <c r="L3" s="1" t="s">
        <v>433</v>
      </c>
      <c r="M3" s="1" t="s">
        <v>242</v>
      </c>
      <c r="N3" s="1" t="s">
        <v>170</v>
      </c>
      <c r="O3" s="1" t="s">
        <v>434</v>
      </c>
      <c r="R3" s="1">
        <v>5</v>
      </c>
      <c r="S3" s="1">
        <v>5354</v>
      </c>
      <c r="T3" s="1">
        <v>0</v>
      </c>
      <c r="U3" s="1">
        <v>0</v>
      </c>
      <c r="V3" s="1" t="s">
        <v>435</v>
      </c>
    </row>
    <row r="4" spans="1:25" ht="13">
      <c r="A4" s="1" t="s">
        <v>463</v>
      </c>
      <c r="B4" s="1" t="s">
        <v>394</v>
      </c>
      <c r="C4" s="1" t="s">
        <v>35</v>
      </c>
      <c r="D4" s="1"/>
      <c r="E4" s="6">
        <v>17993</v>
      </c>
      <c r="F4" s="1" t="s">
        <v>124</v>
      </c>
      <c r="G4" s="1">
        <v>1978</v>
      </c>
      <c r="H4" s="1">
        <v>8</v>
      </c>
      <c r="I4" s="1" t="s">
        <v>38</v>
      </c>
      <c r="J4" s="1"/>
      <c r="K4" s="1" t="s">
        <v>39</v>
      </c>
      <c r="L4" s="1" t="s">
        <v>464</v>
      </c>
      <c r="M4" s="1" t="s">
        <v>465</v>
      </c>
      <c r="N4" s="1" t="s">
        <v>139</v>
      </c>
      <c r="O4" s="1" t="s">
        <v>139</v>
      </c>
      <c r="R4" s="1">
        <v>2</v>
      </c>
      <c r="S4" s="1">
        <v>144</v>
      </c>
      <c r="T4" s="1">
        <v>0</v>
      </c>
      <c r="U4" s="1">
        <v>0</v>
      </c>
      <c r="V4" s="1" t="s">
        <v>466</v>
      </c>
      <c r="W4" s="6">
        <v>31440</v>
      </c>
      <c r="X4" s="1" t="s">
        <v>444</v>
      </c>
    </row>
    <row r="5" spans="1:25" ht="13">
      <c r="A5" s="1" t="s">
        <v>467</v>
      </c>
      <c r="B5" s="1" t="s">
        <v>394</v>
      </c>
      <c r="C5" s="1" t="s">
        <v>35</v>
      </c>
      <c r="D5" s="1"/>
      <c r="E5" s="6">
        <v>18774</v>
      </c>
      <c r="F5" s="1" t="s">
        <v>124</v>
      </c>
      <c r="G5" s="1">
        <v>1978</v>
      </c>
      <c r="H5" s="1">
        <v>8</v>
      </c>
      <c r="I5" s="1" t="s">
        <v>38</v>
      </c>
      <c r="J5" s="1"/>
      <c r="K5" s="1" t="s">
        <v>39</v>
      </c>
      <c r="L5" s="1" t="s">
        <v>468</v>
      </c>
      <c r="M5" s="1" t="s">
        <v>469</v>
      </c>
      <c r="N5" s="1" t="s">
        <v>470</v>
      </c>
      <c r="O5" s="1" t="s">
        <v>158</v>
      </c>
      <c r="R5" s="1">
        <v>2</v>
      </c>
      <c r="S5" s="1">
        <v>343</v>
      </c>
      <c r="T5" s="1">
        <v>0</v>
      </c>
      <c r="U5" s="1">
        <v>0</v>
      </c>
      <c r="V5" s="1" t="s">
        <v>471</v>
      </c>
      <c r="W5" s="6">
        <v>41113</v>
      </c>
    </row>
    <row r="6" spans="1:25" ht="13">
      <c r="A6" s="1" t="s">
        <v>476</v>
      </c>
      <c r="B6" s="1" t="s">
        <v>394</v>
      </c>
      <c r="C6" s="1" t="s">
        <v>35</v>
      </c>
      <c r="D6" s="1"/>
      <c r="E6" s="6">
        <v>17479</v>
      </c>
      <c r="F6" s="1" t="s">
        <v>124</v>
      </c>
      <c r="G6" s="1">
        <v>1978</v>
      </c>
      <c r="H6" s="1">
        <v>8</v>
      </c>
      <c r="I6" s="1" t="s">
        <v>38</v>
      </c>
      <c r="J6" s="1"/>
      <c r="K6" s="1" t="s">
        <v>90</v>
      </c>
      <c r="L6" s="1" t="s">
        <v>477</v>
      </c>
      <c r="M6" s="1" t="s">
        <v>478</v>
      </c>
      <c r="N6" s="1" t="s">
        <v>479</v>
      </c>
      <c r="O6" s="1" t="s">
        <v>201</v>
      </c>
      <c r="R6" s="1">
        <v>3</v>
      </c>
      <c r="S6" s="1">
        <v>722</v>
      </c>
      <c r="T6" s="1">
        <v>0</v>
      </c>
      <c r="U6" s="1">
        <v>0</v>
      </c>
      <c r="V6" s="1" t="s">
        <v>480</v>
      </c>
    </row>
    <row r="7" spans="1:25" ht="13">
      <c r="A7" s="1" t="s">
        <v>492</v>
      </c>
      <c r="B7" s="1" t="s">
        <v>394</v>
      </c>
      <c r="C7" s="1" t="s">
        <v>35</v>
      </c>
      <c r="D7" s="1"/>
      <c r="E7" s="6">
        <v>18904</v>
      </c>
      <c r="F7" s="1" t="s">
        <v>124</v>
      </c>
      <c r="G7" s="1">
        <v>1978</v>
      </c>
      <c r="H7" s="1">
        <v>8</v>
      </c>
      <c r="I7" s="1" t="s">
        <v>38</v>
      </c>
      <c r="J7" s="1"/>
      <c r="K7" s="1" t="s">
        <v>90</v>
      </c>
      <c r="L7" s="1" t="s">
        <v>493</v>
      </c>
      <c r="M7" s="1" t="s">
        <v>494</v>
      </c>
      <c r="N7" s="1" t="s">
        <v>495</v>
      </c>
      <c r="O7" s="1" t="s">
        <v>496</v>
      </c>
      <c r="R7" s="1">
        <v>3</v>
      </c>
      <c r="S7" s="1">
        <v>532</v>
      </c>
      <c r="T7" s="1">
        <v>1</v>
      </c>
      <c r="U7" s="1">
        <v>3</v>
      </c>
      <c r="V7" s="1" t="s">
        <v>497</v>
      </c>
    </row>
    <row r="8" spans="1:25" ht="13">
      <c r="A8" s="1" t="s">
        <v>536</v>
      </c>
      <c r="B8" s="1" t="s">
        <v>394</v>
      </c>
      <c r="C8" s="1" t="s">
        <v>35</v>
      </c>
      <c r="D8" s="1"/>
      <c r="E8" s="6">
        <v>17203</v>
      </c>
      <c r="F8" s="1" t="s">
        <v>124</v>
      </c>
      <c r="G8" s="1">
        <v>1980</v>
      </c>
      <c r="H8" s="1">
        <v>9</v>
      </c>
      <c r="I8" s="1" t="s">
        <v>38</v>
      </c>
      <c r="J8" s="1"/>
      <c r="K8" s="1" t="s">
        <v>90</v>
      </c>
      <c r="L8" s="1" t="s">
        <v>537</v>
      </c>
      <c r="M8" s="1" t="s">
        <v>538</v>
      </c>
      <c r="N8" s="1" t="s">
        <v>539</v>
      </c>
      <c r="O8" s="1" t="s">
        <v>540</v>
      </c>
      <c r="R8" s="1">
        <v>2</v>
      </c>
      <c r="S8" s="1">
        <v>262</v>
      </c>
      <c r="T8" s="1">
        <v>0</v>
      </c>
      <c r="U8" s="1">
        <v>0</v>
      </c>
      <c r="V8" s="1" t="s">
        <v>541</v>
      </c>
    </row>
    <row r="9" spans="1:25" ht="13">
      <c r="A9" s="1" t="s">
        <v>542</v>
      </c>
      <c r="B9" s="1" t="s">
        <v>394</v>
      </c>
      <c r="C9" s="1" t="s">
        <v>35</v>
      </c>
      <c r="D9" s="1"/>
      <c r="E9" s="6">
        <v>17960</v>
      </c>
      <c r="F9" s="1" t="s">
        <v>124</v>
      </c>
      <c r="G9" s="1">
        <v>1980</v>
      </c>
      <c r="H9" s="1">
        <v>9</v>
      </c>
      <c r="I9" s="1" t="s">
        <v>38</v>
      </c>
      <c r="J9" s="1"/>
      <c r="K9" s="1" t="s">
        <v>90</v>
      </c>
      <c r="L9" s="1" t="s">
        <v>543</v>
      </c>
      <c r="M9" s="1" t="s">
        <v>544</v>
      </c>
      <c r="N9" s="1" t="s">
        <v>545</v>
      </c>
      <c r="O9" s="1" t="s">
        <v>546</v>
      </c>
      <c r="R9" s="1">
        <v>5</v>
      </c>
      <c r="S9" s="1">
        <v>1207</v>
      </c>
      <c r="T9" s="1">
        <v>0</v>
      </c>
      <c r="U9" s="1">
        <v>0</v>
      </c>
      <c r="V9" s="1" t="s">
        <v>547</v>
      </c>
    </row>
    <row r="10" spans="1:25" ht="13">
      <c r="A10" s="1" t="s">
        <v>598</v>
      </c>
      <c r="B10" s="1" t="s">
        <v>394</v>
      </c>
      <c r="C10" s="1" t="s">
        <v>35</v>
      </c>
      <c r="D10" s="1"/>
      <c r="E10" s="6">
        <v>19476</v>
      </c>
      <c r="F10" s="1" t="s">
        <v>124</v>
      </c>
      <c r="G10" s="1">
        <v>1984</v>
      </c>
      <c r="H10" s="1">
        <v>10</v>
      </c>
      <c r="I10" s="1" t="s">
        <v>38</v>
      </c>
      <c r="J10" s="1"/>
      <c r="K10" s="1" t="s">
        <v>90</v>
      </c>
      <c r="L10" s="1" t="s">
        <v>599</v>
      </c>
      <c r="M10" s="1" t="s">
        <v>600</v>
      </c>
      <c r="N10" s="1" t="s">
        <v>210</v>
      </c>
      <c r="O10" s="1" t="s">
        <v>601</v>
      </c>
      <c r="R10" s="1">
        <v>3</v>
      </c>
      <c r="S10" s="1">
        <v>686</v>
      </c>
      <c r="T10" s="1">
        <v>0</v>
      </c>
      <c r="U10" s="1">
        <v>0</v>
      </c>
      <c r="V10" s="1" t="s">
        <v>602</v>
      </c>
    </row>
    <row r="11" spans="1:25" ht="13">
      <c r="A11" s="1" t="s">
        <v>630</v>
      </c>
      <c r="B11" s="1" t="s">
        <v>394</v>
      </c>
      <c r="C11" s="1" t="s">
        <v>35</v>
      </c>
      <c r="D11" s="1"/>
      <c r="E11" s="6">
        <v>18733</v>
      </c>
      <c r="F11" s="1" t="s">
        <v>36</v>
      </c>
      <c r="G11" s="1">
        <v>1984</v>
      </c>
      <c r="H11" s="1">
        <v>10</v>
      </c>
      <c r="I11" s="1" t="s">
        <v>38</v>
      </c>
      <c r="J11" s="1"/>
      <c r="K11" s="1" t="s">
        <v>90</v>
      </c>
      <c r="L11" s="1" t="s">
        <v>631</v>
      </c>
      <c r="M11" s="1" t="s">
        <v>41</v>
      </c>
      <c r="N11" s="1" t="s">
        <v>87</v>
      </c>
      <c r="R11" s="1">
        <v>5</v>
      </c>
      <c r="S11" s="1">
        <v>1341</v>
      </c>
      <c r="T11" s="1">
        <v>0</v>
      </c>
      <c r="U11" s="1">
        <v>0</v>
      </c>
      <c r="V11" s="1" t="s">
        <v>632</v>
      </c>
    </row>
    <row r="12" spans="1:25" ht="13">
      <c r="A12" s="1" t="s">
        <v>649</v>
      </c>
      <c r="B12" s="1" t="s">
        <v>394</v>
      </c>
      <c r="C12" s="1" t="s">
        <v>35</v>
      </c>
      <c r="D12" s="1"/>
      <c r="E12" s="6">
        <v>19223</v>
      </c>
      <c r="F12" s="1" t="s">
        <v>124</v>
      </c>
      <c r="G12" s="1">
        <v>1984</v>
      </c>
      <c r="H12" s="1">
        <v>10</v>
      </c>
      <c r="I12" s="1" t="s">
        <v>38</v>
      </c>
      <c r="J12" s="1"/>
      <c r="K12" s="1" t="s">
        <v>90</v>
      </c>
      <c r="L12" s="1" t="s">
        <v>650</v>
      </c>
      <c r="M12" s="1" t="s">
        <v>651</v>
      </c>
      <c r="N12" s="1" t="s">
        <v>158</v>
      </c>
      <c r="O12" s="1" t="s">
        <v>158</v>
      </c>
      <c r="R12" s="1">
        <v>4</v>
      </c>
      <c r="S12" s="1">
        <v>975</v>
      </c>
      <c r="T12" s="1">
        <v>3</v>
      </c>
      <c r="U12" s="1">
        <v>21</v>
      </c>
      <c r="V12" s="1" t="s">
        <v>652</v>
      </c>
    </row>
    <row r="13" spans="1:25" ht="13">
      <c r="A13" s="1" t="s">
        <v>676</v>
      </c>
      <c r="B13" s="1" t="s">
        <v>394</v>
      </c>
      <c r="C13" s="1" t="s">
        <v>35</v>
      </c>
      <c r="D13" s="1"/>
      <c r="E13" s="6">
        <v>19177</v>
      </c>
      <c r="F13" s="1" t="s">
        <v>124</v>
      </c>
      <c r="G13" s="1">
        <v>1985</v>
      </c>
      <c r="H13" s="1">
        <v>11</v>
      </c>
      <c r="I13" s="1" t="s">
        <v>38</v>
      </c>
      <c r="J13" s="1"/>
      <c r="K13" s="1" t="s">
        <v>90</v>
      </c>
      <c r="L13" s="1" t="s">
        <v>677</v>
      </c>
      <c r="M13" s="1" t="s">
        <v>678</v>
      </c>
      <c r="N13" s="1" t="s">
        <v>289</v>
      </c>
      <c r="O13" s="1" t="s">
        <v>158</v>
      </c>
      <c r="R13" s="1">
        <v>4</v>
      </c>
      <c r="S13" s="1">
        <v>918</v>
      </c>
      <c r="T13" s="1">
        <v>2</v>
      </c>
      <c r="U13" s="1">
        <v>10</v>
      </c>
      <c r="V13" s="1" t="s">
        <v>679</v>
      </c>
    </row>
    <row r="14" spans="1:25" ht="13">
      <c r="A14" s="1" t="s">
        <v>689</v>
      </c>
      <c r="B14" s="1" t="s">
        <v>394</v>
      </c>
      <c r="C14" s="1" t="s">
        <v>35</v>
      </c>
      <c r="D14" s="1"/>
      <c r="E14" s="6">
        <v>21677</v>
      </c>
      <c r="F14" s="1" t="s">
        <v>124</v>
      </c>
      <c r="G14" s="1">
        <v>1985</v>
      </c>
      <c r="H14" s="1">
        <v>11</v>
      </c>
      <c r="I14" s="1" t="s">
        <v>38</v>
      </c>
      <c r="J14" s="1"/>
      <c r="K14" s="1" t="s">
        <v>90</v>
      </c>
      <c r="L14" s="1" t="s">
        <v>690</v>
      </c>
      <c r="M14" s="1" t="s">
        <v>691</v>
      </c>
      <c r="N14" s="1" t="s">
        <v>158</v>
      </c>
      <c r="O14" s="1" t="s">
        <v>692</v>
      </c>
      <c r="R14" s="1">
        <v>5</v>
      </c>
      <c r="S14" s="1">
        <v>1489</v>
      </c>
      <c r="T14" s="1">
        <v>1</v>
      </c>
      <c r="U14" s="1">
        <v>8</v>
      </c>
      <c r="V14" s="1" t="s">
        <v>693</v>
      </c>
    </row>
    <row r="15" spans="1:25" ht="13">
      <c r="A15" s="1" t="s">
        <v>724</v>
      </c>
      <c r="B15" s="1" t="s">
        <v>394</v>
      </c>
      <c r="C15" s="1" t="s">
        <v>35</v>
      </c>
      <c r="D15" s="1"/>
      <c r="E15" s="6">
        <v>19664</v>
      </c>
      <c r="F15" s="1" t="s">
        <v>124</v>
      </c>
      <c r="G15" s="1">
        <v>1987</v>
      </c>
      <c r="H15" s="1">
        <v>12</v>
      </c>
      <c r="I15" s="1" t="s">
        <v>38</v>
      </c>
      <c r="J15" s="1"/>
      <c r="K15" s="1" t="s">
        <v>90</v>
      </c>
      <c r="L15" s="1" t="s">
        <v>725</v>
      </c>
      <c r="M15" s="1" t="s">
        <v>726</v>
      </c>
      <c r="N15" s="1" t="s">
        <v>727</v>
      </c>
      <c r="O15" s="1" t="s">
        <v>62</v>
      </c>
      <c r="R15" s="1">
        <v>3</v>
      </c>
      <c r="S15" s="1">
        <v>673</v>
      </c>
      <c r="T15" s="1">
        <v>0</v>
      </c>
      <c r="U15" s="1">
        <v>0</v>
      </c>
      <c r="V15" s="1" t="s">
        <v>728</v>
      </c>
    </row>
    <row r="16" spans="1:25" ht="13">
      <c r="A16" s="1" t="s">
        <v>738</v>
      </c>
      <c r="B16" s="1" t="s">
        <v>394</v>
      </c>
      <c r="C16" s="1" t="s">
        <v>361</v>
      </c>
      <c r="D16" s="1"/>
      <c r="E16" s="6">
        <v>20745</v>
      </c>
      <c r="F16" s="1" t="s">
        <v>124</v>
      </c>
      <c r="G16" s="1">
        <v>1987</v>
      </c>
      <c r="H16" s="1">
        <v>12</v>
      </c>
      <c r="I16" s="1" t="s">
        <v>38</v>
      </c>
      <c r="J16" s="1"/>
      <c r="K16" s="1" t="s">
        <v>90</v>
      </c>
      <c r="L16" s="1" t="s">
        <v>739</v>
      </c>
      <c r="M16" s="1" t="s">
        <v>740</v>
      </c>
      <c r="N16" s="1" t="s">
        <v>579</v>
      </c>
      <c r="O16" s="1" t="s">
        <v>201</v>
      </c>
      <c r="R16" s="1">
        <v>1</v>
      </c>
      <c r="S16" s="1">
        <v>190</v>
      </c>
      <c r="T16" s="1">
        <v>0</v>
      </c>
      <c r="U16" s="1">
        <v>0</v>
      </c>
      <c r="V16" s="1" t="s">
        <v>741</v>
      </c>
    </row>
    <row r="17" spans="1:25" ht="13">
      <c r="A17" s="1" t="s">
        <v>786</v>
      </c>
      <c r="B17" s="1" t="s">
        <v>394</v>
      </c>
      <c r="C17" s="1" t="s">
        <v>35</v>
      </c>
      <c r="D17" s="1"/>
      <c r="E17" s="6">
        <v>21873</v>
      </c>
      <c r="F17" s="1" t="s">
        <v>84</v>
      </c>
      <c r="G17" s="1">
        <v>1990</v>
      </c>
      <c r="H17" s="1">
        <v>13</v>
      </c>
      <c r="I17" s="1" t="s">
        <v>38</v>
      </c>
      <c r="J17" s="1"/>
      <c r="K17" s="1" t="s">
        <v>90</v>
      </c>
      <c r="L17" s="1" t="s">
        <v>787</v>
      </c>
      <c r="M17" s="1" t="s">
        <v>788</v>
      </c>
      <c r="N17" s="1" t="s">
        <v>789</v>
      </c>
      <c r="O17" s="1" t="s">
        <v>790</v>
      </c>
      <c r="P17" s="1" t="s">
        <v>49</v>
      </c>
      <c r="Q17" s="1" t="s">
        <v>50</v>
      </c>
      <c r="R17" s="1">
        <v>4</v>
      </c>
      <c r="S17" s="1">
        <v>890</v>
      </c>
      <c r="T17" s="1">
        <v>0</v>
      </c>
      <c r="U17" s="1">
        <v>0</v>
      </c>
      <c r="V17" s="1" t="s">
        <v>791</v>
      </c>
    </row>
    <row r="18" spans="1:25" ht="13">
      <c r="A18" s="1" t="s">
        <v>792</v>
      </c>
      <c r="B18" s="1" t="s">
        <v>394</v>
      </c>
      <c r="C18" s="1" t="s">
        <v>35</v>
      </c>
      <c r="D18" s="1"/>
      <c r="E18" s="6">
        <v>21548</v>
      </c>
      <c r="F18" s="1" t="s">
        <v>124</v>
      </c>
      <c r="G18" s="1">
        <v>1990</v>
      </c>
      <c r="H18" s="1">
        <v>13</v>
      </c>
      <c r="I18" s="1" t="s">
        <v>38</v>
      </c>
      <c r="J18" s="1"/>
      <c r="K18" s="1" t="s">
        <v>521</v>
      </c>
      <c r="L18" s="1" t="s">
        <v>793</v>
      </c>
      <c r="M18" s="1" t="s">
        <v>794</v>
      </c>
      <c r="N18" s="1" t="s">
        <v>539</v>
      </c>
      <c r="O18" s="1" t="s">
        <v>795</v>
      </c>
      <c r="P18" s="1" t="s">
        <v>49</v>
      </c>
      <c r="Q18" s="1" t="s">
        <v>490</v>
      </c>
      <c r="R18" s="1">
        <v>4</v>
      </c>
      <c r="S18" s="1">
        <v>999</v>
      </c>
      <c r="T18" s="1">
        <v>0</v>
      </c>
      <c r="U18" s="1">
        <v>0</v>
      </c>
      <c r="V18" s="1" t="s">
        <v>796</v>
      </c>
    </row>
    <row r="19" spans="1:25" ht="13">
      <c r="A19" s="1" t="s">
        <v>812</v>
      </c>
      <c r="B19" s="1" t="s">
        <v>394</v>
      </c>
      <c r="C19" s="1" t="s">
        <v>35</v>
      </c>
      <c r="D19" s="1"/>
      <c r="E19" s="6">
        <v>21242</v>
      </c>
      <c r="F19" s="1" t="s">
        <v>84</v>
      </c>
      <c r="G19" s="1">
        <v>1990</v>
      </c>
      <c r="H19" s="1">
        <v>13</v>
      </c>
      <c r="I19" s="1" t="s">
        <v>38</v>
      </c>
      <c r="J19" s="1"/>
      <c r="K19" s="1" t="s">
        <v>90</v>
      </c>
      <c r="L19" s="1" t="s">
        <v>226</v>
      </c>
      <c r="M19" s="1" t="s">
        <v>813</v>
      </c>
      <c r="N19" s="1" t="s">
        <v>42</v>
      </c>
      <c r="O19" s="1" t="s">
        <v>175</v>
      </c>
      <c r="P19" s="1" t="s">
        <v>113</v>
      </c>
      <c r="Q19" s="1" t="s">
        <v>64</v>
      </c>
      <c r="R19" s="1">
        <v>5</v>
      </c>
      <c r="S19" s="1">
        <v>5063</v>
      </c>
      <c r="T19" s="1">
        <v>1</v>
      </c>
      <c r="U19" s="1">
        <v>9</v>
      </c>
      <c r="V19" s="1" t="s">
        <v>814</v>
      </c>
    </row>
    <row r="20" spans="1:25" ht="13">
      <c r="A20" s="1" t="s">
        <v>826</v>
      </c>
      <c r="B20" s="1" t="s">
        <v>394</v>
      </c>
      <c r="C20" s="1" t="s">
        <v>530</v>
      </c>
      <c r="D20" s="1" t="s">
        <v>827</v>
      </c>
      <c r="E20" s="6">
        <v>21315</v>
      </c>
      <c r="F20" s="1" t="s">
        <v>124</v>
      </c>
      <c r="G20" s="1">
        <v>1990</v>
      </c>
      <c r="H20" s="1">
        <v>13</v>
      </c>
      <c r="I20" s="1" t="s">
        <v>38</v>
      </c>
      <c r="J20" s="1"/>
      <c r="K20" s="1" t="s">
        <v>521</v>
      </c>
      <c r="L20" s="1" t="s">
        <v>468</v>
      </c>
      <c r="M20" s="1" t="s">
        <v>828</v>
      </c>
      <c r="N20" s="1" t="s">
        <v>158</v>
      </c>
      <c r="O20" s="1" t="s">
        <v>139</v>
      </c>
      <c r="R20" s="1">
        <v>4</v>
      </c>
      <c r="S20" s="1">
        <v>979</v>
      </c>
      <c r="T20" s="1">
        <v>0</v>
      </c>
      <c r="U20" s="1">
        <v>0</v>
      </c>
      <c r="V20" s="1" t="s">
        <v>829</v>
      </c>
    </row>
    <row r="21" spans="1:25" ht="13">
      <c r="A21" s="1" t="s">
        <v>847</v>
      </c>
      <c r="B21" s="1" t="s">
        <v>394</v>
      </c>
      <c r="C21" s="1" t="s">
        <v>35</v>
      </c>
      <c r="D21" s="1"/>
      <c r="E21" s="6">
        <v>20736</v>
      </c>
      <c r="F21" s="1" t="s">
        <v>124</v>
      </c>
      <c r="G21" s="1">
        <v>1990</v>
      </c>
      <c r="H21" s="1">
        <v>13</v>
      </c>
      <c r="I21" s="1" t="s">
        <v>38</v>
      </c>
      <c r="J21" s="1"/>
      <c r="K21" s="1" t="s">
        <v>39</v>
      </c>
      <c r="L21" s="1" t="s">
        <v>848</v>
      </c>
      <c r="M21" s="1" t="s">
        <v>849</v>
      </c>
      <c r="N21" s="1" t="s">
        <v>346</v>
      </c>
      <c r="O21" s="1" t="s">
        <v>850</v>
      </c>
      <c r="R21" s="1">
        <v>5</v>
      </c>
      <c r="S21" s="1">
        <v>1179</v>
      </c>
      <c r="T21" s="1">
        <v>0</v>
      </c>
      <c r="U21" s="1">
        <v>0</v>
      </c>
      <c r="V21" s="1" t="s">
        <v>851</v>
      </c>
      <c r="W21" s="6">
        <v>40945</v>
      </c>
    </row>
    <row r="22" spans="1:25" ht="13">
      <c r="A22" s="1" t="s">
        <v>877</v>
      </c>
      <c r="B22" s="1" t="s">
        <v>394</v>
      </c>
      <c r="C22" s="1" t="s">
        <v>35</v>
      </c>
      <c r="D22" s="1"/>
      <c r="E22" s="6">
        <v>22264</v>
      </c>
      <c r="F22" s="1" t="s">
        <v>124</v>
      </c>
      <c r="G22" s="1">
        <v>1992</v>
      </c>
      <c r="H22" s="1">
        <v>14</v>
      </c>
      <c r="I22" s="1" t="s">
        <v>38</v>
      </c>
      <c r="J22" s="1"/>
      <c r="K22" s="1" t="s">
        <v>1057</v>
      </c>
      <c r="L22" s="1" t="s">
        <v>619</v>
      </c>
      <c r="M22" s="1" t="s">
        <v>878</v>
      </c>
      <c r="N22" s="1" t="s">
        <v>170</v>
      </c>
      <c r="O22" s="1" t="s">
        <v>879</v>
      </c>
      <c r="P22" s="1" t="s">
        <v>49</v>
      </c>
      <c r="Q22" s="1" t="s">
        <v>50</v>
      </c>
      <c r="R22" s="1">
        <v>3</v>
      </c>
      <c r="S22" s="1">
        <v>4324</v>
      </c>
      <c r="T22" s="1">
        <v>0</v>
      </c>
      <c r="U22" s="1">
        <v>0</v>
      </c>
      <c r="V22" s="1" t="s">
        <v>880</v>
      </c>
    </row>
    <row r="23" spans="1:25" ht="13">
      <c r="A23" s="1" t="s">
        <v>898</v>
      </c>
      <c r="B23" s="1" t="s">
        <v>394</v>
      </c>
      <c r="C23" s="1" t="s">
        <v>35</v>
      </c>
      <c r="D23" s="1"/>
      <c r="E23" s="6">
        <v>21733</v>
      </c>
      <c r="F23" s="1" t="s">
        <v>84</v>
      </c>
      <c r="G23" s="1">
        <v>1992</v>
      </c>
      <c r="H23" s="1">
        <v>14</v>
      </c>
      <c r="I23" s="1" t="s">
        <v>38</v>
      </c>
      <c r="J23" s="1"/>
      <c r="K23" s="1" t="s">
        <v>90</v>
      </c>
      <c r="L23" s="1" t="s">
        <v>899</v>
      </c>
      <c r="M23" s="1" t="s">
        <v>227</v>
      </c>
      <c r="N23" s="1" t="s">
        <v>900</v>
      </c>
      <c r="O23" s="1" t="s">
        <v>900</v>
      </c>
      <c r="P23" s="1" t="s">
        <v>71</v>
      </c>
      <c r="Q23" s="1" t="s">
        <v>44</v>
      </c>
      <c r="R23" s="1">
        <v>4</v>
      </c>
      <c r="S23" s="1">
        <v>1223</v>
      </c>
      <c r="T23" s="1">
        <v>0</v>
      </c>
      <c r="U23" s="1">
        <v>0</v>
      </c>
      <c r="V23" s="1" t="s">
        <v>901</v>
      </c>
    </row>
    <row r="24" spans="1:25" ht="13">
      <c r="A24" s="1" t="s">
        <v>940</v>
      </c>
      <c r="B24" s="1" t="s">
        <v>394</v>
      </c>
      <c r="C24" s="1" t="s">
        <v>35</v>
      </c>
      <c r="D24" s="1"/>
      <c r="E24" s="6">
        <v>22882</v>
      </c>
      <c r="F24" s="1" t="s">
        <v>124</v>
      </c>
      <c r="G24" s="1">
        <v>1992</v>
      </c>
      <c r="H24" s="1">
        <v>14</v>
      </c>
      <c r="I24" s="1" t="s">
        <v>38</v>
      </c>
      <c r="J24" s="1"/>
      <c r="K24" s="1" t="s">
        <v>90</v>
      </c>
      <c r="L24" s="1" t="s">
        <v>99</v>
      </c>
      <c r="M24" s="1" t="s">
        <v>941</v>
      </c>
      <c r="N24" s="1" t="s">
        <v>579</v>
      </c>
      <c r="O24" s="1" t="s">
        <v>942</v>
      </c>
      <c r="R24" s="1">
        <v>2</v>
      </c>
      <c r="S24" s="1">
        <v>450</v>
      </c>
      <c r="T24" s="1">
        <v>0</v>
      </c>
      <c r="U24" s="1">
        <v>0</v>
      </c>
      <c r="V24" s="1" t="s">
        <v>943</v>
      </c>
    </row>
    <row r="25" spans="1:25" ht="13">
      <c r="A25" s="1" t="s">
        <v>960</v>
      </c>
      <c r="B25" s="1" t="s">
        <v>394</v>
      </c>
      <c r="C25" s="1" t="s">
        <v>459</v>
      </c>
      <c r="D25" s="1" t="s">
        <v>961</v>
      </c>
      <c r="E25" s="6">
        <v>22433</v>
      </c>
      <c r="F25" s="1" t="s">
        <v>124</v>
      </c>
      <c r="G25" s="1">
        <v>1995</v>
      </c>
      <c r="H25" s="1">
        <v>15</v>
      </c>
      <c r="I25" s="1" t="s">
        <v>38</v>
      </c>
      <c r="J25" s="1"/>
      <c r="K25" s="1" t="s">
        <v>39</v>
      </c>
      <c r="L25" s="1" t="s">
        <v>962</v>
      </c>
      <c r="M25" s="1" t="s">
        <v>963</v>
      </c>
      <c r="N25" s="1" t="s">
        <v>42</v>
      </c>
      <c r="O25" s="1" t="s">
        <v>87</v>
      </c>
      <c r="R25" s="1">
        <v>2</v>
      </c>
      <c r="S25" s="1">
        <v>734</v>
      </c>
      <c r="T25" s="1">
        <v>0</v>
      </c>
      <c r="U25" s="1">
        <v>0</v>
      </c>
      <c r="V25" s="1" t="s">
        <v>964</v>
      </c>
      <c r="W25" s="6">
        <v>37653</v>
      </c>
      <c r="X25" s="1" t="s">
        <v>952</v>
      </c>
    </row>
    <row r="26" spans="1:25" ht="13">
      <c r="A26" s="1" t="s">
        <v>976</v>
      </c>
      <c r="B26" s="1" t="s">
        <v>394</v>
      </c>
      <c r="C26" s="1" t="s">
        <v>35</v>
      </c>
      <c r="D26" s="1"/>
      <c r="E26" s="6">
        <v>21788</v>
      </c>
      <c r="F26" s="1" t="s">
        <v>84</v>
      </c>
      <c r="G26" s="1">
        <v>1995</v>
      </c>
      <c r="H26" s="1">
        <v>15</v>
      </c>
      <c r="I26" s="1" t="s">
        <v>38</v>
      </c>
      <c r="J26" s="1"/>
      <c r="K26" s="1" t="s">
        <v>521</v>
      </c>
      <c r="L26" s="1" t="s">
        <v>180</v>
      </c>
      <c r="M26" s="1" t="s">
        <v>977</v>
      </c>
      <c r="N26" s="1" t="s">
        <v>654</v>
      </c>
      <c r="O26" s="1" t="s">
        <v>978</v>
      </c>
      <c r="P26" s="1" t="s">
        <v>71</v>
      </c>
      <c r="Q26" s="1" t="s">
        <v>784</v>
      </c>
      <c r="R26" s="1">
        <v>2</v>
      </c>
      <c r="S26" s="1">
        <v>711</v>
      </c>
      <c r="T26" s="1">
        <v>0</v>
      </c>
      <c r="U26" s="1">
        <v>0</v>
      </c>
      <c r="V26" s="1" t="s">
        <v>979</v>
      </c>
    </row>
    <row r="27" spans="1:25" ht="13">
      <c r="A27" s="1" t="s">
        <v>984</v>
      </c>
      <c r="B27" s="1" t="s">
        <v>394</v>
      </c>
      <c r="C27" s="1" t="s">
        <v>35</v>
      </c>
      <c r="D27" s="1"/>
      <c r="E27" s="6">
        <v>21748</v>
      </c>
      <c r="F27" s="1" t="s">
        <v>84</v>
      </c>
      <c r="G27" s="1">
        <v>1995</v>
      </c>
      <c r="H27" s="1">
        <v>15</v>
      </c>
      <c r="I27" s="1" t="s">
        <v>38</v>
      </c>
      <c r="J27" s="1"/>
      <c r="K27" s="1" t="s">
        <v>521</v>
      </c>
      <c r="L27" s="1" t="s">
        <v>985</v>
      </c>
      <c r="M27" s="1" t="s">
        <v>986</v>
      </c>
      <c r="N27" s="1" t="s">
        <v>170</v>
      </c>
      <c r="O27" s="1" t="s">
        <v>170</v>
      </c>
      <c r="R27" s="1">
        <v>3</v>
      </c>
      <c r="S27" s="1">
        <v>812</v>
      </c>
      <c r="T27" s="1">
        <v>0</v>
      </c>
      <c r="U27" s="1">
        <v>0</v>
      </c>
      <c r="V27" s="1" t="s">
        <v>987</v>
      </c>
    </row>
    <row r="28" spans="1:25" ht="13">
      <c r="A28" s="1" t="s">
        <v>988</v>
      </c>
      <c r="B28" s="1" t="s">
        <v>394</v>
      </c>
      <c r="C28" s="1" t="s">
        <v>35</v>
      </c>
      <c r="D28" s="1"/>
      <c r="E28" s="6">
        <v>22578</v>
      </c>
      <c r="F28" s="1" t="s">
        <v>84</v>
      </c>
      <c r="G28" s="1">
        <v>1995</v>
      </c>
      <c r="H28" s="1">
        <v>15</v>
      </c>
      <c r="I28" s="1" t="s">
        <v>38</v>
      </c>
      <c r="J28" s="1"/>
      <c r="K28" s="1" t="s">
        <v>90</v>
      </c>
      <c r="L28" s="1" t="s">
        <v>989</v>
      </c>
      <c r="M28" s="1" t="s">
        <v>990</v>
      </c>
      <c r="N28" s="1" t="s">
        <v>104</v>
      </c>
      <c r="O28" s="1" t="s">
        <v>87</v>
      </c>
      <c r="P28" s="1" t="s">
        <v>43</v>
      </c>
      <c r="Q28" s="1" t="s">
        <v>44</v>
      </c>
      <c r="R28" s="1">
        <v>2</v>
      </c>
      <c r="S28" s="1">
        <v>472</v>
      </c>
      <c r="T28" s="1">
        <v>0</v>
      </c>
      <c r="U28" s="1">
        <v>0</v>
      </c>
      <c r="V28" s="1" t="s">
        <v>991</v>
      </c>
    </row>
    <row r="29" spans="1:25" ht="13">
      <c r="A29" s="1" t="s">
        <v>999</v>
      </c>
      <c r="B29" s="1" t="s">
        <v>394</v>
      </c>
      <c r="C29" s="1" t="s">
        <v>35</v>
      </c>
      <c r="D29" s="1"/>
      <c r="E29" s="6">
        <v>22541</v>
      </c>
      <c r="F29" s="1" t="s">
        <v>84</v>
      </c>
      <c r="G29" s="1">
        <v>1995</v>
      </c>
      <c r="H29" s="1">
        <v>15</v>
      </c>
      <c r="I29" s="1" t="s">
        <v>38</v>
      </c>
      <c r="J29" s="1"/>
      <c r="K29" s="1" t="s">
        <v>90</v>
      </c>
      <c r="L29" s="1" t="s">
        <v>1000</v>
      </c>
      <c r="M29" s="1" t="s">
        <v>1001</v>
      </c>
      <c r="N29" s="1" t="s">
        <v>328</v>
      </c>
      <c r="O29" s="1" t="s">
        <v>1002</v>
      </c>
      <c r="P29" s="1" t="s">
        <v>49</v>
      </c>
      <c r="Q29" s="1" t="s">
        <v>50</v>
      </c>
      <c r="R29" s="1">
        <v>3</v>
      </c>
      <c r="S29" s="1">
        <v>914</v>
      </c>
      <c r="T29" s="1">
        <v>0</v>
      </c>
      <c r="U29" s="1">
        <v>0</v>
      </c>
      <c r="V29" s="1" t="s">
        <v>1003</v>
      </c>
    </row>
    <row r="30" spans="1:25" ht="13">
      <c r="A30" s="1" t="s">
        <v>1032</v>
      </c>
      <c r="B30" s="1" t="s">
        <v>394</v>
      </c>
      <c r="C30" s="1" t="s">
        <v>361</v>
      </c>
      <c r="D30" s="1"/>
      <c r="E30" s="6">
        <v>21664</v>
      </c>
      <c r="F30" s="1" t="s">
        <v>124</v>
      </c>
      <c r="G30" s="1">
        <v>1996</v>
      </c>
      <c r="H30" s="1">
        <v>16</v>
      </c>
      <c r="I30" s="1" t="s">
        <v>38</v>
      </c>
      <c r="J30" s="1"/>
      <c r="K30" s="1" t="s">
        <v>521</v>
      </c>
      <c r="L30" s="1" t="s">
        <v>1033</v>
      </c>
      <c r="M30" s="1" t="s">
        <v>1034</v>
      </c>
      <c r="N30" s="1" t="s">
        <v>434</v>
      </c>
      <c r="P30" s="1" t="s">
        <v>49</v>
      </c>
      <c r="Q30" s="1" t="s">
        <v>64</v>
      </c>
      <c r="R30" s="1">
        <v>0</v>
      </c>
      <c r="S30" s="1">
        <v>0</v>
      </c>
      <c r="T30" s="1">
        <v>0</v>
      </c>
      <c r="U30" s="1">
        <v>0</v>
      </c>
      <c r="Y30" s="1" t="s">
        <v>1587</v>
      </c>
    </row>
    <row r="31" spans="1:25" ht="13">
      <c r="A31" s="1" t="s">
        <v>1051</v>
      </c>
      <c r="B31" s="1" t="s">
        <v>394</v>
      </c>
      <c r="C31" s="1" t="s">
        <v>35</v>
      </c>
      <c r="D31" s="1"/>
      <c r="E31" s="6">
        <v>22350</v>
      </c>
      <c r="F31" s="1" t="s">
        <v>124</v>
      </c>
      <c r="G31" s="1">
        <v>1996</v>
      </c>
      <c r="H31" s="1">
        <v>16</v>
      </c>
      <c r="I31" s="1" t="s">
        <v>38</v>
      </c>
      <c r="J31" s="1"/>
      <c r="K31" s="1" t="s">
        <v>39</v>
      </c>
      <c r="L31" s="1" t="s">
        <v>1052</v>
      </c>
      <c r="M31" s="1" t="s">
        <v>1053</v>
      </c>
      <c r="N31" s="1" t="s">
        <v>1054</v>
      </c>
      <c r="O31" s="1" t="s">
        <v>201</v>
      </c>
      <c r="P31" s="1" t="s">
        <v>71</v>
      </c>
      <c r="Q31" s="1" t="s">
        <v>150</v>
      </c>
      <c r="R31" s="1">
        <v>1</v>
      </c>
      <c r="S31" s="1">
        <v>382</v>
      </c>
      <c r="T31" s="1">
        <v>0</v>
      </c>
      <c r="U31" s="1">
        <v>0</v>
      </c>
      <c r="V31" s="1" t="s">
        <v>952</v>
      </c>
      <c r="W31" s="6">
        <v>37653</v>
      </c>
      <c r="X31" s="1" t="s">
        <v>952</v>
      </c>
    </row>
    <row r="32" spans="1:25" ht="13">
      <c r="A32" s="1" t="s">
        <v>1073</v>
      </c>
      <c r="B32" s="1" t="s">
        <v>394</v>
      </c>
      <c r="C32" s="1" t="s">
        <v>361</v>
      </c>
      <c r="D32" s="1"/>
      <c r="E32" s="6">
        <v>23592</v>
      </c>
      <c r="F32" s="1" t="s">
        <v>84</v>
      </c>
      <c r="G32" s="1">
        <v>1996</v>
      </c>
      <c r="H32" s="1">
        <v>16</v>
      </c>
      <c r="I32" s="1" t="s">
        <v>38</v>
      </c>
      <c r="J32" s="1"/>
      <c r="K32" s="1" t="s">
        <v>90</v>
      </c>
      <c r="L32" s="1" t="s">
        <v>102</v>
      </c>
      <c r="M32" s="1" t="s">
        <v>1074</v>
      </c>
      <c r="N32" s="1" t="s">
        <v>139</v>
      </c>
      <c r="O32" s="1" t="s">
        <v>1075</v>
      </c>
      <c r="R32" s="1">
        <v>1</v>
      </c>
      <c r="S32" s="1">
        <v>308</v>
      </c>
      <c r="T32" s="1">
        <v>0</v>
      </c>
      <c r="U32" s="1">
        <v>0</v>
      </c>
      <c r="V32" s="1" t="s">
        <v>1076</v>
      </c>
    </row>
    <row r="33" spans="1:25" ht="13">
      <c r="A33" s="1" t="s">
        <v>1099</v>
      </c>
      <c r="B33" s="1" t="s">
        <v>394</v>
      </c>
      <c r="C33" s="1" t="s">
        <v>35</v>
      </c>
      <c r="D33" s="1"/>
      <c r="E33" s="6">
        <v>23680</v>
      </c>
      <c r="F33" s="1" t="s">
        <v>124</v>
      </c>
      <c r="G33" s="1">
        <v>1996</v>
      </c>
      <c r="H33" s="1">
        <v>16</v>
      </c>
      <c r="I33" s="1" t="s">
        <v>38</v>
      </c>
      <c r="J33" s="1"/>
      <c r="K33" s="1" t="s">
        <v>90</v>
      </c>
      <c r="L33" s="1" t="s">
        <v>1100</v>
      </c>
      <c r="M33" s="1" t="s">
        <v>1101</v>
      </c>
      <c r="N33" s="1" t="s">
        <v>158</v>
      </c>
      <c r="O33" s="1" t="s">
        <v>1102</v>
      </c>
      <c r="R33" s="1">
        <v>3</v>
      </c>
      <c r="S33" s="1">
        <v>3776</v>
      </c>
      <c r="T33" s="1">
        <v>0</v>
      </c>
      <c r="U33" s="1">
        <v>0</v>
      </c>
      <c r="V33" s="1" t="s">
        <v>1103</v>
      </c>
    </row>
    <row r="34" spans="1:25" ht="13">
      <c r="A34" s="1" t="s">
        <v>1126</v>
      </c>
      <c r="B34" s="1" t="s">
        <v>394</v>
      </c>
      <c r="C34" s="1" t="s">
        <v>35</v>
      </c>
      <c r="D34" s="1"/>
      <c r="E34" s="6">
        <v>23141</v>
      </c>
      <c r="F34" s="1" t="s">
        <v>84</v>
      </c>
      <c r="G34" s="1">
        <v>1996</v>
      </c>
      <c r="H34" s="1">
        <v>16</v>
      </c>
      <c r="I34" s="1" t="s">
        <v>38</v>
      </c>
      <c r="J34" s="1"/>
      <c r="K34" s="1" t="s">
        <v>90</v>
      </c>
      <c r="L34" s="1" t="s">
        <v>407</v>
      </c>
      <c r="M34" s="1" t="s">
        <v>565</v>
      </c>
      <c r="N34" s="1" t="s">
        <v>87</v>
      </c>
      <c r="O34" s="1" t="s">
        <v>42</v>
      </c>
      <c r="P34" s="1" t="s">
        <v>71</v>
      </c>
      <c r="Q34" s="1" t="s">
        <v>44</v>
      </c>
      <c r="R34" s="1">
        <v>1</v>
      </c>
      <c r="S34" s="1">
        <v>306</v>
      </c>
      <c r="T34" s="1">
        <v>0</v>
      </c>
      <c r="U34" s="1">
        <v>0</v>
      </c>
      <c r="V34" s="1" t="s">
        <v>1128</v>
      </c>
    </row>
    <row r="35" spans="1:25" ht="13">
      <c r="A35" s="1" t="s">
        <v>1153</v>
      </c>
      <c r="B35" s="1" t="s">
        <v>394</v>
      </c>
      <c r="C35" s="1" t="s">
        <v>35</v>
      </c>
      <c r="D35" s="1"/>
      <c r="E35" s="6">
        <v>23049</v>
      </c>
      <c r="F35" s="1" t="s">
        <v>84</v>
      </c>
      <c r="G35" s="1">
        <v>1996</v>
      </c>
      <c r="H35" s="1">
        <v>16</v>
      </c>
      <c r="I35" s="1" t="s">
        <v>38</v>
      </c>
      <c r="J35" s="1"/>
      <c r="K35" s="1" t="s">
        <v>90</v>
      </c>
      <c r="L35" s="1" t="s">
        <v>1047</v>
      </c>
      <c r="M35" s="1" t="s">
        <v>174</v>
      </c>
      <c r="N35" s="1" t="s">
        <v>62</v>
      </c>
      <c r="P35" s="1" t="s">
        <v>71</v>
      </c>
      <c r="Q35" s="1" t="s">
        <v>150</v>
      </c>
      <c r="R35" s="1">
        <v>2</v>
      </c>
      <c r="S35" s="1">
        <v>663</v>
      </c>
      <c r="T35" s="1">
        <v>2</v>
      </c>
      <c r="U35" s="1">
        <v>33</v>
      </c>
      <c r="V35" s="1" t="s">
        <v>1154</v>
      </c>
    </row>
    <row r="36" spans="1:25" ht="13">
      <c r="A36" s="1" t="s">
        <v>1162</v>
      </c>
      <c r="B36" s="1" t="s">
        <v>394</v>
      </c>
      <c r="C36" s="1" t="s">
        <v>35</v>
      </c>
      <c r="D36" s="1"/>
      <c r="E36" s="6">
        <v>21955</v>
      </c>
      <c r="F36" s="1" t="s">
        <v>124</v>
      </c>
      <c r="G36" s="1">
        <v>1996</v>
      </c>
      <c r="H36" s="1">
        <v>16</v>
      </c>
      <c r="I36" s="1" t="s">
        <v>38</v>
      </c>
      <c r="J36" s="1"/>
      <c r="K36" s="1" t="s">
        <v>1057</v>
      </c>
      <c r="L36" s="1" t="s">
        <v>1163</v>
      </c>
      <c r="M36" s="1" t="s">
        <v>1164</v>
      </c>
      <c r="N36" s="1" t="s">
        <v>1165</v>
      </c>
      <c r="O36" s="1" t="s">
        <v>434</v>
      </c>
      <c r="R36" s="1">
        <v>3</v>
      </c>
      <c r="S36" s="1">
        <v>11698</v>
      </c>
      <c r="T36" s="1">
        <v>7</v>
      </c>
      <c r="U36" s="1">
        <v>46</v>
      </c>
      <c r="V36" s="1" t="s">
        <v>1166</v>
      </c>
    </row>
    <row r="37" spans="1:25" ht="13">
      <c r="A37" s="1" t="s">
        <v>1172</v>
      </c>
      <c r="B37" s="1" t="s">
        <v>394</v>
      </c>
      <c r="C37" s="1" t="s">
        <v>361</v>
      </c>
      <c r="D37" s="1"/>
      <c r="E37" s="6">
        <v>24377</v>
      </c>
      <c r="F37" s="1" t="s">
        <v>84</v>
      </c>
      <c r="G37" s="1">
        <v>1996</v>
      </c>
      <c r="H37" s="1">
        <v>16</v>
      </c>
      <c r="I37" s="1" t="s">
        <v>38</v>
      </c>
      <c r="J37" s="1"/>
      <c r="K37" s="1" t="s">
        <v>1057</v>
      </c>
      <c r="L37" s="1" t="s">
        <v>258</v>
      </c>
      <c r="M37" s="1" t="s">
        <v>1173</v>
      </c>
      <c r="N37" s="1" t="s">
        <v>346</v>
      </c>
      <c r="O37" s="1" t="s">
        <v>87</v>
      </c>
      <c r="R37" s="1">
        <v>3</v>
      </c>
      <c r="S37" s="1">
        <v>1031</v>
      </c>
      <c r="T37" s="1">
        <v>0</v>
      </c>
      <c r="U37" s="1">
        <v>0</v>
      </c>
      <c r="V37" s="1" t="s">
        <v>1174</v>
      </c>
    </row>
    <row r="38" spans="1:25" ht="13">
      <c r="A38" s="1" t="s">
        <v>1182</v>
      </c>
      <c r="B38" s="1" t="s">
        <v>394</v>
      </c>
      <c r="C38" s="1" t="s">
        <v>35</v>
      </c>
      <c r="D38" s="1"/>
      <c r="E38" s="6">
        <v>25429</v>
      </c>
      <c r="F38" s="1" t="s">
        <v>124</v>
      </c>
      <c r="G38" s="1">
        <v>1998</v>
      </c>
      <c r="H38" s="1">
        <v>17</v>
      </c>
      <c r="I38" s="1" t="s">
        <v>38</v>
      </c>
      <c r="J38" s="1"/>
      <c r="K38" s="1" t="s">
        <v>1057</v>
      </c>
      <c r="L38" s="1" t="s">
        <v>993</v>
      </c>
      <c r="M38" s="1" t="s">
        <v>1183</v>
      </c>
      <c r="N38" s="1" t="s">
        <v>170</v>
      </c>
      <c r="O38" s="1" t="s">
        <v>942</v>
      </c>
      <c r="R38" s="1">
        <v>2</v>
      </c>
      <c r="S38" s="1">
        <v>4531</v>
      </c>
      <c r="T38" s="1">
        <v>3</v>
      </c>
      <c r="U38" s="1">
        <v>23</v>
      </c>
      <c r="V38" s="1" t="s">
        <v>1184</v>
      </c>
    </row>
    <row r="39" spans="1:25" ht="13">
      <c r="A39" s="1" t="s">
        <v>1220</v>
      </c>
      <c r="B39" s="1" t="s">
        <v>394</v>
      </c>
      <c r="C39" s="1" t="s">
        <v>35</v>
      </c>
      <c r="D39" s="1"/>
      <c r="E39" s="6">
        <v>18960</v>
      </c>
      <c r="F39" s="1" t="s">
        <v>36</v>
      </c>
      <c r="G39" s="1">
        <v>1998</v>
      </c>
      <c r="H39" s="1">
        <v>17</v>
      </c>
      <c r="I39" s="1" t="s">
        <v>38</v>
      </c>
      <c r="J39" s="1"/>
      <c r="K39" s="1" t="s">
        <v>90</v>
      </c>
      <c r="L39" s="1" t="s">
        <v>504</v>
      </c>
      <c r="M39" s="1" t="s">
        <v>469</v>
      </c>
      <c r="N39" s="1" t="s">
        <v>1221</v>
      </c>
      <c r="R39" s="1">
        <v>1</v>
      </c>
      <c r="S39" s="1">
        <v>305</v>
      </c>
      <c r="T39" s="1">
        <v>0</v>
      </c>
      <c r="U39" s="1">
        <v>0</v>
      </c>
      <c r="V39" s="1" t="s">
        <v>1222</v>
      </c>
    </row>
    <row r="40" spans="1:25" ht="13">
      <c r="A40" s="1" t="s">
        <v>1244</v>
      </c>
      <c r="B40" s="1" t="s">
        <v>394</v>
      </c>
      <c r="C40" s="1" t="s">
        <v>35</v>
      </c>
      <c r="D40" s="1"/>
      <c r="E40" s="6">
        <v>23082</v>
      </c>
      <c r="F40" s="1" t="s">
        <v>124</v>
      </c>
      <c r="G40" s="1">
        <v>1998</v>
      </c>
      <c r="H40" s="1">
        <v>17</v>
      </c>
      <c r="I40" s="1" t="s">
        <v>38</v>
      </c>
      <c r="J40" s="1"/>
      <c r="K40" s="1" t="s">
        <v>39</v>
      </c>
      <c r="L40" s="1" t="s">
        <v>1245</v>
      </c>
      <c r="M40" s="1" t="s">
        <v>1246</v>
      </c>
      <c r="N40" s="1" t="s">
        <v>810</v>
      </c>
      <c r="O40" s="1" t="s">
        <v>201</v>
      </c>
      <c r="R40" s="1">
        <v>0</v>
      </c>
      <c r="S40" s="1">
        <v>0</v>
      </c>
      <c r="T40" s="1">
        <v>0</v>
      </c>
      <c r="U40" s="1">
        <v>0</v>
      </c>
      <c r="W40" s="6">
        <v>37035</v>
      </c>
      <c r="Y40" s="1" t="s">
        <v>183</v>
      </c>
    </row>
    <row r="41" spans="1:25" ht="13">
      <c r="A41" s="1" t="s">
        <v>1255</v>
      </c>
      <c r="B41" s="1" t="s">
        <v>394</v>
      </c>
      <c r="C41" s="1" t="s">
        <v>459</v>
      </c>
      <c r="D41" s="1" t="s">
        <v>961</v>
      </c>
      <c r="E41" s="6">
        <v>24004</v>
      </c>
      <c r="F41" s="1" t="s">
        <v>84</v>
      </c>
      <c r="G41" s="1">
        <v>1998</v>
      </c>
      <c r="H41" s="1">
        <v>17</v>
      </c>
      <c r="I41" s="1" t="s">
        <v>38</v>
      </c>
      <c r="J41" s="1"/>
      <c r="K41" s="1" t="s">
        <v>1057</v>
      </c>
      <c r="L41" s="1" t="s">
        <v>1256</v>
      </c>
      <c r="M41" s="1" t="s">
        <v>1257</v>
      </c>
      <c r="N41" s="1" t="s">
        <v>736</v>
      </c>
      <c r="O41" s="1" t="s">
        <v>654</v>
      </c>
      <c r="P41" s="1" t="s">
        <v>71</v>
      </c>
      <c r="Q41" s="1" t="s">
        <v>150</v>
      </c>
      <c r="R41" s="1">
        <v>2</v>
      </c>
      <c r="S41" s="1">
        <v>7721</v>
      </c>
      <c r="T41" s="1">
        <v>7</v>
      </c>
      <c r="U41" s="1">
        <v>50</v>
      </c>
      <c r="V41" s="1" t="s">
        <v>1258</v>
      </c>
    </row>
    <row r="42" spans="1:25" ht="13">
      <c r="A42" s="1" t="s">
        <v>1323</v>
      </c>
      <c r="B42" s="1" t="s">
        <v>394</v>
      </c>
      <c r="C42" s="1" t="s">
        <v>35</v>
      </c>
      <c r="D42" s="1"/>
      <c r="E42" s="6">
        <v>26175</v>
      </c>
      <c r="F42" s="1" t="s">
        <v>124</v>
      </c>
      <c r="G42" s="1">
        <v>2000</v>
      </c>
      <c r="H42" s="1">
        <v>18</v>
      </c>
      <c r="I42" s="1" t="s">
        <v>38</v>
      </c>
      <c r="J42" s="1"/>
      <c r="K42" s="1" t="s">
        <v>1057</v>
      </c>
      <c r="L42" s="1" t="s">
        <v>1324</v>
      </c>
      <c r="M42" s="1" t="s">
        <v>1325</v>
      </c>
      <c r="N42" s="1" t="s">
        <v>87</v>
      </c>
      <c r="O42" s="1" t="s">
        <v>1326</v>
      </c>
      <c r="R42" s="1">
        <v>1</v>
      </c>
      <c r="S42" s="1">
        <v>309</v>
      </c>
      <c r="T42" s="1">
        <v>0</v>
      </c>
      <c r="U42" s="1">
        <v>0</v>
      </c>
      <c r="V42" s="1" t="s">
        <v>1207</v>
      </c>
    </row>
    <row r="43" spans="1:25" ht="13">
      <c r="A43" s="1" t="s">
        <v>1329</v>
      </c>
      <c r="B43" s="1" t="s">
        <v>394</v>
      </c>
      <c r="C43" s="1" t="s">
        <v>35</v>
      </c>
      <c r="D43" s="1"/>
      <c r="E43" s="6">
        <v>25483</v>
      </c>
      <c r="F43" s="1" t="s">
        <v>124</v>
      </c>
      <c r="G43" s="1">
        <v>2000</v>
      </c>
      <c r="H43" s="1">
        <v>18</v>
      </c>
      <c r="I43" s="1" t="s">
        <v>38</v>
      </c>
      <c r="J43" s="1"/>
      <c r="K43" s="1" t="s">
        <v>1057</v>
      </c>
      <c r="L43" s="1" t="s">
        <v>1330</v>
      </c>
      <c r="M43" s="1" t="s">
        <v>1331</v>
      </c>
      <c r="N43" s="1" t="s">
        <v>62</v>
      </c>
      <c r="O43" s="1" t="s">
        <v>62</v>
      </c>
      <c r="R43" s="1">
        <v>2</v>
      </c>
      <c r="S43" s="1">
        <v>4320</v>
      </c>
      <c r="T43" s="1">
        <v>0</v>
      </c>
      <c r="U43" s="1">
        <v>0</v>
      </c>
      <c r="V43" s="1" t="s">
        <v>1332</v>
      </c>
    </row>
    <row r="44" spans="1:25" ht="13">
      <c r="A44" s="1" t="s">
        <v>1333</v>
      </c>
      <c r="B44" s="1" t="s">
        <v>394</v>
      </c>
      <c r="C44" s="1" t="s">
        <v>35</v>
      </c>
      <c r="D44" s="1"/>
      <c r="E44" s="6">
        <v>22969</v>
      </c>
      <c r="F44" s="1" t="s">
        <v>84</v>
      </c>
      <c r="G44" s="1">
        <v>2000</v>
      </c>
      <c r="H44" s="1">
        <v>18</v>
      </c>
      <c r="I44" s="1" t="s">
        <v>38</v>
      </c>
      <c r="J44" s="1"/>
      <c r="K44" s="1" t="s">
        <v>1057</v>
      </c>
      <c r="L44" s="1" t="s">
        <v>1334</v>
      </c>
      <c r="M44" s="1" t="s">
        <v>1335</v>
      </c>
      <c r="N44" s="1" t="s">
        <v>42</v>
      </c>
      <c r="O44" s="1" t="s">
        <v>654</v>
      </c>
      <c r="R44" s="1">
        <v>2</v>
      </c>
      <c r="S44" s="1">
        <v>2477</v>
      </c>
      <c r="T44" s="1">
        <v>1</v>
      </c>
      <c r="U44" s="1">
        <v>6</v>
      </c>
      <c r="V44" s="1" t="s">
        <v>1336</v>
      </c>
    </row>
    <row r="45" spans="1:25" ht="13">
      <c r="A45" s="1" t="s">
        <v>1390</v>
      </c>
      <c r="B45" s="1" t="s">
        <v>394</v>
      </c>
      <c r="C45" s="1" t="s">
        <v>35</v>
      </c>
      <c r="D45" s="1"/>
      <c r="E45" s="6">
        <v>27516</v>
      </c>
      <c r="F45" s="1" t="s">
        <v>84</v>
      </c>
      <c r="G45" s="1">
        <v>2004</v>
      </c>
      <c r="H45" s="1">
        <v>19</v>
      </c>
      <c r="I45" s="1" t="s">
        <v>38</v>
      </c>
      <c r="J45" s="1"/>
      <c r="K45" s="1" t="s">
        <v>1057</v>
      </c>
      <c r="L45" s="1" t="s">
        <v>1391</v>
      </c>
      <c r="M45" s="1" t="s">
        <v>1392</v>
      </c>
      <c r="N45" s="1" t="s">
        <v>210</v>
      </c>
      <c r="R45" s="1">
        <v>1</v>
      </c>
      <c r="S45" s="1">
        <v>362</v>
      </c>
      <c r="T45" s="1">
        <v>0</v>
      </c>
      <c r="U45" s="1">
        <v>0</v>
      </c>
      <c r="V45" s="1" t="s">
        <v>1372</v>
      </c>
    </row>
    <row r="46" spans="1:25" ht="13">
      <c r="A46" s="1" t="s">
        <v>1398</v>
      </c>
      <c r="B46" s="1" t="s">
        <v>394</v>
      </c>
      <c r="C46" s="1" t="s">
        <v>35</v>
      </c>
      <c r="D46" s="1"/>
      <c r="E46" s="6">
        <v>23897</v>
      </c>
      <c r="F46" s="1" t="s">
        <v>124</v>
      </c>
      <c r="G46" s="1">
        <v>2004</v>
      </c>
      <c r="H46" s="1">
        <v>19</v>
      </c>
      <c r="I46" s="1" t="s">
        <v>38</v>
      </c>
      <c r="J46" s="1"/>
      <c r="K46" s="1" t="s">
        <v>1057</v>
      </c>
      <c r="L46" s="1" t="s">
        <v>1399</v>
      </c>
      <c r="M46" s="1" t="s">
        <v>1400</v>
      </c>
      <c r="N46" s="1" t="s">
        <v>1401</v>
      </c>
      <c r="O46" s="1" t="s">
        <v>1401</v>
      </c>
      <c r="R46" s="1">
        <v>1</v>
      </c>
      <c r="S46" s="1">
        <v>3919</v>
      </c>
      <c r="T46" s="1">
        <v>0</v>
      </c>
      <c r="U46" s="1">
        <v>0</v>
      </c>
      <c r="V46" s="1" t="s">
        <v>1588</v>
      </c>
    </row>
    <row r="47" spans="1:25" ht="13">
      <c r="A47" s="1" t="s">
        <v>1404</v>
      </c>
      <c r="B47" s="1" t="s">
        <v>394</v>
      </c>
      <c r="C47" s="1" t="s">
        <v>530</v>
      </c>
      <c r="D47" s="1" t="s">
        <v>1405</v>
      </c>
      <c r="E47" s="6">
        <v>27859</v>
      </c>
      <c r="F47" s="1" t="s">
        <v>124</v>
      </c>
      <c r="G47" s="1">
        <v>2009</v>
      </c>
      <c r="H47" s="1">
        <v>20</v>
      </c>
      <c r="I47" s="1" t="s">
        <v>38</v>
      </c>
      <c r="J47" s="1"/>
      <c r="K47" s="1" t="s">
        <v>1057</v>
      </c>
      <c r="L47" s="1" t="s">
        <v>299</v>
      </c>
      <c r="M47" s="1" t="s">
        <v>1406</v>
      </c>
      <c r="N47" s="1" t="s">
        <v>139</v>
      </c>
      <c r="O47" s="1" t="s">
        <v>201</v>
      </c>
      <c r="R47" s="1">
        <v>1</v>
      </c>
      <c r="S47" s="1" t="s">
        <v>1407</v>
      </c>
      <c r="T47" s="1">
        <v>0</v>
      </c>
      <c r="U47" s="1">
        <v>0</v>
      </c>
      <c r="V47" s="1" t="s">
        <v>1408</v>
      </c>
    </row>
    <row r="48" spans="1:25" ht="13">
      <c r="A48" s="1" t="s">
        <v>1409</v>
      </c>
      <c r="B48" s="1" t="s">
        <v>394</v>
      </c>
      <c r="C48" s="1" t="s">
        <v>361</v>
      </c>
      <c r="D48" s="1"/>
      <c r="E48" s="6">
        <v>25875</v>
      </c>
      <c r="F48" s="1" t="s">
        <v>124</v>
      </c>
      <c r="G48" s="1">
        <v>2009</v>
      </c>
      <c r="H48" s="1">
        <v>20</v>
      </c>
      <c r="I48" s="1" t="s">
        <v>38</v>
      </c>
      <c r="J48" s="1"/>
      <c r="K48" s="1" t="s">
        <v>1057</v>
      </c>
      <c r="L48" s="1" t="s">
        <v>1248</v>
      </c>
      <c r="M48" s="1" t="s">
        <v>1410</v>
      </c>
      <c r="N48" s="1" t="s">
        <v>158</v>
      </c>
      <c r="O48" s="1" t="s">
        <v>87</v>
      </c>
      <c r="R48" s="1">
        <v>0</v>
      </c>
      <c r="S48" s="1">
        <v>0</v>
      </c>
      <c r="T48" s="1">
        <v>0</v>
      </c>
      <c r="U48" s="1">
        <v>0</v>
      </c>
      <c r="Y48" s="1" t="s">
        <v>1411</v>
      </c>
    </row>
    <row r="49" spans="1:22" ht="13">
      <c r="A49" s="1" t="s">
        <v>1428</v>
      </c>
      <c r="B49" s="1" t="s">
        <v>394</v>
      </c>
      <c r="C49" s="1" t="s">
        <v>35</v>
      </c>
      <c r="D49" s="1"/>
      <c r="E49" s="6">
        <v>28777</v>
      </c>
      <c r="F49" s="1" t="s">
        <v>124</v>
      </c>
      <c r="G49" s="1">
        <v>2009</v>
      </c>
      <c r="H49" s="1">
        <v>20</v>
      </c>
      <c r="I49" s="1" t="s">
        <v>38</v>
      </c>
      <c r="J49" s="1"/>
      <c r="K49" s="1" t="s">
        <v>1057</v>
      </c>
      <c r="L49" s="1" t="s">
        <v>1429</v>
      </c>
      <c r="M49" s="1" t="s">
        <v>1430</v>
      </c>
      <c r="N49" s="1" t="s">
        <v>1431</v>
      </c>
      <c r="O49" s="1" t="s">
        <v>1432</v>
      </c>
      <c r="R49" s="1">
        <v>1</v>
      </c>
      <c r="S49" s="1">
        <v>2762</v>
      </c>
      <c r="T49" s="1">
        <v>2</v>
      </c>
      <c r="U49" s="1">
        <v>13</v>
      </c>
      <c r="V49" s="1" t="s">
        <v>1589</v>
      </c>
    </row>
    <row r="50" spans="1:22" ht="13">
      <c r="A50" s="1" t="s">
        <v>1464</v>
      </c>
      <c r="B50" s="1" t="s">
        <v>394</v>
      </c>
      <c r="C50" s="1" t="s">
        <v>35</v>
      </c>
      <c r="D50" s="1"/>
      <c r="E50" s="6">
        <v>28884</v>
      </c>
      <c r="F50" s="1" t="s">
        <v>84</v>
      </c>
      <c r="G50" s="1">
        <v>2013</v>
      </c>
      <c r="H50" s="1">
        <v>21</v>
      </c>
      <c r="I50" s="1" t="s">
        <v>38</v>
      </c>
      <c r="J50" s="1"/>
      <c r="K50" s="1" t="s">
        <v>1057</v>
      </c>
      <c r="L50" s="1"/>
      <c r="M50" s="1"/>
      <c r="N50" s="1"/>
      <c r="O50" s="1"/>
      <c r="P50" s="1"/>
      <c r="Q50" s="1"/>
      <c r="R50" s="1">
        <v>1</v>
      </c>
      <c r="S50" s="1" t="s">
        <v>1465</v>
      </c>
      <c r="T50" s="1">
        <v>6</v>
      </c>
      <c r="U50" s="1" t="s">
        <v>1466</v>
      </c>
      <c r="V50" s="1" t="s">
        <v>1590</v>
      </c>
    </row>
    <row r="51" spans="1:22" ht="13">
      <c r="A51" s="1" t="s">
        <v>1468</v>
      </c>
      <c r="B51" s="1" t="s">
        <v>394</v>
      </c>
      <c r="C51" s="1" t="s">
        <v>1568</v>
      </c>
      <c r="D51" s="1"/>
      <c r="E51" s="6">
        <v>28303</v>
      </c>
      <c r="F51" s="1" t="s">
        <v>84</v>
      </c>
      <c r="G51" s="1">
        <v>2013</v>
      </c>
      <c r="H51" s="1">
        <v>21</v>
      </c>
      <c r="I51" s="1" t="s">
        <v>38</v>
      </c>
      <c r="J51" s="1"/>
      <c r="K51" s="1" t="s">
        <v>1057</v>
      </c>
      <c r="L51" s="1"/>
      <c r="M51" s="1"/>
      <c r="N51" s="1"/>
      <c r="O51" s="1"/>
      <c r="P51" s="1"/>
      <c r="Q51" s="1"/>
      <c r="R51" s="1">
        <v>0</v>
      </c>
      <c r="S51" s="1">
        <v>0</v>
      </c>
      <c r="T51" s="1">
        <v>0</v>
      </c>
      <c r="U51" s="1">
        <v>0</v>
      </c>
      <c r="V51" s="1"/>
    </row>
    <row r="52" spans="1:22" ht="13">
      <c r="A52" s="1" t="s">
        <v>1471</v>
      </c>
      <c r="B52" s="1" t="s">
        <v>394</v>
      </c>
      <c r="C52" s="1" t="s">
        <v>35</v>
      </c>
      <c r="D52" s="1"/>
      <c r="E52" s="6">
        <v>29013</v>
      </c>
      <c r="F52" s="1" t="s">
        <v>84</v>
      </c>
      <c r="G52" s="1">
        <v>2013</v>
      </c>
      <c r="H52" s="1">
        <v>21</v>
      </c>
      <c r="I52" s="1" t="s">
        <v>38</v>
      </c>
      <c r="J52" s="1"/>
      <c r="K52" s="1" t="s">
        <v>1057</v>
      </c>
      <c r="L52" s="1"/>
      <c r="M52" s="1"/>
      <c r="N52" s="1"/>
      <c r="O52" s="1"/>
      <c r="P52" s="1"/>
      <c r="Q52" s="1"/>
      <c r="R52" s="1">
        <v>1</v>
      </c>
      <c r="S52" s="1" t="s">
        <v>1473</v>
      </c>
      <c r="T52" s="1">
        <v>2</v>
      </c>
      <c r="U52" s="1" t="s">
        <v>1474</v>
      </c>
      <c r="V52" s="1" t="s">
        <v>1475</v>
      </c>
    </row>
    <row r="53" spans="1:22" ht="13">
      <c r="A53" s="1" t="s">
        <v>1476</v>
      </c>
      <c r="B53" s="1" t="s">
        <v>394</v>
      </c>
      <c r="C53" s="1" t="s">
        <v>35</v>
      </c>
      <c r="D53" s="1"/>
      <c r="E53" s="6">
        <v>28307</v>
      </c>
      <c r="F53" s="1" t="s">
        <v>124</v>
      </c>
      <c r="G53" s="1">
        <v>2013</v>
      </c>
      <c r="H53" s="1">
        <v>21</v>
      </c>
      <c r="I53" s="1" t="s">
        <v>38</v>
      </c>
      <c r="J53" s="1"/>
      <c r="K53" s="1" t="s">
        <v>1057</v>
      </c>
      <c r="L53" s="1"/>
      <c r="M53" s="1"/>
      <c r="N53" s="1"/>
      <c r="O53" s="1"/>
      <c r="P53" s="1"/>
      <c r="Q53" s="1"/>
      <c r="R53" s="1">
        <v>1</v>
      </c>
      <c r="S53" s="1" t="s">
        <v>1478</v>
      </c>
      <c r="T53" s="1">
        <v>3</v>
      </c>
      <c r="U53" s="27" t="s">
        <v>1479</v>
      </c>
      <c r="V53" s="1" t="s">
        <v>1480</v>
      </c>
    </row>
    <row r="54" spans="1:22" ht="13">
      <c r="A54" s="1" t="s">
        <v>1486</v>
      </c>
      <c r="B54" s="1" t="s">
        <v>394</v>
      </c>
      <c r="C54" s="1" t="s">
        <v>35</v>
      </c>
      <c r="D54" s="1"/>
      <c r="E54" s="6">
        <v>32039</v>
      </c>
      <c r="F54" s="1" t="s">
        <v>84</v>
      </c>
      <c r="G54" s="1">
        <v>2017</v>
      </c>
      <c r="H54" s="1">
        <v>22</v>
      </c>
      <c r="I54" s="1" t="s">
        <v>38</v>
      </c>
      <c r="J54" s="1"/>
      <c r="K54" s="1" t="s">
        <v>1057</v>
      </c>
      <c r="L54" s="1"/>
      <c r="M54" s="1"/>
      <c r="N54" s="1"/>
      <c r="O54" s="1"/>
      <c r="P54" s="1"/>
      <c r="Q54" s="1"/>
      <c r="R54" s="1">
        <v>1</v>
      </c>
      <c r="S54" s="1"/>
      <c r="T54" s="1">
        <v>3</v>
      </c>
      <c r="U54" s="1" t="s">
        <v>1488</v>
      </c>
      <c r="V54" s="1" t="s">
        <v>1489</v>
      </c>
    </row>
    <row r="55" spans="1:22" ht="13">
      <c r="A55" s="1" t="s">
        <v>1490</v>
      </c>
      <c r="B55" s="1" t="s">
        <v>394</v>
      </c>
      <c r="C55" s="1" t="s">
        <v>35</v>
      </c>
      <c r="D55" s="1"/>
      <c r="E55" s="6"/>
      <c r="F55" s="1" t="s">
        <v>84</v>
      </c>
      <c r="G55" s="1">
        <v>2017</v>
      </c>
      <c r="H55" s="1">
        <v>22</v>
      </c>
      <c r="I55" s="1" t="s">
        <v>38</v>
      </c>
      <c r="J55" s="1"/>
      <c r="K55" s="1" t="s">
        <v>1057</v>
      </c>
      <c r="L55" s="1"/>
      <c r="M55" s="1"/>
      <c r="N55" s="1"/>
      <c r="O55" s="1"/>
      <c r="P55" s="1"/>
      <c r="Q55" s="1"/>
      <c r="R55" s="1">
        <v>0</v>
      </c>
      <c r="S55" s="1">
        <v>0</v>
      </c>
      <c r="T55" s="1">
        <v>0</v>
      </c>
      <c r="U55" s="1">
        <v>0</v>
      </c>
      <c r="V55" s="1"/>
    </row>
    <row r="56" spans="1:22" ht="13">
      <c r="A56" s="1" t="s">
        <v>1503</v>
      </c>
      <c r="B56" s="1" t="s">
        <v>394</v>
      </c>
      <c r="C56" s="1" t="s">
        <v>1569</v>
      </c>
      <c r="D56" s="1" t="s">
        <v>1504</v>
      </c>
      <c r="E56" s="6"/>
      <c r="F56" s="1" t="s">
        <v>84</v>
      </c>
      <c r="G56" s="1">
        <v>2017</v>
      </c>
      <c r="H56" s="1">
        <v>22</v>
      </c>
      <c r="I56" s="1" t="s">
        <v>38</v>
      </c>
      <c r="J56" s="1"/>
      <c r="K56" s="1" t="s">
        <v>1057</v>
      </c>
      <c r="L56" s="1"/>
      <c r="M56" s="1"/>
      <c r="N56" s="1"/>
      <c r="O56" s="1"/>
      <c r="P56" s="1"/>
      <c r="Q56" s="1"/>
      <c r="R56" s="1">
        <v>0</v>
      </c>
      <c r="S56" s="1">
        <v>0</v>
      </c>
      <c r="T56" s="1">
        <v>0</v>
      </c>
      <c r="U56" s="1">
        <v>0</v>
      </c>
      <c r="V56" s="1"/>
    </row>
    <row r="57" spans="1:22" ht="13">
      <c r="A57" s="1" t="s">
        <v>1506</v>
      </c>
      <c r="B57" s="1" t="s">
        <v>394</v>
      </c>
      <c r="C57" s="1" t="s">
        <v>35</v>
      </c>
      <c r="D57" s="1"/>
      <c r="E57" s="6"/>
      <c r="F57" s="1" t="s">
        <v>84</v>
      </c>
      <c r="G57" s="1">
        <v>2017</v>
      </c>
      <c r="H57" s="1">
        <v>22</v>
      </c>
      <c r="I57" s="1" t="s">
        <v>38</v>
      </c>
      <c r="J57" s="1"/>
      <c r="K57" s="1" t="s">
        <v>1057</v>
      </c>
      <c r="L57" s="1"/>
      <c r="M57" s="1"/>
      <c r="N57" s="1"/>
      <c r="O57" s="1"/>
      <c r="P57" s="1"/>
      <c r="Q57" s="1"/>
      <c r="R57" s="1">
        <v>0</v>
      </c>
      <c r="S57" s="1">
        <v>0</v>
      </c>
      <c r="T57" s="1">
        <v>0</v>
      </c>
      <c r="U57" s="1">
        <v>0</v>
      </c>
      <c r="V57" s="1"/>
    </row>
    <row r="58" spans="1:22" ht="13">
      <c r="A58" s="1" t="s">
        <v>1509</v>
      </c>
      <c r="B58" s="1" t="s">
        <v>394</v>
      </c>
      <c r="C58" s="1" t="s">
        <v>361</v>
      </c>
      <c r="D58" s="1"/>
      <c r="E58" s="6"/>
      <c r="F58" s="1" t="s">
        <v>124</v>
      </c>
      <c r="G58" s="1">
        <v>2017</v>
      </c>
      <c r="H58" s="1">
        <v>22</v>
      </c>
      <c r="I58" s="1" t="s">
        <v>38</v>
      </c>
      <c r="J58" s="1"/>
      <c r="K58" s="1" t="s">
        <v>1057</v>
      </c>
      <c r="L58" s="1"/>
      <c r="M58" s="1"/>
      <c r="N58" s="1"/>
      <c r="O58" s="1"/>
      <c r="P58" s="1"/>
      <c r="Q58" s="1"/>
      <c r="R58" s="1">
        <v>0</v>
      </c>
      <c r="S58" s="1">
        <v>0</v>
      </c>
      <c r="T58" s="1">
        <v>0</v>
      </c>
      <c r="U58" s="1">
        <v>0</v>
      </c>
      <c r="V58" s="1"/>
    </row>
    <row r="59" spans="1:22" ht="13">
      <c r="A59" s="1" t="s">
        <v>1511</v>
      </c>
      <c r="B59" s="1" t="s">
        <v>394</v>
      </c>
      <c r="C59" s="1" t="s">
        <v>35</v>
      </c>
      <c r="D59" s="1"/>
      <c r="E59" s="1">
        <v>1988</v>
      </c>
      <c r="F59" s="1" t="s">
        <v>84</v>
      </c>
      <c r="G59" s="1">
        <v>2021</v>
      </c>
      <c r="H59" s="1">
        <v>23</v>
      </c>
      <c r="I59" s="1" t="s">
        <v>38</v>
      </c>
      <c r="J59" s="1"/>
      <c r="K59" s="1" t="s">
        <v>1057</v>
      </c>
      <c r="L59" s="1" t="s">
        <v>643</v>
      </c>
      <c r="M59" s="1" t="s">
        <v>1514</v>
      </c>
      <c r="N59" s="1" t="s">
        <v>272</v>
      </c>
      <c r="O59" s="1" t="s">
        <v>1515</v>
      </c>
      <c r="P59" s="1" t="s">
        <v>80</v>
      </c>
      <c r="Q59" s="1" t="s">
        <v>64</v>
      </c>
      <c r="R59" s="1">
        <v>0</v>
      </c>
      <c r="S59" s="1">
        <v>0</v>
      </c>
      <c r="T59" s="1"/>
      <c r="U59" s="1">
        <v>0</v>
      </c>
      <c r="V59" s="1"/>
    </row>
    <row r="60" spans="1:22" ht="13">
      <c r="A60" s="1" t="s">
        <v>1520</v>
      </c>
      <c r="B60" s="1" t="s">
        <v>394</v>
      </c>
      <c r="C60" s="1" t="s">
        <v>35</v>
      </c>
      <c r="D60" s="1"/>
      <c r="E60" s="6">
        <v>31733</v>
      </c>
      <c r="F60" s="1" t="s">
        <v>124</v>
      </c>
      <c r="G60" s="1">
        <v>2021</v>
      </c>
      <c r="H60" s="1">
        <v>23</v>
      </c>
      <c r="I60" s="1" t="s">
        <v>38</v>
      </c>
      <c r="J60" s="1"/>
      <c r="K60" s="1" t="s">
        <v>1057</v>
      </c>
      <c r="L60" s="1" t="s">
        <v>1521</v>
      </c>
      <c r="M60" s="1" t="s">
        <v>1522</v>
      </c>
      <c r="N60" s="1" t="s">
        <v>1523</v>
      </c>
      <c r="O60" s="1" t="s">
        <v>1524</v>
      </c>
      <c r="P60" s="1"/>
      <c r="Q60" s="1"/>
      <c r="R60" s="1">
        <v>0</v>
      </c>
      <c r="S60" s="1">
        <v>0</v>
      </c>
      <c r="T60" s="1"/>
      <c r="U60" s="1">
        <v>0</v>
      </c>
      <c r="V60" s="1"/>
    </row>
    <row r="61" spans="1:22" ht="13">
      <c r="A61" s="1" t="s">
        <v>1525</v>
      </c>
      <c r="B61" s="1" t="s">
        <v>394</v>
      </c>
      <c r="C61" s="1" t="s">
        <v>35</v>
      </c>
      <c r="D61" s="1"/>
      <c r="E61" s="6">
        <v>31321</v>
      </c>
      <c r="F61" s="1" t="s">
        <v>84</v>
      </c>
      <c r="G61" s="1">
        <v>2021</v>
      </c>
      <c r="H61" s="1">
        <v>23</v>
      </c>
      <c r="I61" s="1" t="s">
        <v>38</v>
      </c>
      <c r="J61" s="1"/>
      <c r="K61" s="1" t="s">
        <v>1057</v>
      </c>
      <c r="L61" s="1" t="s">
        <v>1526</v>
      </c>
      <c r="M61" s="1" t="s">
        <v>1527</v>
      </c>
      <c r="N61" s="1" t="s">
        <v>579</v>
      </c>
      <c r="O61" s="1" t="s">
        <v>62</v>
      </c>
      <c r="P61" s="1" t="s">
        <v>1528</v>
      </c>
      <c r="Q61" s="1" t="s">
        <v>150</v>
      </c>
      <c r="R61" s="1">
        <v>0</v>
      </c>
      <c r="S61" s="1">
        <v>0</v>
      </c>
      <c r="T61" s="1"/>
      <c r="U61" s="1">
        <v>0</v>
      </c>
      <c r="V61" s="1"/>
    </row>
    <row r="62" spans="1:22" ht="13">
      <c r="A62" s="1" t="s">
        <v>1544</v>
      </c>
      <c r="B62" s="1" t="s">
        <v>394</v>
      </c>
      <c r="C62" s="1" t="s">
        <v>35</v>
      </c>
      <c r="D62" s="1"/>
      <c r="E62" s="1">
        <v>1983</v>
      </c>
      <c r="F62" s="1" t="s">
        <v>84</v>
      </c>
      <c r="G62" s="1">
        <v>2021</v>
      </c>
      <c r="H62" s="1">
        <v>23</v>
      </c>
      <c r="I62" s="1" t="s">
        <v>38</v>
      </c>
      <c r="J62" s="1"/>
      <c r="K62" s="1" t="s">
        <v>1057</v>
      </c>
      <c r="L62" s="1" t="s">
        <v>504</v>
      </c>
      <c r="M62" s="1" t="s">
        <v>474</v>
      </c>
      <c r="N62" s="1" t="s">
        <v>87</v>
      </c>
      <c r="O62" s="1" t="s">
        <v>87</v>
      </c>
      <c r="P62" s="1" t="s">
        <v>1545</v>
      </c>
      <c r="Q62" s="1" t="s">
        <v>150</v>
      </c>
      <c r="R62" s="1">
        <v>0</v>
      </c>
      <c r="S62" s="1">
        <v>0</v>
      </c>
      <c r="T62" s="1"/>
      <c r="U62" s="1">
        <v>0</v>
      </c>
      <c r="V62" s="1"/>
    </row>
    <row r="63" spans="1:22" ht="13">
      <c r="C63" s="6"/>
      <c r="D63" s="6"/>
      <c r="E63" s="6"/>
    </row>
    <row r="333" ht="15" customHeight="1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Y333"/>
  <sheetViews>
    <sheetView tabSelected="1"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sheetData>
    <row r="1" spans="1:25" ht="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</row>
    <row r="2" spans="1:25" ht="13">
      <c r="A2" s="1" t="s">
        <v>33</v>
      </c>
      <c r="B2" s="1" t="s">
        <v>34</v>
      </c>
      <c r="C2" s="1" t="s">
        <v>35</v>
      </c>
      <c r="D2" s="1"/>
      <c r="E2" s="6">
        <v>9253</v>
      </c>
      <c r="F2" s="1" t="s">
        <v>36</v>
      </c>
      <c r="G2" s="1">
        <v>1959</v>
      </c>
      <c r="H2" s="1">
        <v>1</v>
      </c>
      <c r="I2" s="1" t="s">
        <v>38</v>
      </c>
      <c r="J2" s="1"/>
      <c r="K2" s="1" t="s">
        <v>39</v>
      </c>
      <c r="L2" s="1" t="s">
        <v>40</v>
      </c>
      <c r="M2" s="1" t="s">
        <v>41</v>
      </c>
      <c r="N2" s="1" t="s">
        <v>42</v>
      </c>
      <c r="P2" s="1" t="s">
        <v>43</v>
      </c>
      <c r="Q2" s="1" t="s">
        <v>44</v>
      </c>
      <c r="R2" s="1">
        <v>1</v>
      </c>
      <c r="S2" s="1">
        <v>4</v>
      </c>
      <c r="T2" s="1">
        <v>0</v>
      </c>
      <c r="U2" s="1">
        <v>0</v>
      </c>
      <c r="V2" s="1" t="s">
        <v>45</v>
      </c>
      <c r="W2" s="6">
        <v>41557</v>
      </c>
    </row>
    <row r="3" spans="1:25" ht="13">
      <c r="A3" s="1" t="s">
        <v>46</v>
      </c>
      <c r="B3" s="1" t="s">
        <v>34</v>
      </c>
      <c r="C3" s="1" t="s">
        <v>35</v>
      </c>
      <c r="D3" s="1"/>
      <c r="E3" s="6">
        <v>9927</v>
      </c>
      <c r="F3" s="1" t="s">
        <v>36</v>
      </c>
      <c r="G3" s="1">
        <v>1959</v>
      </c>
      <c r="H3" s="1">
        <v>1</v>
      </c>
      <c r="I3" s="1" t="s">
        <v>38</v>
      </c>
      <c r="J3" s="1"/>
      <c r="K3" s="1" t="s">
        <v>39</v>
      </c>
      <c r="L3" s="1" t="s">
        <v>47</v>
      </c>
      <c r="M3" s="1" t="s">
        <v>48</v>
      </c>
      <c r="N3" s="1" t="s">
        <v>42</v>
      </c>
      <c r="P3" s="1" t="s">
        <v>49</v>
      </c>
      <c r="Q3" s="1" t="s">
        <v>50</v>
      </c>
      <c r="R3" s="1">
        <v>2</v>
      </c>
      <c r="S3" s="1">
        <v>225</v>
      </c>
      <c r="T3" s="1">
        <v>0</v>
      </c>
      <c r="U3" s="1">
        <v>0</v>
      </c>
      <c r="V3" s="1" t="s">
        <v>51</v>
      </c>
      <c r="W3" s="6">
        <v>38264</v>
      </c>
    </row>
    <row r="4" spans="1:25" ht="13">
      <c r="A4" s="1" t="s">
        <v>52</v>
      </c>
      <c r="B4" s="1" t="s">
        <v>34</v>
      </c>
      <c r="C4" s="1" t="s">
        <v>35</v>
      </c>
      <c r="D4" s="1"/>
      <c r="E4" s="6">
        <v>7870</v>
      </c>
      <c r="F4" s="1" t="s">
        <v>36</v>
      </c>
      <c r="G4" s="1">
        <v>1959</v>
      </c>
      <c r="H4" s="1">
        <v>1</v>
      </c>
      <c r="I4" s="1" t="s">
        <v>38</v>
      </c>
      <c r="J4" s="1"/>
      <c r="K4" s="1" t="s">
        <v>39</v>
      </c>
      <c r="L4" s="1" t="s">
        <v>53</v>
      </c>
      <c r="M4" s="1" t="s">
        <v>54</v>
      </c>
      <c r="N4" s="1" t="s">
        <v>55</v>
      </c>
      <c r="P4" s="1" t="s">
        <v>49</v>
      </c>
      <c r="Q4" s="1" t="s">
        <v>56</v>
      </c>
      <c r="R4" s="1">
        <v>2</v>
      </c>
      <c r="S4" s="1">
        <v>218</v>
      </c>
      <c r="T4" s="1">
        <v>0</v>
      </c>
      <c r="U4" s="1">
        <v>0</v>
      </c>
      <c r="V4" s="1" t="s">
        <v>57</v>
      </c>
      <c r="W4" s="11">
        <v>42712</v>
      </c>
    </row>
    <row r="5" spans="1:25" ht="13">
      <c r="A5" s="1" t="s">
        <v>58</v>
      </c>
      <c r="B5" s="1" t="s">
        <v>34</v>
      </c>
      <c r="C5" s="1" t="s">
        <v>35</v>
      </c>
      <c r="D5" s="1"/>
      <c r="E5" s="6">
        <v>9590</v>
      </c>
      <c r="F5" s="1" t="s">
        <v>36</v>
      </c>
      <c r="G5" s="1">
        <v>1959</v>
      </c>
      <c r="H5" s="1">
        <v>1</v>
      </c>
      <c r="I5" s="1" t="s">
        <v>38</v>
      </c>
      <c r="J5" s="1"/>
      <c r="K5" s="1" t="s">
        <v>39</v>
      </c>
      <c r="L5" s="1" t="s">
        <v>60</v>
      </c>
      <c r="M5" s="1" t="s">
        <v>61</v>
      </c>
      <c r="N5" s="1" t="s">
        <v>62</v>
      </c>
      <c r="P5" s="1" t="s">
        <v>63</v>
      </c>
      <c r="Q5" s="1" t="s">
        <v>64</v>
      </c>
      <c r="R5" s="1">
        <v>2</v>
      </c>
      <c r="S5" s="1">
        <v>5</v>
      </c>
      <c r="T5" s="1">
        <v>0</v>
      </c>
      <c r="U5" s="1">
        <v>0</v>
      </c>
      <c r="V5" s="1" t="s">
        <v>65</v>
      </c>
      <c r="W5" s="6">
        <v>24499</v>
      </c>
      <c r="X5" s="1" t="s">
        <v>66</v>
      </c>
    </row>
    <row r="6" spans="1:25" ht="13">
      <c r="A6" s="1" t="s">
        <v>67</v>
      </c>
      <c r="B6" s="1" t="s">
        <v>34</v>
      </c>
      <c r="C6" s="1" t="s">
        <v>35</v>
      </c>
      <c r="D6" s="1"/>
      <c r="E6" s="6">
        <v>8472</v>
      </c>
      <c r="F6" s="1" t="s">
        <v>36</v>
      </c>
      <c r="G6" s="1">
        <v>1959</v>
      </c>
      <c r="H6" s="1">
        <v>1</v>
      </c>
      <c r="I6" s="1" t="s">
        <v>38</v>
      </c>
      <c r="J6" s="1"/>
      <c r="K6" s="1" t="s">
        <v>39</v>
      </c>
      <c r="L6" s="1" t="s">
        <v>68</v>
      </c>
      <c r="M6" s="1" t="s">
        <v>69</v>
      </c>
      <c r="N6" s="1" t="s">
        <v>70</v>
      </c>
      <c r="P6" s="1" t="s">
        <v>71</v>
      </c>
      <c r="Q6" s="1" t="s">
        <v>44</v>
      </c>
      <c r="R6" s="1">
        <v>3</v>
      </c>
      <c r="S6" s="1">
        <v>295</v>
      </c>
      <c r="T6" s="1">
        <v>0</v>
      </c>
      <c r="U6" s="1">
        <v>0</v>
      </c>
      <c r="V6" s="1" t="s">
        <v>72</v>
      </c>
      <c r="W6" s="6">
        <v>39204</v>
      </c>
    </row>
    <row r="7" spans="1:25" ht="13">
      <c r="A7" s="1" t="s">
        <v>73</v>
      </c>
      <c r="B7" s="1" t="s">
        <v>34</v>
      </c>
      <c r="C7" s="1" t="s">
        <v>35</v>
      </c>
      <c r="D7" s="1"/>
      <c r="E7" s="6">
        <v>8723</v>
      </c>
      <c r="F7" s="1" t="s">
        <v>36</v>
      </c>
      <c r="G7" s="1">
        <v>1959</v>
      </c>
      <c r="H7" s="1">
        <v>1</v>
      </c>
      <c r="I7" s="1" t="s">
        <v>38</v>
      </c>
      <c r="J7" s="1"/>
      <c r="K7" s="1" t="s">
        <v>39</v>
      </c>
      <c r="L7" s="1" t="s">
        <v>74</v>
      </c>
      <c r="M7" s="1" t="s">
        <v>69</v>
      </c>
      <c r="N7" s="1" t="s">
        <v>70</v>
      </c>
      <c r="P7" s="1" t="s">
        <v>75</v>
      </c>
      <c r="Q7" s="1" t="s">
        <v>44</v>
      </c>
      <c r="R7" s="1">
        <v>2</v>
      </c>
      <c r="S7" s="1">
        <v>216</v>
      </c>
      <c r="T7" s="1">
        <v>2</v>
      </c>
      <c r="U7" s="1">
        <v>9</v>
      </c>
      <c r="V7" s="1" t="s">
        <v>76</v>
      </c>
      <c r="W7" s="6">
        <v>35997</v>
      </c>
    </row>
    <row r="8" spans="1:25" ht="13">
      <c r="A8" s="1" t="s">
        <v>77</v>
      </c>
      <c r="B8" s="1" t="s">
        <v>34</v>
      </c>
      <c r="C8" s="1" t="s">
        <v>35</v>
      </c>
      <c r="D8" s="1"/>
      <c r="E8" s="6">
        <v>8827</v>
      </c>
      <c r="F8" s="1" t="s">
        <v>36</v>
      </c>
      <c r="G8" s="1">
        <v>1959</v>
      </c>
      <c r="H8" s="1">
        <v>1</v>
      </c>
      <c r="I8" s="1" t="s">
        <v>38</v>
      </c>
      <c r="J8" s="1"/>
      <c r="K8" s="1" t="s">
        <v>39</v>
      </c>
      <c r="L8" s="1" t="s">
        <v>78</v>
      </c>
      <c r="M8" s="1" t="s">
        <v>79</v>
      </c>
      <c r="N8" s="1" t="s">
        <v>42</v>
      </c>
      <c r="P8" s="1" t="s">
        <v>80</v>
      </c>
      <c r="Q8" s="1" t="s">
        <v>81</v>
      </c>
      <c r="R8" s="1">
        <v>1</v>
      </c>
      <c r="S8" s="1">
        <v>217</v>
      </c>
      <c r="T8" s="1">
        <v>0</v>
      </c>
      <c r="U8" s="1">
        <v>0</v>
      </c>
      <c r="V8" s="1" t="s">
        <v>82</v>
      </c>
      <c r="W8" s="6">
        <v>34133</v>
      </c>
    </row>
    <row r="9" spans="1:25" ht="13">
      <c r="A9" s="1" t="s">
        <v>83</v>
      </c>
      <c r="B9" s="1" t="s">
        <v>34</v>
      </c>
      <c r="C9" s="1" t="s">
        <v>35</v>
      </c>
      <c r="D9" s="1"/>
      <c r="E9" s="6">
        <v>11175</v>
      </c>
      <c r="F9" s="1" t="s">
        <v>84</v>
      </c>
      <c r="G9" s="1">
        <v>1962</v>
      </c>
      <c r="H9" s="1">
        <v>2</v>
      </c>
      <c r="I9" s="1" t="s">
        <v>38</v>
      </c>
      <c r="J9" s="1"/>
      <c r="K9" s="1" t="s">
        <v>39</v>
      </c>
      <c r="L9" s="1" t="s">
        <v>85</v>
      </c>
      <c r="M9" s="1" t="s">
        <v>86</v>
      </c>
      <c r="N9" s="1" t="s">
        <v>42</v>
      </c>
      <c r="O9" s="1" t="s">
        <v>87</v>
      </c>
      <c r="R9" s="1">
        <v>2</v>
      </c>
      <c r="S9" s="1">
        <v>205</v>
      </c>
      <c r="T9" s="1">
        <v>1</v>
      </c>
      <c r="U9" s="1">
        <v>2</v>
      </c>
      <c r="V9" s="1" t="s">
        <v>88</v>
      </c>
      <c r="W9" s="6">
        <v>41146</v>
      </c>
    </row>
    <row r="10" spans="1:25" ht="13">
      <c r="A10" s="1" t="s">
        <v>89</v>
      </c>
      <c r="B10" s="1" t="s">
        <v>34</v>
      </c>
      <c r="C10" s="1" t="s">
        <v>35</v>
      </c>
      <c r="D10" s="1"/>
      <c r="E10" s="6">
        <v>10301</v>
      </c>
      <c r="F10" s="1" t="s">
        <v>84</v>
      </c>
      <c r="G10" s="1">
        <v>1962</v>
      </c>
      <c r="H10" s="1">
        <v>2</v>
      </c>
      <c r="I10" s="1" t="s">
        <v>38</v>
      </c>
      <c r="J10" s="1"/>
      <c r="K10" s="1" t="s">
        <v>90</v>
      </c>
      <c r="L10" s="1" t="s">
        <v>91</v>
      </c>
      <c r="M10" s="1" t="s">
        <v>92</v>
      </c>
      <c r="O10" s="1" t="s">
        <v>42</v>
      </c>
      <c r="P10" s="1" t="s">
        <v>49</v>
      </c>
      <c r="Q10" s="1" t="s">
        <v>50</v>
      </c>
      <c r="R10" s="1">
        <v>2</v>
      </c>
      <c r="S10" s="1">
        <v>477</v>
      </c>
      <c r="T10" s="1">
        <v>0</v>
      </c>
      <c r="U10" s="1">
        <v>0</v>
      </c>
      <c r="V10" s="1" t="s">
        <v>93</v>
      </c>
    </row>
    <row r="11" spans="1:25" ht="13">
      <c r="A11" s="1" t="s">
        <v>94</v>
      </c>
      <c r="B11" s="1" t="s">
        <v>34</v>
      </c>
      <c r="C11" s="1" t="s">
        <v>35</v>
      </c>
      <c r="D11" s="1"/>
      <c r="E11" s="6">
        <v>11080</v>
      </c>
      <c r="F11" s="1" t="s">
        <v>36</v>
      </c>
      <c r="G11" s="1">
        <v>1962</v>
      </c>
      <c r="H11" s="1">
        <v>2</v>
      </c>
      <c r="I11" s="1" t="s">
        <v>38</v>
      </c>
      <c r="J11" s="1"/>
      <c r="K11" s="1" t="s">
        <v>39</v>
      </c>
      <c r="L11" s="1" t="s">
        <v>95</v>
      </c>
      <c r="M11" s="1" t="s">
        <v>96</v>
      </c>
      <c r="N11" s="1" t="s">
        <v>42</v>
      </c>
      <c r="P11" s="1" t="s">
        <v>71</v>
      </c>
      <c r="Q11" s="1" t="s">
        <v>44</v>
      </c>
      <c r="R11" s="1">
        <v>4</v>
      </c>
      <c r="S11" s="1">
        <v>1179</v>
      </c>
      <c r="T11" s="1">
        <v>4</v>
      </c>
      <c r="U11" s="1">
        <v>12</v>
      </c>
      <c r="V11" s="1" t="s">
        <v>97</v>
      </c>
      <c r="W11" s="6">
        <v>36349</v>
      </c>
    </row>
    <row r="12" spans="1:25" ht="13">
      <c r="A12" s="1" t="s">
        <v>98</v>
      </c>
      <c r="B12" s="1" t="s">
        <v>34</v>
      </c>
      <c r="C12" s="1" t="s">
        <v>35</v>
      </c>
      <c r="D12" s="1"/>
      <c r="E12" s="6">
        <v>10312</v>
      </c>
      <c r="F12" s="1" t="s">
        <v>36</v>
      </c>
      <c r="G12" s="1">
        <v>1962</v>
      </c>
      <c r="H12" s="1">
        <v>2</v>
      </c>
      <c r="I12" s="1" t="s">
        <v>38</v>
      </c>
      <c r="J12" s="1"/>
      <c r="K12" s="1" t="s">
        <v>90</v>
      </c>
      <c r="L12" s="1" t="s">
        <v>99</v>
      </c>
      <c r="M12" s="1" t="s">
        <v>69</v>
      </c>
      <c r="P12" s="1" t="s">
        <v>71</v>
      </c>
      <c r="Q12" s="1" t="s">
        <v>44</v>
      </c>
      <c r="R12" s="1">
        <v>4</v>
      </c>
      <c r="S12" s="1">
        <v>715</v>
      </c>
      <c r="T12" s="1">
        <v>0</v>
      </c>
      <c r="U12" s="1">
        <v>0</v>
      </c>
      <c r="V12" s="1" t="s">
        <v>100</v>
      </c>
    </row>
    <row r="13" spans="1:25" ht="13">
      <c r="A13" s="1" t="s">
        <v>101</v>
      </c>
      <c r="B13" s="1" t="s">
        <v>34</v>
      </c>
      <c r="C13" s="1" t="s">
        <v>35</v>
      </c>
      <c r="D13" s="1"/>
      <c r="E13" s="6">
        <v>10754</v>
      </c>
      <c r="F13" s="1" t="s">
        <v>36</v>
      </c>
      <c r="G13" s="1">
        <v>1962</v>
      </c>
      <c r="H13" s="1">
        <v>2</v>
      </c>
      <c r="I13" s="1" t="s">
        <v>38</v>
      </c>
      <c r="J13" s="1"/>
      <c r="K13" s="1" t="s">
        <v>90</v>
      </c>
      <c r="L13" s="1" t="s">
        <v>102</v>
      </c>
      <c r="M13" s="1" t="s">
        <v>103</v>
      </c>
      <c r="N13" s="1" t="s">
        <v>104</v>
      </c>
      <c r="P13" s="1" t="s">
        <v>105</v>
      </c>
      <c r="Q13" s="1" t="s">
        <v>50</v>
      </c>
      <c r="R13" s="1">
        <v>2</v>
      </c>
      <c r="S13" s="1">
        <v>338</v>
      </c>
      <c r="T13" s="1">
        <v>0</v>
      </c>
      <c r="U13" s="1">
        <v>0</v>
      </c>
      <c r="V13" s="1" t="s">
        <v>106</v>
      </c>
    </row>
    <row r="14" spans="1:25" ht="13">
      <c r="A14" s="1" t="s">
        <v>107</v>
      </c>
      <c r="B14" s="1" t="s">
        <v>34</v>
      </c>
      <c r="C14" s="1" t="s">
        <v>35</v>
      </c>
      <c r="D14" s="1"/>
      <c r="E14" s="6">
        <v>10066</v>
      </c>
      <c r="F14" s="1" t="s">
        <v>84</v>
      </c>
      <c r="G14" s="1">
        <v>1962</v>
      </c>
      <c r="H14" s="1">
        <v>2</v>
      </c>
      <c r="I14" s="1" t="s">
        <v>38</v>
      </c>
      <c r="J14" s="1"/>
      <c r="K14" s="1" t="s">
        <v>39</v>
      </c>
      <c r="L14" s="1" t="s">
        <v>108</v>
      </c>
      <c r="M14" s="1" t="s">
        <v>109</v>
      </c>
      <c r="O14" s="1" t="s">
        <v>55</v>
      </c>
      <c r="R14" s="1">
        <v>0</v>
      </c>
      <c r="S14" s="1">
        <v>0</v>
      </c>
      <c r="T14" s="1">
        <v>0</v>
      </c>
      <c r="U14" s="1">
        <v>0</v>
      </c>
      <c r="W14" s="6">
        <v>24166</v>
      </c>
      <c r="Y14" s="1" t="s">
        <v>110</v>
      </c>
    </row>
    <row r="15" spans="1:25" ht="13">
      <c r="A15" s="1" t="s">
        <v>111</v>
      </c>
      <c r="B15" s="1" t="s">
        <v>34</v>
      </c>
      <c r="C15" s="1" t="s">
        <v>35</v>
      </c>
      <c r="D15" s="1"/>
      <c r="E15" s="6">
        <v>11218</v>
      </c>
      <c r="F15" s="1" t="s">
        <v>36</v>
      </c>
      <c r="G15" s="1">
        <v>1962</v>
      </c>
      <c r="H15" s="1">
        <v>2</v>
      </c>
      <c r="I15" s="1" t="s">
        <v>38</v>
      </c>
      <c r="J15" s="1"/>
      <c r="K15" s="1" t="s">
        <v>90</v>
      </c>
      <c r="L15" s="1" t="s">
        <v>112</v>
      </c>
      <c r="M15" s="1" t="s">
        <v>69</v>
      </c>
      <c r="P15" s="1" t="s">
        <v>113</v>
      </c>
      <c r="Q15" s="1" t="s">
        <v>50</v>
      </c>
      <c r="R15" s="1">
        <v>4</v>
      </c>
      <c r="S15" s="1">
        <v>507</v>
      </c>
      <c r="T15" s="1">
        <v>0</v>
      </c>
      <c r="U15" s="1">
        <v>0</v>
      </c>
      <c r="V15" s="1" t="s">
        <v>114</v>
      </c>
    </row>
    <row r="16" spans="1:25" ht="13">
      <c r="A16" s="1" t="s">
        <v>115</v>
      </c>
      <c r="B16" s="1" t="s">
        <v>34</v>
      </c>
      <c r="C16" s="1" t="s">
        <v>35</v>
      </c>
      <c r="D16" s="1"/>
      <c r="E16" s="6">
        <v>11276</v>
      </c>
      <c r="F16" s="1" t="s">
        <v>84</v>
      </c>
      <c r="G16" s="1">
        <v>1962</v>
      </c>
      <c r="H16" s="1">
        <v>2</v>
      </c>
      <c r="I16" s="1" t="s">
        <v>38</v>
      </c>
      <c r="J16" s="1"/>
      <c r="K16" s="1" t="s">
        <v>39</v>
      </c>
      <c r="L16" s="1" t="s">
        <v>116</v>
      </c>
      <c r="M16" s="1" t="s">
        <v>117</v>
      </c>
      <c r="O16" s="1" t="s">
        <v>42</v>
      </c>
      <c r="P16" s="1" t="s">
        <v>63</v>
      </c>
      <c r="Q16" s="1" t="s">
        <v>64</v>
      </c>
      <c r="R16" s="1">
        <v>2</v>
      </c>
      <c r="S16" s="1">
        <v>97</v>
      </c>
      <c r="T16" s="1">
        <v>1</v>
      </c>
      <c r="U16" s="1">
        <v>0.5</v>
      </c>
      <c r="V16" s="1" t="s">
        <v>118</v>
      </c>
      <c r="W16" s="6">
        <v>24499</v>
      </c>
      <c r="X16" s="1" t="s">
        <v>66</v>
      </c>
    </row>
    <row r="17" spans="1:25" ht="13">
      <c r="A17" s="1" t="s">
        <v>119</v>
      </c>
      <c r="B17" s="1" t="s">
        <v>34</v>
      </c>
      <c r="C17" s="1" t="s">
        <v>35</v>
      </c>
      <c r="D17" s="1"/>
      <c r="E17" s="6">
        <v>11225</v>
      </c>
      <c r="F17" s="1" t="s">
        <v>36</v>
      </c>
      <c r="G17" s="1">
        <v>1962</v>
      </c>
      <c r="H17" s="1">
        <v>2</v>
      </c>
      <c r="I17" s="1" t="s">
        <v>38</v>
      </c>
      <c r="J17" s="1"/>
      <c r="K17" s="1" t="s">
        <v>39</v>
      </c>
      <c r="L17" s="1" t="s">
        <v>120</v>
      </c>
      <c r="M17" s="1" t="s">
        <v>121</v>
      </c>
      <c r="N17" s="1" t="s">
        <v>42</v>
      </c>
      <c r="P17" s="1" t="s">
        <v>71</v>
      </c>
      <c r="Q17" s="1" t="s">
        <v>44</v>
      </c>
      <c r="R17" s="1">
        <v>6</v>
      </c>
      <c r="S17" s="1">
        <v>835</v>
      </c>
      <c r="T17" s="1">
        <v>3</v>
      </c>
      <c r="U17" s="1">
        <v>20</v>
      </c>
      <c r="V17" s="1" t="s">
        <v>122</v>
      </c>
      <c r="W17" s="6">
        <v>43105</v>
      </c>
    </row>
    <row r="18" spans="1:25" ht="13">
      <c r="A18" s="1" t="s">
        <v>123</v>
      </c>
      <c r="B18" s="1" t="s">
        <v>34</v>
      </c>
      <c r="C18" s="1" t="s">
        <v>35</v>
      </c>
      <c r="D18" s="1"/>
      <c r="E18" s="6">
        <v>10978</v>
      </c>
      <c r="F18" s="1" t="s">
        <v>124</v>
      </c>
      <c r="G18" s="1">
        <v>1963</v>
      </c>
      <c r="H18" s="1">
        <v>3</v>
      </c>
      <c r="I18" s="1" t="s">
        <v>38</v>
      </c>
      <c r="J18" s="1"/>
      <c r="K18" s="1" t="s">
        <v>90</v>
      </c>
      <c r="L18" s="1" t="s">
        <v>125</v>
      </c>
      <c r="M18" s="1" t="s">
        <v>126</v>
      </c>
      <c r="N18" s="1" t="s">
        <v>62</v>
      </c>
      <c r="O18" s="1" t="s">
        <v>127</v>
      </c>
      <c r="P18" s="1" t="s">
        <v>49</v>
      </c>
      <c r="Q18" s="1" t="s">
        <v>50</v>
      </c>
      <c r="R18" s="1">
        <v>2</v>
      </c>
      <c r="S18" s="1">
        <v>289</v>
      </c>
      <c r="T18" s="1">
        <v>2</v>
      </c>
      <c r="U18" s="1">
        <v>8</v>
      </c>
      <c r="V18" s="1" t="s">
        <v>128</v>
      </c>
    </row>
    <row r="19" spans="1:25" ht="13">
      <c r="A19" s="1" t="s">
        <v>129</v>
      </c>
      <c r="B19" s="1" t="s">
        <v>34</v>
      </c>
      <c r="C19" s="1" t="s">
        <v>35</v>
      </c>
      <c r="D19" s="1"/>
      <c r="E19" s="6">
        <v>12344</v>
      </c>
      <c r="F19" s="1" t="s">
        <v>36</v>
      </c>
      <c r="G19" s="1">
        <v>1963</v>
      </c>
      <c r="H19" s="1">
        <v>3</v>
      </c>
      <c r="I19" s="1" t="s">
        <v>38</v>
      </c>
      <c r="J19" s="1"/>
      <c r="K19" s="1" t="s">
        <v>90</v>
      </c>
      <c r="L19" s="1" t="s">
        <v>130</v>
      </c>
      <c r="M19" s="1" t="s">
        <v>131</v>
      </c>
      <c r="N19" s="1" t="s">
        <v>132</v>
      </c>
      <c r="O19" s="1" t="s">
        <v>132</v>
      </c>
      <c r="P19" s="1" t="s">
        <v>133</v>
      </c>
      <c r="Q19" s="1" t="s">
        <v>134</v>
      </c>
      <c r="R19" s="1">
        <v>1</v>
      </c>
      <c r="S19" s="1">
        <v>147</v>
      </c>
      <c r="T19" s="1">
        <v>0</v>
      </c>
      <c r="U19" s="1">
        <v>0</v>
      </c>
      <c r="V19" s="1" t="s">
        <v>135</v>
      </c>
    </row>
    <row r="20" spans="1:25" ht="13">
      <c r="A20" s="1" t="s">
        <v>136</v>
      </c>
      <c r="B20" s="1" t="s">
        <v>34</v>
      </c>
      <c r="C20" s="1" t="s">
        <v>35</v>
      </c>
      <c r="D20" s="1"/>
      <c r="E20" s="6">
        <v>11687</v>
      </c>
      <c r="F20" s="1" t="s">
        <v>84</v>
      </c>
      <c r="G20" s="1">
        <v>1963</v>
      </c>
      <c r="H20" s="1">
        <v>3</v>
      </c>
      <c r="I20" s="1" t="s">
        <v>38</v>
      </c>
      <c r="J20" s="1"/>
      <c r="K20" s="1" t="s">
        <v>39</v>
      </c>
      <c r="L20" s="1" t="s">
        <v>137</v>
      </c>
      <c r="M20" s="1" t="s">
        <v>138</v>
      </c>
      <c r="N20" s="1" t="s">
        <v>139</v>
      </c>
      <c r="P20" s="1" t="s">
        <v>71</v>
      </c>
      <c r="Q20" s="1" t="s">
        <v>64</v>
      </c>
      <c r="R20" s="1">
        <v>0</v>
      </c>
      <c r="S20" s="1">
        <v>0</v>
      </c>
      <c r="T20" s="1">
        <v>0</v>
      </c>
      <c r="U20" s="1">
        <v>0</v>
      </c>
      <c r="W20" s="6">
        <v>24166</v>
      </c>
      <c r="Y20" s="1" t="s">
        <v>110</v>
      </c>
    </row>
    <row r="21" spans="1:25" ht="13">
      <c r="A21" s="1" t="s">
        <v>140</v>
      </c>
      <c r="B21" s="1" t="s">
        <v>34</v>
      </c>
      <c r="C21" s="1" t="s">
        <v>35</v>
      </c>
      <c r="D21" s="1"/>
      <c r="E21" s="6">
        <v>11763</v>
      </c>
      <c r="F21" s="1" t="s">
        <v>36</v>
      </c>
      <c r="G21" s="1">
        <v>1963</v>
      </c>
      <c r="H21" s="1">
        <v>3</v>
      </c>
      <c r="I21" s="1" t="s">
        <v>38</v>
      </c>
      <c r="J21" s="1"/>
      <c r="K21" s="1" t="s">
        <v>90</v>
      </c>
      <c r="L21" s="1" t="s">
        <v>141</v>
      </c>
      <c r="M21" s="1" t="s">
        <v>142</v>
      </c>
      <c r="N21" s="1" t="s">
        <v>42</v>
      </c>
      <c r="P21" s="1" t="s">
        <v>71</v>
      </c>
      <c r="Q21" s="1" t="s">
        <v>44</v>
      </c>
      <c r="R21" s="1">
        <v>2</v>
      </c>
      <c r="S21" s="1">
        <v>1671</v>
      </c>
      <c r="T21" s="1">
        <v>3</v>
      </c>
      <c r="U21" s="1">
        <v>10</v>
      </c>
      <c r="V21" s="1" t="s">
        <v>143</v>
      </c>
    </row>
    <row r="22" spans="1:25" ht="13">
      <c r="A22" s="1" t="s">
        <v>144</v>
      </c>
      <c r="B22" s="1" t="s">
        <v>34</v>
      </c>
      <c r="C22" s="1" t="s">
        <v>35</v>
      </c>
      <c r="D22" s="1"/>
      <c r="E22" s="6">
        <v>12492</v>
      </c>
      <c r="F22" s="1" t="s">
        <v>84</v>
      </c>
      <c r="G22" s="1">
        <v>1963</v>
      </c>
      <c r="H22" s="1">
        <v>3</v>
      </c>
      <c r="I22" s="1" t="s">
        <v>38</v>
      </c>
      <c r="J22" s="1"/>
      <c r="K22" s="1" t="s">
        <v>90</v>
      </c>
      <c r="L22" s="1" t="s">
        <v>102</v>
      </c>
      <c r="M22" s="1" t="s">
        <v>145</v>
      </c>
      <c r="N22" s="1" t="s">
        <v>139</v>
      </c>
      <c r="O22" s="1" t="s">
        <v>42</v>
      </c>
      <c r="P22" s="1" t="s">
        <v>71</v>
      </c>
      <c r="Q22" s="1" t="s">
        <v>44</v>
      </c>
      <c r="R22" s="1">
        <v>3</v>
      </c>
      <c r="S22" s="1">
        <v>566</v>
      </c>
      <c r="T22" s="1">
        <v>4</v>
      </c>
      <c r="U22" s="1">
        <v>24</v>
      </c>
      <c r="V22" s="1" t="s">
        <v>146</v>
      </c>
    </row>
    <row r="23" spans="1:25" ht="13">
      <c r="A23" s="1" t="s">
        <v>147</v>
      </c>
      <c r="B23" s="1" t="s">
        <v>34</v>
      </c>
      <c r="C23" s="1" t="s">
        <v>35</v>
      </c>
      <c r="D23" s="1"/>
      <c r="E23" s="6">
        <v>12830</v>
      </c>
      <c r="F23" s="1" t="s">
        <v>36</v>
      </c>
      <c r="G23" s="1">
        <v>1963</v>
      </c>
      <c r="H23" s="1">
        <v>3</v>
      </c>
      <c r="I23" s="1" t="s">
        <v>38</v>
      </c>
      <c r="J23" s="1"/>
      <c r="K23" s="1" t="s">
        <v>39</v>
      </c>
      <c r="L23" s="1" t="s">
        <v>148</v>
      </c>
      <c r="M23" s="1" t="s">
        <v>61</v>
      </c>
      <c r="N23" s="1" t="s">
        <v>42</v>
      </c>
      <c r="P23" s="1" t="s">
        <v>149</v>
      </c>
      <c r="Q23" s="1" t="s">
        <v>150</v>
      </c>
      <c r="R23" s="1">
        <v>1</v>
      </c>
      <c r="S23" s="1">
        <v>0</v>
      </c>
      <c r="T23" s="1">
        <v>0</v>
      </c>
      <c r="U23" s="1">
        <v>0</v>
      </c>
      <c r="V23" s="1" t="s">
        <v>66</v>
      </c>
      <c r="W23" s="6">
        <v>24499</v>
      </c>
      <c r="X23" s="1" t="s">
        <v>66</v>
      </c>
    </row>
    <row r="24" spans="1:25" ht="13">
      <c r="A24" s="1" t="s">
        <v>151</v>
      </c>
      <c r="B24" s="1" t="s">
        <v>34</v>
      </c>
      <c r="C24" s="1" t="s">
        <v>35</v>
      </c>
      <c r="D24" s="1"/>
      <c r="E24" s="6">
        <v>11262</v>
      </c>
      <c r="F24" s="1" t="s">
        <v>36</v>
      </c>
      <c r="G24" s="1">
        <v>1963</v>
      </c>
      <c r="H24" s="1">
        <v>3</v>
      </c>
      <c r="I24" s="1" t="s">
        <v>38</v>
      </c>
      <c r="J24" s="1"/>
      <c r="K24" s="1" t="s">
        <v>90</v>
      </c>
      <c r="L24" s="1" t="s">
        <v>152</v>
      </c>
      <c r="M24" s="1" t="s">
        <v>153</v>
      </c>
      <c r="Q24" s="1" t="s">
        <v>81</v>
      </c>
      <c r="R24" s="1">
        <v>2</v>
      </c>
      <c r="S24" s="1">
        <v>266</v>
      </c>
      <c r="T24" s="1">
        <v>1</v>
      </c>
      <c r="U24" s="1">
        <v>1</v>
      </c>
      <c r="V24" s="1" t="s">
        <v>154</v>
      </c>
    </row>
    <row r="25" spans="1:25" ht="13">
      <c r="A25" s="1" t="s">
        <v>155</v>
      </c>
      <c r="B25" s="1" t="s">
        <v>34</v>
      </c>
      <c r="C25" s="1" t="s">
        <v>35</v>
      </c>
      <c r="D25" s="1"/>
      <c r="E25" s="6">
        <v>11764</v>
      </c>
      <c r="F25" s="1" t="s">
        <v>84</v>
      </c>
      <c r="G25" s="1">
        <v>1963</v>
      </c>
      <c r="H25" s="1">
        <v>3</v>
      </c>
      <c r="I25" s="1" t="s">
        <v>38</v>
      </c>
      <c r="J25" s="1"/>
      <c r="K25" s="1" t="s">
        <v>90</v>
      </c>
      <c r="L25" s="1" t="s">
        <v>156</v>
      </c>
      <c r="M25" s="1" t="s">
        <v>157</v>
      </c>
      <c r="N25" s="1" t="s">
        <v>158</v>
      </c>
      <c r="O25" s="1" t="s">
        <v>158</v>
      </c>
      <c r="P25" s="1" t="s">
        <v>49</v>
      </c>
      <c r="Q25" s="1" t="s">
        <v>159</v>
      </c>
      <c r="R25" s="1">
        <v>1</v>
      </c>
      <c r="S25" s="1">
        <v>260</v>
      </c>
      <c r="T25" s="1">
        <v>0</v>
      </c>
      <c r="U25" s="1">
        <v>0</v>
      </c>
      <c r="V25" s="1" t="s">
        <v>160</v>
      </c>
    </row>
    <row r="26" spans="1:25" ht="13">
      <c r="A26" s="1" t="s">
        <v>161</v>
      </c>
      <c r="B26" s="1" t="s">
        <v>34</v>
      </c>
      <c r="C26" s="1" t="s">
        <v>35</v>
      </c>
      <c r="D26" s="1"/>
      <c r="E26" s="6">
        <v>11101</v>
      </c>
      <c r="F26" s="1" t="s">
        <v>84</v>
      </c>
      <c r="G26" s="1">
        <v>1963</v>
      </c>
      <c r="H26" s="1">
        <v>3</v>
      </c>
      <c r="I26" s="1" t="s">
        <v>38</v>
      </c>
      <c r="J26" s="1"/>
      <c r="K26" s="1" t="s">
        <v>39</v>
      </c>
      <c r="L26" s="1" t="s">
        <v>162</v>
      </c>
      <c r="M26" s="1" t="s">
        <v>163</v>
      </c>
      <c r="N26" s="1" t="s">
        <v>127</v>
      </c>
      <c r="O26" s="1" t="s">
        <v>127</v>
      </c>
      <c r="P26" s="1" t="s">
        <v>49</v>
      </c>
      <c r="Q26" s="1" t="s">
        <v>50</v>
      </c>
      <c r="R26" s="1">
        <v>1</v>
      </c>
      <c r="S26" s="1">
        <v>260</v>
      </c>
      <c r="T26" s="1">
        <v>0</v>
      </c>
      <c r="U26" s="1">
        <v>0</v>
      </c>
      <c r="V26" s="1" t="s">
        <v>160</v>
      </c>
      <c r="W26" s="6">
        <v>32113</v>
      </c>
    </row>
    <row r="27" spans="1:25" ht="13">
      <c r="A27" s="1" t="s">
        <v>164</v>
      </c>
      <c r="B27" s="1" t="s">
        <v>34</v>
      </c>
      <c r="C27" s="1" t="s">
        <v>35</v>
      </c>
      <c r="D27" s="1"/>
      <c r="E27" s="6">
        <v>11007</v>
      </c>
      <c r="F27" s="1" t="s">
        <v>84</v>
      </c>
      <c r="G27" s="1">
        <v>1963</v>
      </c>
      <c r="H27" s="1">
        <v>3</v>
      </c>
      <c r="I27" s="1" t="s">
        <v>38</v>
      </c>
      <c r="J27" s="1"/>
      <c r="K27" s="1" t="s">
        <v>39</v>
      </c>
      <c r="L27" s="1" t="s">
        <v>165</v>
      </c>
      <c r="M27" s="1" t="s">
        <v>166</v>
      </c>
      <c r="O27" s="1" t="s">
        <v>42</v>
      </c>
      <c r="P27" s="1" t="s">
        <v>71</v>
      </c>
      <c r="Q27" s="1" t="s">
        <v>64</v>
      </c>
      <c r="R27" s="1">
        <v>0</v>
      </c>
      <c r="S27" s="1">
        <v>0</v>
      </c>
      <c r="T27" s="1">
        <v>0</v>
      </c>
      <c r="U27" s="1">
        <v>0</v>
      </c>
      <c r="W27" s="6">
        <v>23681</v>
      </c>
      <c r="Y27" s="1" t="s">
        <v>110</v>
      </c>
    </row>
    <row r="28" spans="1:25" ht="13">
      <c r="A28" s="1" t="s">
        <v>167</v>
      </c>
      <c r="B28" s="1" t="s">
        <v>34</v>
      </c>
      <c r="C28" s="1" t="s">
        <v>35</v>
      </c>
      <c r="D28" s="1"/>
      <c r="E28" s="6">
        <v>10871</v>
      </c>
      <c r="F28" s="1" t="s">
        <v>36</v>
      </c>
      <c r="G28" s="1">
        <v>1963</v>
      </c>
      <c r="H28" s="1">
        <v>3</v>
      </c>
      <c r="I28" s="1" t="s">
        <v>38</v>
      </c>
      <c r="J28" s="1"/>
      <c r="K28" s="1" t="s">
        <v>90</v>
      </c>
      <c r="L28" s="1" t="s">
        <v>168</v>
      </c>
      <c r="M28" s="1" t="s">
        <v>169</v>
      </c>
      <c r="N28" s="1" t="s">
        <v>170</v>
      </c>
      <c r="P28" s="1" t="s">
        <v>71</v>
      </c>
      <c r="Q28" s="1" t="s">
        <v>44</v>
      </c>
      <c r="R28" s="1">
        <v>2</v>
      </c>
      <c r="S28" s="1">
        <v>315</v>
      </c>
      <c r="T28" s="1">
        <v>1</v>
      </c>
      <c r="U28" s="1">
        <v>0.5</v>
      </c>
      <c r="V28" s="1" t="s">
        <v>171</v>
      </c>
    </row>
    <row r="29" spans="1:25" ht="13">
      <c r="A29" s="1" t="s">
        <v>172</v>
      </c>
      <c r="B29" s="1" t="s">
        <v>34</v>
      </c>
      <c r="C29" s="1" t="s">
        <v>35</v>
      </c>
      <c r="D29" s="1"/>
      <c r="E29" s="6">
        <v>13082</v>
      </c>
      <c r="F29" s="1" t="s">
        <v>84</v>
      </c>
      <c r="G29" s="1">
        <v>1963</v>
      </c>
      <c r="H29" s="1">
        <v>3</v>
      </c>
      <c r="I29" s="1" t="s">
        <v>38</v>
      </c>
      <c r="J29" s="1"/>
      <c r="K29" s="1" t="s">
        <v>90</v>
      </c>
      <c r="L29" s="1" t="s">
        <v>173</v>
      </c>
      <c r="M29" s="1" t="s">
        <v>174</v>
      </c>
      <c r="N29" s="1" t="s">
        <v>175</v>
      </c>
      <c r="O29" s="1" t="s">
        <v>175</v>
      </c>
      <c r="R29" s="1">
        <v>1</v>
      </c>
      <c r="S29" s="1">
        <v>241</v>
      </c>
      <c r="T29" s="1">
        <v>1</v>
      </c>
      <c r="U29" s="1">
        <v>1</v>
      </c>
      <c r="V29" s="1" t="s">
        <v>176</v>
      </c>
    </row>
    <row r="30" spans="1:25" ht="13">
      <c r="A30" s="1" t="s">
        <v>177</v>
      </c>
      <c r="B30" s="1" t="s">
        <v>34</v>
      </c>
      <c r="C30" s="1" t="s">
        <v>35</v>
      </c>
      <c r="D30" s="1"/>
      <c r="E30" s="6">
        <v>11846</v>
      </c>
      <c r="F30" s="1" t="s">
        <v>84</v>
      </c>
      <c r="G30" s="1">
        <v>1963</v>
      </c>
      <c r="H30" s="1">
        <v>3</v>
      </c>
      <c r="I30" s="1" t="s">
        <v>38</v>
      </c>
      <c r="J30" s="1"/>
      <c r="K30" s="1" t="s">
        <v>90</v>
      </c>
      <c r="L30" s="1" t="s">
        <v>116</v>
      </c>
      <c r="M30" s="1" t="s">
        <v>126</v>
      </c>
      <c r="O30" s="1" t="s">
        <v>175</v>
      </c>
      <c r="P30" s="1" t="s">
        <v>49</v>
      </c>
      <c r="Q30" s="1" t="s">
        <v>50</v>
      </c>
      <c r="R30" s="1">
        <v>3</v>
      </c>
      <c r="S30" s="1">
        <v>546</v>
      </c>
      <c r="T30" s="1">
        <v>4</v>
      </c>
      <c r="U30" s="1">
        <v>19</v>
      </c>
      <c r="V30" s="1" t="s">
        <v>178</v>
      </c>
    </row>
    <row r="31" spans="1:25" ht="13">
      <c r="A31" s="1" t="s">
        <v>179</v>
      </c>
      <c r="B31" s="1" t="s">
        <v>34</v>
      </c>
      <c r="C31" s="1" t="s">
        <v>35</v>
      </c>
      <c r="D31" s="1"/>
      <c r="E31" s="6">
        <v>11958</v>
      </c>
      <c r="F31" s="1" t="s">
        <v>36</v>
      </c>
      <c r="G31" s="1">
        <v>1963</v>
      </c>
      <c r="H31" s="1">
        <v>3</v>
      </c>
      <c r="I31" s="1" t="s">
        <v>38</v>
      </c>
      <c r="J31" s="1"/>
      <c r="K31" s="1" t="s">
        <v>39</v>
      </c>
      <c r="L31" s="1" t="s">
        <v>180</v>
      </c>
      <c r="M31" s="1" t="s">
        <v>181</v>
      </c>
      <c r="N31" s="1" t="s">
        <v>62</v>
      </c>
      <c r="P31" s="1" t="s">
        <v>80</v>
      </c>
      <c r="Q31" s="1" t="s">
        <v>182</v>
      </c>
      <c r="R31" s="1">
        <v>0</v>
      </c>
      <c r="S31" s="1">
        <v>0</v>
      </c>
      <c r="T31" s="1">
        <v>0</v>
      </c>
      <c r="U31" s="1">
        <v>0</v>
      </c>
      <c r="W31" s="6">
        <v>24750</v>
      </c>
      <c r="Y31" s="1" t="s">
        <v>183</v>
      </c>
    </row>
    <row r="32" spans="1:25" ht="13">
      <c r="A32" s="1" t="s">
        <v>184</v>
      </c>
      <c r="B32" s="1" t="s">
        <v>34</v>
      </c>
      <c r="C32" s="1" t="s">
        <v>35</v>
      </c>
      <c r="D32" s="1"/>
      <c r="E32" s="6">
        <v>11284</v>
      </c>
      <c r="F32" s="1" t="s">
        <v>124</v>
      </c>
      <c r="G32" s="1">
        <v>1965</v>
      </c>
      <c r="H32" s="1">
        <v>4</v>
      </c>
      <c r="I32" s="1" t="s">
        <v>38</v>
      </c>
      <c r="J32" s="1"/>
      <c r="K32" s="1" t="s">
        <v>90</v>
      </c>
      <c r="L32" s="1" t="s">
        <v>185</v>
      </c>
      <c r="M32" s="1" t="s">
        <v>186</v>
      </c>
      <c r="N32" s="1" t="s">
        <v>139</v>
      </c>
      <c r="O32" s="1" t="s">
        <v>139</v>
      </c>
      <c r="R32" s="1">
        <v>2</v>
      </c>
      <c r="S32" s="1">
        <v>1674</v>
      </c>
      <c r="T32" s="1">
        <v>3</v>
      </c>
      <c r="U32" s="1">
        <v>14</v>
      </c>
      <c r="V32" s="1" t="s">
        <v>187</v>
      </c>
    </row>
    <row r="33" spans="1:25" ht="13">
      <c r="A33" s="1" t="s">
        <v>188</v>
      </c>
      <c r="B33" s="1" t="s">
        <v>34</v>
      </c>
      <c r="C33" s="1" t="s">
        <v>35</v>
      </c>
      <c r="D33" s="1"/>
      <c r="E33" s="6">
        <v>13462</v>
      </c>
      <c r="F33" s="1" t="s">
        <v>124</v>
      </c>
      <c r="G33" s="1">
        <v>1965</v>
      </c>
      <c r="H33" s="1">
        <v>4</v>
      </c>
      <c r="I33" s="1" t="s">
        <v>38</v>
      </c>
      <c r="J33" s="1"/>
      <c r="K33" s="1" t="s">
        <v>90</v>
      </c>
      <c r="L33" s="1" t="s">
        <v>189</v>
      </c>
      <c r="M33" s="1" t="s">
        <v>190</v>
      </c>
      <c r="N33" s="1" t="s">
        <v>55</v>
      </c>
      <c r="O33" s="1" t="s">
        <v>55</v>
      </c>
      <c r="R33" s="1">
        <v>1</v>
      </c>
      <c r="S33" s="1">
        <v>2017</v>
      </c>
      <c r="T33" s="1">
        <v>3</v>
      </c>
      <c r="U33" s="1">
        <v>15</v>
      </c>
      <c r="V33" s="1" t="s">
        <v>191</v>
      </c>
    </row>
    <row r="34" spans="1:25" ht="13">
      <c r="A34" s="1" t="s">
        <v>192</v>
      </c>
      <c r="B34" s="1" t="s">
        <v>34</v>
      </c>
      <c r="C34" s="1" t="s">
        <v>35</v>
      </c>
      <c r="D34" s="1"/>
      <c r="E34" s="6">
        <v>11384</v>
      </c>
      <c r="F34" s="1" t="s">
        <v>124</v>
      </c>
      <c r="G34" s="1">
        <v>1965</v>
      </c>
      <c r="H34" s="1">
        <v>4</v>
      </c>
      <c r="I34" s="1" t="s">
        <v>38</v>
      </c>
      <c r="J34" s="1"/>
      <c r="K34" s="1" t="s">
        <v>90</v>
      </c>
      <c r="L34" s="1" t="s">
        <v>193</v>
      </c>
      <c r="M34" s="1" t="s">
        <v>194</v>
      </c>
      <c r="O34" s="1" t="s">
        <v>195</v>
      </c>
      <c r="R34" s="1">
        <v>0</v>
      </c>
      <c r="S34" s="1">
        <v>0</v>
      </c>
      <c r="T34" s="1">
        <v>0</v>
      </c>
      <c r="U34" s="1">
        <v>0</v>
      </c>
      <c r="Y34" s="1" t="s">
        <v>196</v>
      </c>
    </row>
    <row r="35" spans="1:25" ht="13">
      <c r="A35" s="1" t="s">
        <v>197</v>
      </c>
      <c r="B35" s="1" t="s">
        <v>34</v>
      </c>
      <c r="C35" s="1" t="s">
        <v>35</v>
      </c>
      <c r="D35" s="1"/>
      <c r="E35" s="6">
        <v>11738</v>
      </c>
      <c r="F35" s="1" t="s">
        <v>124</v>
      </c>
      <c r="G35" s="1">
        <v>1965</v>
      </c>
      <c r="H35" s="1">
        <v>4</v>
      </c>
      <c r="I35" s="1" t="s">
        <v>38</v>
      </c>
      <c r="J35" s="1"/>
      <c r="K35" s="1" t="s">
        <v>90</v>
      </c>
      <c r="L35" s="1" t="s">
        <v>198</v>
      </c>
      <c r="M35" s="1" t="s">
        <v>199</v>
      </c>
      <c r="N35" s="1" t="s">
        <v>200</v>
      </c>
      <c r="O35" s="1" t="s">
        <v>201</v>
      </c>
      <c r="P35" s="1" t="s">
        <v>71</v>
      </c>
      <c r="Q35" s="1" t="s">
        <v>44</v>
      </c>
      <c r="R35" s="1">
        <v>1</v>
      </c>
      <c r="S35" s="1">
        <v>672</v>
      </c>
      <c r="T35" s="1">
        <v>1</v>
      </c>
      <c r="U35" s="1">
        <v>3</v>
      </c>
      <c r="V35" s="1" t="s">
        <v>202</v>
      </c>
    </row>
    <row r="36" spans="1:25" ht="13">
      <c r="A36" s="1" t="s">
        <v>203</v>
      </c>
      <c r="B36" s="1" t="s">
        <v>34</v>
      </c>
      <c r="C36" s="1" t="s">
        <v>35</v>
      </c>
      <c r="D36" s="1"/>
      <c r="E36" s="6">
        <v>12575</v>
      </c>
      <c r="F36" s="1" t="s">
        <v>124</v>
      </c>
      <c r="G36" s="1">
        <v>1965</v>
      </c>
      <c r="H36" s="1">
        <v>4</v>
      </c>
      <c r="I36" s="1" t="s">
        <v>38</v>
      </c>
      <c r="J36" s="1"/>
      <c r="K36" s="1" t="s">
        <v>90</v>
      </c>
      <c r="L36" s="1" t="s">
        <v>204</v>
      </c>
      <c r="M36" s="1" t="s">
        <v>205</v>
      </c>
      <c r="N36" s="1" t="s">
        <v>158</v>
      </c>
      <c r="O36" s="1" t="s">
        <v>158</v>
      </c>
      <c r="R36" s="1">
        <v>0</v>
      </c>
      <c r="S36" s="1">
        <v>0</v>
      </c>
      <c r="T36" s="1">
        <v>0</v>
      </c>
      <c r="U36" s="1">
        <v>0</v>
      </c>
      <c r="Y36" s="1" t="s">
        <v>206</v>
      </c>
    </row>
    <row r="37" spans="1:25" ht="13">
      <c r="A37" s="1" t="s">
        <v>207</v>
      </c>
      <c r="B37" s="1" t="s">
        <v>34</v>
      </c>
      <c r="C37" s="1" t="s">
        <v>35</v>
      </c>
      <c r="D37" s="1"/>
      <c r="E37" s="6">
        <v>12968</v>
      </c>
      <c r="F37" s="1" t="s">
        <v>124</v>
      </c>
      <c r="G37" s="1">
        <v>1965</v>
      </c>
      <c r="H37" s="1">
        <v>4</v>
      </c>
      <c r="I37" s="1" t="s">
        <v>38</v>
      </c>
      <c r="J37" s="1"/>
      <c r="K37" s="1" t="s">
        <v>90</v>
      </c>
      <c r="L37" s="1" t="s">
        <v>208</v>
      </c>
      <c r="M37" s="1" t="s">
        <v>209</v>
      </c>
      <c r="N37" s="1" t="s">
        <v>210</v>
      </c>
      <c r="O37" s="1" t="s">
        <v>210</v>
      </c>
      <c r="R37" s="1">
        <v>1</v>
      </c>
      <c r="S37" s="1">
        <v>301</v>
      </c>
      <c r="T37" s="1">
        <v>3</v>
      </c>
      <c r="U37" s="1">
        <v>22</v>
      </c>
      <c r="V37" s="1" t="s">
        <v>211</v>
      </c>
    </row>
    <row r="38" spans="1:25" ht="13">
      <c r="A38" s="1" t="s">
        <v>212</v>
      </c>
      <c r="B38" s="1" t="s">
        <v>34</v>
      </c>
      <c r="C38" s="1" t="s">
        <v>35</v>
      </c>
      <c r="D38" s="1"/>
      <c r="E38" s="6">
        <v>11452</v>
      </c>
      <c r="F38" s="1" t="s">
        <v>84</v>
      </c>
      <c r="G38" s="1">
        <v>1966</v>
      </c>
      <c r="H38" s="1">
        <v>5</v>
      </c>
      <c r="I38" s="1" t="s">
        <v>38</v>
      </c>
      <c r="J38" s="1"/>
      <c r="K38" s="1" t="s">
        <v>90</v>
      </c>
      <c r="L38" s="1" t="s">
        <v>213</v>
      </c>
      <c r="M38" s="1" t="s">
        <v>214</v>
      </c>
      <c r="N38" s="1" t="s">
        <v>215</v>
      </c>
      <c r="O38" s="1" t="s">
        <v>216</v>
      </c>
      <c r="Q38" s="1" t="s">
        <v>159</v>
      </c>
      <c r="R38" s="1">
        <v>4</v>
      </c>
      <c r="S38" s="1">
        <v>752</v>
      </c>
      <c r="T38" s="1">
        <v>0</v>
      </c>
      <c r="U38" s="1">
        <v>0</v>
      </c>
      <c r="V38" s="1" t="s">
        <v>217</v>
      </c>
    </row>
    <row r="39" spans="1:25" ht="13">
      <c r="A39" s="1" t="s">
        <v>218</v>
      </c>
      <c r="B39" s="1" t="s">
        <v>34</v>
      </c>
      <c r="C39" s="1" t="s">
        <v>35</v>
      </c>
      <c r="D39" s="1"/>
      <c r="E39" s="6">
        <v>12687</v>
      </c>
      <c r="F39" s="1" t="s">
        <v>124</v>
      </c>
      <c r="G39" s="1">
        <v>1966</v>
      </c>
      <c r="H39" s="1">
        <v>5</v>
      </c>
      <c r="I39" s="1" t="s">
        <v>38</v>
      </c>
      <c r="J39" s="1"/>
      <c r="K39" s="1" t="s">
        <v>39</v>
      </c>
      <c r="L39" s="1" t="s">
        <v>219</v>
      </c>
      <c r="M39" s="1" t="s">
        <v>220</v>
      </c>
      <c r="N39" s="1" t="s">
        <v>62</v>
      </c>
      <c r="O39" s="1" t="s">
        <v>42</v>
      </c>
      <c r="R39" s="1">
        <v>0</v>
      </c>
      <c r="S39" s="1">
        <v>0</v>
      </c>
      <c r="T39" s="1">
        <v>0</v>
      </c>
      <c r="U39" s="1">
        <v>0</v>
      </c>
      <c r="W39" s="6">
        <v>39671</v>
      </c>
      <c r="Y39" s="1" t="s">
        <v>221</v>
      </c>
    </row>
    <row r="40" spans="1:25" ht="13">
      <c r="A40" s="1" t="s">
        <v>222</v>
      </c>
      <c r="B40" s="1" t="s">
        <v>34</v>
      </c>
      <c r="C40" s="1" t="s">
        <v>35</v>
      </c>
      <c r="D40" s="1"/>
      <c r="E40" s="6">
        <v>11923</v>
      </c>
      <c r="F40" s="1" t="s">
        <v>84</v>
      </c>
      <c r="G40" s="1">
        <v>1966</v>
      </c>
      <c r="H40" s="1">
        <v>5</v>
      </c>
      <c r="I40" s="1" t="s">
        <v>38</v>
      </c>
      <c r="J40" s="1"/>
      <c r="K40" s="1" t="s">
        <v>90</v>
      </c>
      <c r="L40" s="1" t="s">
        <v>223</v>
      </c>
      <c r="M40" s="1" t="s">
        <v>224</v>
      </c>
      <c r="N40" s="1" t="s">
        <v>62</v>
      </c>
      <c r="O40" s="1" t="s">
        <v>42</v>
      </c>
      <c r="P40" s="1" t="s">
        <v>49</v>
      </c>
      <c r="Q40" s="1" t="s">
        <v>56</v>
      </c>
      <c r="R40" s="1">
        <v>1</v>
      </c>
      <c r="S40" s="1">
        <v>2017</v>
      </c>
      <c r="T40" s="1">
        <v>3</v>
      </c>
      <c r="U40" s="1">
        <v>16</v>
      </c>
      <c r="V40" s="1" t="s">
        <v>191</v>
      </c>
    </row>
    <row r="41" spans="1:25" ht="13">
      <c r="A41" s="1" t="s">
        <v>225</v>
      </c>
      <c r="B41" s="1" t="s">
        <v>34</v>
      </c>
      <c r="C41" s="1" t="s">
        <v>35</v>
      </c>
      <c r="D41" s="1"/>
      <c r="E41" s="6">
        <v>13060</v>
      </c>
      <c r="F41" s="1" t="s">
        <v>84</v>
      </c>
      <c r="G41" s="1">
        <v>1966</v>
      </c>
      <c r="H41" s="1">
        <v>5</v>
      </c>
      <c r="I41" s="1" t="s">
        <v>38</v>
      </c>
      <c r="J41" s="1"/>
      <c r="K41" s="1" t="s">
        <v>90</v>
      </c>
      <c r="L41" s="1" t="s">
        <v>226</v>
      </c>
      <c r="M41" s="1" t="s">
        <v>227</v>
      </c>
      <c r="N41" s="1" t="s">
        <v>70</v>
      </c>
      <c r="O41" s="1" t="s">
        <v>228</v>
      </c>
      <c r="P41" s="1" t="s">
        <v>105</v>
      </c>
      <c r="Q41" s="1" t="s">
        <v>50</v>
      </c>
      <c r="R41" s="1">
        <v>1</v>
      </c>
      <c r="S41" s="1">
        <v>265</v>
      </c>
      <c r="T41" s="1">
        <v>3</v>
      </c>
      <c r="U41" s="1">
        <v>20</v>
      </c>
      <c r="V41" s="1" t="s">
        <v>229</v>
      </c>
    </row>
    <row r="42" spans="1:25" ht="13">
      <c r="A42" s="1" t="s">
        <v>230</v>
      </c>
      <c r="B42" s="1" t="s">
        <v>34</v>
      </c>
      <c r="C42" s="1" t="s">
        <v>35</v>
      </c>
      <c r="D42" s="1"/>
      <c r="E42" s="6">
        <v>11927</v>
      </c>
      <c r="F42" s="1" t="s">
        <v>36</v>
      </c>
      <c r="G42" s="1">
        <v>1966</v>
      </c>
      <c r="H42" s="1">
        <v>5</v>
      </c>
      <c r="I42" s="1" t="s">
        <v>38</v>
      </c>
      <c r="J42" s="1"/>
      <c r="K42" s="1" t="s">
        <v>90</v>
      </c>
      <c r="L42" s="1" t="s">
        <v>231</v>
      </c>
      <c r="M42" s="1" t="s">
        <v>232</v>
      </c>
      <c r="N42" s="1" t="s">
        <v>42</v>
      </c>
      <c r="P42" s="1" t="s">
        <v>133</v>
      </c>
      <c r="Q42" s="1" t="s">
        <v>50</v>
      </c>
      <c r="R42" s="1">
        <v>2</v>
      </c>
      <c r="S42" s="1">
        <v>224</v>
      </c>
      <c r="T42" s="1">
        <v>0</v>
      </c>
      <c r="U42" s="1">
        <v>0</v>
      </c>
      <c r="V42" s="1" t="s">
        <v>233</v>
      </c>
    </row>
    <row r="43" spans="1:25" ht="13">
      <c r="A43" s="1" t="s">
        <v>234</v>
      </c>
      <c r="B43" s="1" t="s">
        <v>34</v>
      </c>
      <c r="C43" s="1" t="s">
        <v>35</v>
      </c>
      <c r="D43" s="1"/>
      <c r="E43" s="6">
        <v>12368</v>
      </c>
      <c r="F43" s="1" t="s">
        <v>84</v>
      </c>
      <c r="G43" s="1">
        <v>1966</v>
      </c>
      <c r="H43" s="1">
        <v>5</v>
      </c>
      <c r="I43" s="1" t="s">
        <v>38</v>
      </c>
      <c r="J43" s="1"/>
      <c r="K43" s="1" t="s">
        <v>39</v>
      </c>
      <c r="L43" s="1" t="s">
        <v>235</v>
      </c>
      <c r="M43" s="1" t="s">
        <v>236</v>
      </c>
      <c r="N43" s="1" t="s">
        <v>139</v>
      </c>
      <c r="O43" s="1" t="s">
        <v>42</v>
      </c>
      <c r="P43" s="1" t="s">
        <v>71</v>
      </c>
      <c r="Q43" s="1" t="s">
        <v>44</v>
      </c>
      <c r="R43" s="1">
        <v>1</v>
      </c>
      <c r="S43" s="1">
        <v>301</v>
      </c>
      <c r="T43" s="1">
        <v>1</v>
      </c>
      <c r="U43" s="1">
        <v>1</v>
      </c>
      <c r="V43" s="1" t="s">
        <v>211</v>
      </c>
      <c r="W43" s="6">
        <v>32969</v>
      </c>
    </row>
    <row r="44" spans="1:25" ht="13">
      <c r="A44" s="1" t="s">
        <v>237</v>
      </c>
      <c r="B44" s="1" t="s">
        <v>34</v>
      </c>
      <c r="C44" s="1" t="s">
        <v>35</v>
      </c>
      <c r="D44" s="1"/>
      <c r="E44" s="6">
        <v>10963</v>
      </c>
      <c r="F44" s="1" t="s">
        <v>36</v>
      </c>
      <c r="G44" s="1">
        <v>1966</v>
      </c>
      <c r="H44" s="1">
        <v>5</v>
      </c>
      <c r="I44" s="1" t="s">
        <v>38</v>
      </c>
      <c r="J44" s="1"/>
      <c r="K44" s="1" t="s">
        <v>39</v>
      </c>
      <c r="L44" s="1" t="s">
        <v>238</v>
      </c>
      <c r="M44" s="1" t="s">
        <v>69</v>
      </c>
      <c r="N44" s="1" t="s">
        <v>70</v>
      </c>
      <c r="P44" s="1" t="s">
        <v>80</v>
      </c>
      <c r="Q44" s="1" t="s">
        <v>64</v>
      </c>
      <c r="R44" s="1">
        <v>0</v>
      </c>
      <c r="S44" s="1">
        <v>0</v>
      </c>
      <c r="T44" s="1">
        <v>0</v>
      </c>
      <c r="U44" s="1">
        <v>0</v>
      </c>
      <c r="W44" s="6">
        <v>24629</v>
      </c>
      <c r="Y44" s="1" t="s">
        <v>239</v>
      </c>
    </row>
    <row r="45" spans="1:25" ht="13">
      <c r="A45" s="1" t="s">
        <v>240</v>
      </c>
      <c r="B45" s="1" t="s">
        <v>34</v>
      </c>
      <c r="C45" s="1" t="s">
        <v>35</v>
      </c>
      <c r="D45" s="1"/>
      <c r="E45" s="6">
        <v>12372</v>
      </c>
      <c r="F45" s="1" t="s">
        <v>36</v>
      </c>
      <c r="G45" s="1">
        <v>1966</v>
      </c>
      <c r="H45" s="1">
        <v>5</v>
      </c>
      <c r="I45" s="1" t="s">
        <v>38</v>
      </c>
      <c r="J45" s="1"/>
      <c r="K45" s="1" t="s">
        <v>90</v>
      </c>
      <c r="L45" s="1" t="s">
        <v>241</v>
      </c>
      <c r="M45" s="1" t="s">
        <v>242</v>
      </c>
      <c r="N45" s="1" t="s">
        <v>42</v>
      </c>
      <c r="R45" s="1">
        <v>1</v>
      </c>
      <c r="S45" s="1">
        <v>142</v>
      </c>
      <c r="T45" s="1">
        <v>0</v>
      </c>
      <c r="U45" s="1">
        <v>0</v>
      </c>
      <c r="V45" s="1" t="s">
        <v>243</v>
      </c>
    </row>
    <row r="46" spans="1:25" ht="13">
      <c r="A46" s="1" t="s">
        <v>244</v>
      </c>
      <c r="B46" s="1" t="s">
        <v>34</v>
      </c>
      <c r="C46" s="1" t="s">
        <v>35</v>
      </c>
      <c r="D46" s="1"/>
      <c r="E46" s="6">
        <v>11034</v>
      </c>
      <c r="F46" s="1" t="s">
        <v>84</v>
      </c>
      <c r="G46" s="1">
        <v>1966</v>
      </c>
      <c r="H46" s="1">
        <v>5</v>
      </c>
      <c r="I46" s="1" t="s">
        <v>38</v>
      </c>
      <c r="J46" s="1"/>
      <c r="K46" s="1" t="s">
        <v>39</v>
      </c>
      <c r="L46" s="1" t="s">
        <v>245</v>
      </c>
      <c r="M46" s="1" t="s">
        <v>166</v>
      </c>
      <c r="N46" s="1" t="s">
        <v>70</v>
      </c>
      <c r="O46" s="1" t="s">
        <v>42</v>
      </c>
      <c r="P46" s="1" t="s">
        <v>49</v>
      </c>
      <c r="Q46" s="1" t="s">
        <v>50</v>
      </c>
      <c r="R46" s="1">
        <v>1</v>
      </c>
      <c r="S46" s="1">
        <v>295</v>
      </c>
      <c r="T46" s="1">
        <v>3</v>
      </c>
      <c r="U46" s="1">
        <v>20</v>
      </c>
      <c r="V46" s="1" t="s">
        <v>246</v>
      </c>
      <c r="W46" s="6">
        <v>33458</v>
      </c>
    </row>
    <row r="47" spans="1:25" ht="13">
      <c r="A47" s="1" t="s">
        <v>247</v>
      </c>
      <c r="B47" s="1" t="s">
        <v>34</v>
      </c>
      <c r="C47" s="1" t="s">
        <v>35</v>
      </c>
      <c r="D47" s="1"/>
      <c r="E47" s="6">
        <v>11096</v>
      </c>
      <c r="F47" s="1" t="s">
        <v>124</v>
      </c>
      <c r="G47" s="1">
        <v>1966</v>
      </c>
      <c r="H47" s="1">
        <v>5</v>
      </c>
      <c r="I47" s="1" t="s">
        <v>38</v>
      </c>
      <c r="J47" s="1"/>
      <c r="K47" s="1" t="s">
        <v>90</v>
      </c>
      <c r="L47" s="1" t="s">
        <v>248</v>
      </c>
      <c r="M47" s="1" t="s">
        <v>249</v>
      </c>
      <c r="N47" s="1" t="s">
        <v>158</v>
      </c>
      <c r="O47" s="1" t="s">
        <v>250</v>
      </c>
      <c r="R47" s="1">
        <v>1</v>
      </c>
      <c r="S47" s="1">
        <v>168</v>
      </c>
      <c r="T47" s="1">
        <v>0</v>
      </c>
      <c r="U47" s="1">
        <v>0</v>
      </c>
      <c r="V47" s="1" t="s">
        <v>251</v>
      </c>
    </row>
    <row r="48" spans="1:25" ht="13">
      <c r="A48" s="1" t="s">
        <v>252</v>
      </c>
      <c r="B48" s="1" t="s">
        <v>34</v>
      </c>
      <c r="C48" s="1" t="s">
        <v>35</v>
      </c>
      <c r="D48" s="1"/>
      <c r="E48" s="6">
        <v>13209</v>
      </c>
      <c r="F48" s="1" t="s">
        <v>84</v>
      </c>
      <c r="G48" s="1">
        <v>1966</v>
      </c>
      <c r="H48" s="1">
        <v>5</v>
      </c>
      <c r="I48" s="1" t="s">
        <v>38</v>
      </c>
      <c r="J48" s="1"/>
      <c r="K48" s="1" t="s">
        <v>90</v>
      </c>
      <c r="L48" s="1" t="s">
        <v>148</v>
      </c>
      <c r="M48" s="1" t="s">
        <v>253</v>
      </c>
      <c r="N48" s="1" t="s">
        <v>42</v>
      </c>
      <c r="O48" s="1" t="s">
        <v>42</v>
      </c>
      <c r="P48" s="1" t="s">
        <v>49</v>
      </c>
      <c r="Q48" s="1" t="s">
        <v>56</v>
      </c>
      <c r="R48" s="1">
        <v>2</v>
      </c>
      <c r="S48" s="1">
        <v>1619</v>
      </c>
      <c r="T48" s="1">
        <v>2</v>
      </c>
      <c r="U48" s="1">
        <v>11</v>
      </c>
      <c r="V48" s="1" t="s">
        <v>254</v>
      </c>
    </row>
    <row r="49" spans="1:25" ht="13">
      <c r="A49" s="1" t="s">
        <v>255</v>
      </c>
      <c r="B49" s="1" t="s">
        <v>34</v>
      </c>
      <c r="C49" s="1" t="s">
        <v>35</v>
      </c>
      <c r="D49" s="1"/>
      <c r="E49" s="6">
        <v>13226</v>
      </c>
      <c r="F49" s="1" t="s">
        <v>36</v>
      </c>
      <c r="G49" s="1">
        <v>1966</v>
      </c>
      <c r="H49" s="1">
        <v>5</v>
      </c>
      <c r="I49" s="1" t="s">
        <v>38</v>
      </c>
      <c r="J49" s="1"/>
      <c r="K49" s="1" t="s">
        <v>90</v>
      </c>
      <c r="L49" s="1" t="s">
        <v>102</v>
      </c>
      <c r="M49" s="1" t="s">
        <v>181</v>
      </c>
      <c r="N49" s="1" t="s">
        <v>42</v>
      </c>
      <c r="P49" s="1" t="s">
        <v>75</v>
      </c>
      <c r="Q49" s="1" t="s">
        <v>44</v>
      </c>
      <c r="R49" s="1">
        <v>3</v>
      </c>
      <c r="S49" s="1">
        <v>508</v>
      </c>
      <c r="T49" s="1">
        <v>1</v>
      </c>
      <c r="U49" s="1">
        <v>1</v>
      </c>
      <c r="V49" s="1" t="s">
        <v>256</v>
      </c>
    </row>
    <row r="50" spans="1:25" ht="13">
      <c r="A50" s="1" t="s">
        <v>257</v>
      </c>
      <c r="B50" s="1" t="s">
        <v>34</v>
      </c>
      <c r="C50" s="1" t="s">
        <v>35</v>
      </c>
      <c r="D50" s="1"/>
      <c r="E50" s="6">
        <v>13674</v>
      </c>
      <c r="F50" s="1" t="s">
        <v>84</v>
      </c>
      <c r="G50" s="1">
        <v>1966</v>
      </c>
      <c r="H50" s="1">
        <v>5</v>
      </c>
      <c r="I50" s="1" t="s">
        <v>38</v>
      </c>
      <c r="J50" s="1"/>
      <c r="K50" s="1" t="s">
        <v>90</v>
      </c>
      <c r="L50" s="1" t="s">
        <v>258</v>
      </c>
      <c r="M50" s="1" t="s">
        <v>259</v>
      </c>
      <c r="O50" s="1" t="s">
        <v>260</v>
      </c>
      <c r="P50" s="1" t="s">
        <v>71</v>
      </c>
      <c r="Q50" s="1" t="s">
        <v>44</v>
      </c>
      <c r="R50" s="1">
        <v>2</v>
      </c>
      <c r="S50" s="1">
        <v>312</v>
      </c>
      <c r="T50" s="1">
        <v>2</v>
      </c>
      <c r="U50" s="1">
        <v>12</v>
      </c>
      <c r="V50" s="1" t="s">
        <v>261</v>
      </c>
    </row>
    <row r="51" spans="1:25" ht="13">
      <c r="A51" s="1" t="s">
        <v>262</v>
      </c>
      <c r="B51" s="1" t="s">
        <v>34</v>
      </c>
      <c r="C51" s="1" t="s">
        <v>35</v>
      </c>
      <c r="D51" s="1"/>
      <c r="E51" s="6">
        <v>11218</v>
      </c>
      <c r="F51" s="1" t="s">
        <v>124</v>
      </c>
      <c r="G51" s="1">
        <v>1966</v>
      </c>
      <c r="H51" s="1">
        <v>5</v>
      </c>
      <c r="I51" s="1" t="s">
        <v>38</v>
      </c>
      <c r="J51" s="1"/>
      <c r="K51" s="1" t="s">
        <v>90</v>
      </c>
      <c r="L51" s="1" t="s">
        <v>263</v>
      </c>
      <c r="M51" s="1" t="s">
        <v>264</v>
      </c>
      <c r="N51" s="1" t="s">
        <v>265</v>
      </c>
      <c r="O51" s="1" t="s">
        <v>266</v>
      </c>
      <c r="P51" s="1" t="s">
        <v>71</v>
      </c>
      <c r="Q51" s="1" t="s">
        <v>44</v>
      </c>
      <c r="R51" s="1">
        <v>1</v>
      </c>
      <c r="S51" s="1">
        <v>216</v>
      </c>
      <c r="T51" s="1">
        <v>2</v>
      </c>
      <c r="U51" s="1">
        <v>9</v>
      </c>
      <c r="V51" s="1" t="s">
        <v>267</v>
      </c>
    </row>
    <row r="52" spans="1:25" ht="13">
      <c r="A52" s="1" t="s">
        <v>268</v>
      </c>
      <c r="B52" s="1" t="s">
        <v>34</v>
      </c>
      <c r="C52" s="1" t="s">
        <v>35</v>
      </c>
      <c r="D52" s="1"/>
      <c r="E52" s="6">
        <v>10981</v>
      </c>
      <c r="F52" s="1" t="s">
        <v>84</v>
      </c>
      <c r="G52" s="1">
        <v>1966</v>
      </c>
      <c r="H52" s="1">
        <v>5</v>
      </c>
      <c r="I52" s="1" t="s">
        <v>38</v>
      </c>
      <c r="J52" s="1"/>
      <c r="K52" s="1" t="s">
        <v>90</v>
      </c>
      <c r="L52" s="1" t="s">
        <v>269</v>
      </c>
      <c r="M52" s="1" t="s">
        <v>270</v>
      </c>
      <c r="N52" s="1" t="s">
        <v>271</v>
      </c>
      <c r="O52" s="1" t="s">
        <v>272</v>
      </c>
      <c r="P52" s="1" t="s">
        <v>49</v>
      </c>
      <c r="Q52" s="1" t="s">
        <v>50</v>
      </c>
      <c r="R52" s="1">
        <v>1</v>
      </c>
      <c r="S52" s="1">
        <v>2017</v>
      </c>
      <c r="T52" s="1">
        <v>2</v>
      </c>
      <c r="U52" s="1">
        <v>13</v>
      </c>
      <c r="V52" s="1" t="s">
        <v>191</v>
      </c>
    </row>
    <row r="53" spans="1:25" ht="13">
      <c r="A53" s="1" t="s">
        <v>273</v>
      </c>
      <c r="B53" s="1" t="s">
        <v>34</v>
      </c>
      <c r="C53" s="1" t="s">
        <v>35</v>
      </c>
      <c r="D53" s="1"/>
      <c r="E53" s="6">
        <v>12282</v>
      </c>
      <c r="F53" s="1" t="s">
        <v>36</v>
      </c>
      <c r="G53" s="1">
        <v>1966</v>
      </c>
      <c r="H53" s="1">
        <v>5</v>
      </c>
      <c r="I53" s="1" t="s">
        <v>38</v>
      </c>
      <c r="J53" s="1"/>
      <c r="K53" s="1" t="s">
        <v>39</v>
      </c>
      <c r="L53" s="1" t="s">
        <v>274</v>
      </c>
      <c r="M53" s="1" t="s">
        <v>41</v>
      </c>
      <c r="N53" s="1" t="s">
        <v>42</v>
      </c>
      <c r="P53" s="1" t="s">
        <v>49</v>
      </c>
      <c r="Q53" s="1" t="s">
        <v>50</v>
      </c>
      <c r="R53" s="1">
        <v>1</v>
      </c>
      <c r="S53" s="1">
        <v>216</v>
      </c>
      <c r="T53" s="1">
        <v>0</v>
      </c>
      <c r="U53" s="1">
        <v>0</v>
      </c>
      <c r="V53" s="1" t="s">
        <v>267</v>
      </c>
      <c r="W53" s="6">
        <v>34680</v>
      </c>
    </row>
    <row r="54" spans="1:25" ht="13">
      <c r="A54" s="1" t="s">
        <v>275</v>
      </c>
      <c r="B54" s="1" t="s">
        <v>34</v>
      </c>
      <c r="C54" s="1" t="s">
        <v>35</v>
      </c>
      <c r="D54" s="1"/>
      <c r="E54" s="6">
        <v>11565</v>
      </c>
      <c r="F54" s="1" t="s">
        <v>84</v>
      </c>
      <c r="G54" s="1">
        <v>1966</v>
      </c>
      <c r="H54" s="1">
        <v>5</v>
      </c>
      <c r="I54" s="1" t="s">
        <v>38</v>
      </c>
      <c r="J54" s="1"/>
      <c r="K54" s="1" t="s">
        <v>39</v>
      </c>
      <c r="L54" s="1" t="s">
        <v>223</v>
      </c>
      <c r="M54" s="1" t="s">
        <v>276</v>
      </c>
      <c r="N54" s="1" t="s">
        <v>62</v>
      </c>
      <c r="O54" s="1" t="s">
        <v>277</v>
      </c>
      <c r="R54" s="1">
        <v>1</v>
      </c>
      <c r="S54" s="1">
        <v>142</v>
      </c>
      <c r="T54" s="1">
        <v>0</v>
      </c>
      <c r="U54" s="1">
        <v>0</v>
      </c>
      <c r="V54" s="1" t="s">
        <v>243</v>
      </c>
      <c r="W54" s="6">
        <v>30312</v>
      </c>
    </row>
    <row r="55" spans="1:25" ht="13">
      <c r="A55" s="1" t="s">
        <v>278</v>
      </c>
      <c r="B55" s="1" t="s">
        <v>34</v>
      </c>
      <c r="C55" s="1" t="s">
        <v>35</v>
      </c>
      <c r="D55" s="1"/>
      <c r="E55" s="6">
        <v>11865</v>
      </c>
      <c r="F55" s="1" t="s">
        <v>84</v>
      </c>
      <c r="G55" s="1">
        <v>1966</v>
      </c>
      <c r="H55" s="1">
        <v>5</v>
      </c>
      <c r="I55" s="1" t="s">
        <v>38</v>
      </c>
      <c r="J55" s="1"/>
      <c r="K55" s="1" t="s">
        <v>90</v>
      </c>
      <c r="L55" s="1" t="s">
        <v>279</v>
      </c>
      <c r="M55" s="1" t="s">
        <v>280</v>
      </c>
      <c r="N55" s="1" t="s">
        <v>42</v>
      </c>
      <c r="O55" s="1" t="s">
        <v>42</v>
      </c>
      <c r="P55" s="1" t="s">
        <v>71</v>
      </c>
      <c r="Q55" s="1" t="s">
        <v>44</v>
      </c>
      <c r="R55" s="1">
        <v>2</v>
      </c>
      <c r="S55" s="1">
        <v>793</v>
      </c>
      <c r="T55" s="1">
        <v>1</v>
      </c>
      <c r="U55" s="1">
        <v>2</v>
      </c>
      <c r="V55" s="1" t="s">
        <v>281</v>
      </c>
    </row>
    <row r="56" spans="1:25" ht="13">
      <c r="A56" s="1" t="s">
        <v>282</v>
      </c>
      <c r="B56" s="1" t="s">
        <v>34</v>
      </c>
      <c r="C56" s="1" t="s">
        <v>35</v>
      </c>
      <c r="D56" s="1"/>
      <c r="E56" s="6">
        <v>11726</v>
      </c>
      <c r="F56" s="1" t="s">
        <v>84</v>
      </c>
      <c r="G56" s="1">
        <v>1966</v>
      </c>
      <c r="H56" s="1">
        <v>5</v>
      </c>
      <c r="I56" s="1" t="s">
        <v>38</v>
      </c>
      <c r="J56" s="1"/>
      <c r="K56" s="1" t="s">
        <v>90</v>
      </c>
      <c r="L56" s="1" t="s">
        <v>283</v>
      </c>
      <c r="M56" s="1" t="s">
        <v>117</v>
      </c>
      <c r="N56" s="1" t="s">
        <v>284</v>
      </c>
      <c r="O56" s="1" t="s">
        <v>285</v>
      </c>
      <c r="P56" s="1" t="s">
        <v>49</v>
      </c>
      <c r="Q56" s="1" t="s">
        <v>50</v>
      </c>
      <c r="R56" s="1">
        <v>1</v>
      </c>
      <c r="S56" s="1">
        <v>295</v>
      </c>
      <c r="T56" s="1">
        <v>1</v>
      </c>
      <c r="U56" s="1">
        <v>0.5</v>
      </c>
      <c r="V56" s="1" t="s">
        <v>246</v>
      </c>
    </row>
    <row r="57" spans="1:25" ht="13">
      <c r="A57" s="1" t="s">
        <v>286</v>
      </c>
      <c r="B57" s="1" t="s">
        <v>34</v>
      </c>
      <c r="C57" s="1" t="s">
        <v>35</v>
      </c>
      <c r="D57" s="1"/>
      <c r="E57" s="6">
        <v>13693</v>
      </c>
      <c r="F57" s="1" t="s">
        <v>124</v>
      </c>
      <c r="G57" s="1">
        <v>1967</v>
      </c>
      <c r="H57" s="1">
        <v>6</v>
      </c>
      <c r="I57" s="1" t="s">
        <v>38</v>
      </c>
      <c r="J57" s="1"/>
      <c r="K57" s="1" t="s">
        <v>90</v>
      </c>
      <c r="L57" s="1" t="s">
        <v>287</v>
      </c>
      <c r="M57" s="1" t="s">
        <v>288</v>
      </c>
      <c r="N57" s="1" t="s">
        <v>289</v>
      </c>
      <c r="O57" s="1" t="s">
        <v>158</v>
      </c>
      <c r="R57" s="1">
        <v>2</v>
      </c>
      <c r="S57" s="1">
        <v>313</v>
      </c>
      <c r="T57" s="1">
        <v>2</v>
      </c>
      <c r="U57" s="1">
        <v>12</v>
      </c>
      <c r="V57" s="1" t="s">
        <v>290</v>
      </c>
    </row>
    <row r="58" spans="1:25" ht="13">
      <c r="A58" s="1" t="s">
        <v>291</v>
      </c>
      <c r="B58" s="1" t="s">
        <v>34</v>
      </c>
      <c r="C58" s="1" t="s">
        <v>35</v>
      </c>
      <c r="D58" s="1"/>
      <c r="E58" s="6">
        <v>12848</v>
      </c>
      <c r="F58" s="1" t="s">
        <v>124</v>
      </c>
      <c r="G58" s="1">
        <v>1967</v>
      </c>
      <c r="H58" s="1">
        <v>6</v>
      </c>
      <c r="I58" s="1" t="s">
        <v>38</v>
      </c>
      <c r="J58" s="1" t="s">
        <v>292</v>
      </c>
      <c r="K58" s="1" t="s">
        <v>90</v>
      </c>
      <c r="L58" s="1" t="s">
        <v>293</v>
      </c>
      <c r="M58" s="1" t="s">
        <v>294</v>
      </c>
      <c r="N58" s="1" t="s">
        <v>295</v>
      </c>
      <c r="O58" s="1" t="s">
        <v>296</v>
      </c>
      <c r="R58" s="1">
        <v>0</v>
      </c>
      <c r="S58" s="1">
        <v>0</v>
      </c>
      <c r="T58" s="1">
        <v>0</v>
      </c>
      <c r="U58" s="1">
        <v>0</v>
      </c>
      <c r="Y58" s="1" t="s">
        <v>297</v>
      </c>
    </row>
    <row r="59" spans="1:25" ht="13">
      <c r="A59" s="1" t="s">
        <v>298</v>
      </c>
      <c r="B59" s="1" t="s">
        <v>34</v>
      </c>
      <c r="C59" s="1" t="s">
        <v>35</v>
      </c>
      <c r="D59" s="1"/>
      <c r="E59" s="6">
        <v>15476</v>
      </c>
      <c r="F59" s="1" t="s">
        <v>124</v>
      </c>
      <c r="G59" s="1">
        <v>1967</v>
      </c>
      <c r="H59" s="1">
        <v>6</v>
      </c>
      <c r="I59" s="1" t="s">
        <v>38</v>
      </c>
      <c r="J59" s="1"/>
      <c r="K59" s="1" t="s">
        <v>90</v>
      </c>
      <c r="L59" s="1" t="s">
        <v>299</v>
      </c>
      <c r="M59" s="1" t="s">
        <v>174</v>
      </c>
      <c r="N59" s="1" t="s">
        <v>210</v>
      </c>
      <c r="O59" s="1" t="s">
        <v>300</v>
      </c>
      <c r="R59" s="1">
        <v>1</v>
      </c>
      <c r="S59" s="1">
        <v>190</v>
      </c>
      <c r="T59" s="1">
        <v>0</v>
      </c>
      <c r="U59" s="1">
        <v>0</v>
      </c>
      <c r="V59" s="1" t="s">
        <v>301</v>
      </c>
    </row>
    <row r="60" spans="1:25" ht="13">
      <c r="A60" s="1" t="s">
        <v>302</v>
      </c>
      <c r="B60" s="1" t="s">
        <v>34</v>
      </c>
      <c r="C60" s="1" t="s">
        <v>35</v>
      </c>
      <c r="D60" s="1"/>
      <c r="E60" s="6">
        <v>9787</v>
      </c>
      <c r="F60" s="1" t="s">
        <v>124</v>
      </c>
      <c r="G60" s="1">
        <v>1967</v>
      </c>
      <c r="H60" s="1">
        <v>6</v>
      </c>
      <c r="I60" s="1" t="s">
        <v>38</v>
      </c>
      <c r="J60" s="1"/>
      <c r="K60" s="1" t="s">
        <v>39</v>
      </c>
      <c r="L60" s="1" t="s">
        <v>303</v>
      </c>
      <c r="M60" s="1" t="s">
        <v>304</v>
      </c>
      <c r="N60" s="1" t="s">
        <v>272</v>
      </c>
      <c r="O60" s="1" t="s">
        <v>305</v>
      </c>
      <c r="R60" s="1">
        <v>1</v>
      </c>
      <c r="S60" s="1">
        <v>190</v>
      </c>
      <c r="T60" s="1">
        <v>0</v>
      </c>
      <c r="U60" s="1">
        <v>0</v>
      </c>
      <c r="V60" s="1" t="s">
        <v>301</v>
      </c>
      <c r="W60" s="6">
        <v>34247</v>
      </c>
    </row>
    <row r="61" spans="1:25" ht="13">
      <c r="A61" s="1" t="s">
        <v>306</v>
      </c>
      <c r="B61" s="1" t="s">
        <v>34</v>
      </c>
      <c r="C61" s="1" t="s">
        <v>35</v>
      </c>
      <c r="D61" s="1"/>
      <c r="E61" s="6">
        <v>14342</v>
      </c>
      <c r="F61" s="1" t="s">
        <v>124</v>
      </c>
      <c r="G61" s="1">
        <v>1967</v>
      </c>
      <c r="H61" s="1">
        <v>6</v>
      </c>
      <c r="I61" s="1" t="s">
        <v>38</v>
      </c>
      <c r="J61" s="1"/>
      <c r="K61" s="1" t="s">
        <v>90</v>
      </c>
      <c r="L61" s="1" t="s">
        <v>108</v>
      </c>
      <c r="M61" s="1" t="s">
        <v>307</v>
      </c>
      <c r="N61" s="1" t="s">
        <v>139</v>
      </c>
      <c r="O61" s="1" t="s">
        <v>308</v>
      </c>
      <c r="R61" s="1">
        <v>0</v>
      </c>
      <c r="S61" s="1">
        <v>0</v>
      </c>
      <c r="T61" s="1">
        <v>0</v>
      </c>
      <c r="U61" s="1">
        <v>0</v>
      </c>
      <c r="Y61" s="1" t="s">
        <v>309</v>
      </c>
    </row>
    <row r="62" spans="1:25" ht="13">
      <c r="A62" s="1" t="s">
        <v>310</v>
      </c>
      <c r="B62" s="1" t="s">
        <v>34</v>
      </c>
      <c r="C62" s="1" t="s">
        <v>35</v>
      </c>
      <c r="D62" s="1"/>
      <c r="E62" s="6">
        <v>14318</v>
      </c>
      <c r="F62" s="1" t="s">
        <v>124</v>
      </c>
      <c r="G62" s="1">
        <v>1967</v>
      </c>
      <c r="H62" s="1">
        <v>6</v>
      </c>
      <c r="I62" s="1" t="s">
        <v>38</v>
      </c>
      <c r="J62" s="1"/>
      <c r="K62" s="1" t="s">
        <v>39</v>
      </c>
      <c r="L62" s="1" t="s">
        <v>311</v>
      </c>
      <c r="M62" s="1" t="s">
        <v>174</v>
      </c>
      <c r="N62" s="1" t="s">
        <v>139</v>
      </c>
      <c r="O62" s="1" t="s">
        <v>139</v>
      </c>
      <c r="R62" s="1">
        <v>1</v>
      </c>
      <c r="S62" s="1">
        <v>122</v>
      </c>
      <c r="T62" s="1">
        <v>0</v>
      </c>
      <c r="U62" s="1">
        <v>0</v>
      </c>
      <c r="V62" s="1" t="s">
        <v>312</v>
      </c>
      <c r="W62" s="6">
        <v>41147</v>
      </c>
    </row>
    <row r="63" spans="1:25" ht="13">
      <c r="A63" s="1" t="s">
        <v>313</v>
      </c>
      <c r="B63" s="1" t="s">
        <v>34</v>
      </c>
      <c r="C63" s="1" t="s">
        <v>35</v>
      </c>
      <c r="D63" s="1"/>
      <c r="E63" s="6">
        <v>12166</v>
      </c>
      <c r="F63" s="1" t="s">
        <v>124</v>
      </c>
      <c r="G63" s="1">
        <v>1967</v>
      </c>
      <c r="H63" s="1">
        <v>6</v>
      </c>
      <c r="I63" s="1" t="s">
        <v>38</v>
      </c>
      <c r="J63" s="1"/>
      <c r="K63" s="1" t="s">
        <v>90</v>
      </c>
      <c r="L63" s="1" t="s">
        <v>314</v>
      </c>
      <c r="M63" s="1" t="s">
        <v>315</v>
      </c>
      <c r="N63" s="1" t="s">
        <v>170</v>
      </c>
      <c r="O63" s="1" t="s">
        <v>170</v>
      </c>
      <c r="R63" s="1">
        <v>0</v>
      </c>
      <c r="S63" s="1">
        <v>0</v>
      </c>
      <c r="T63" s="1">
        <v>0</v>
      </c>
      <c r="U63" s="1">
        <v>0</v>
      </c>
      <c r="Y63" s="1" t="s">
        <v>316</v>
      </c>
    </row>
    <row r="64" spans="1:25" ht="13">
      <c r="A64" s="1" t="s">
        <v>317</v>
      </c>
      <c r="B64" s="1" t="s">
        <v>34</v>
      </c>
      <c r="C64" s="1" t="s">
        <v>35</v>
      </c>
      <c r="D64" s="1"/>
      <c r="E64" s="6">
        <v>13015</v>
      </c>
      <c r="F64" s="1" t="s">
        <v>124</v>
      </c>
      <c r="G64" s="1">
        <v>1967</v>
      </c>
      <c r="H64" s="1">
        <v>6</v>
      </c>
      <c r="I64" s="1" t="s">
        <v>38</v>
      </c>
      <c r="J64" s="1"/>
      <c r="K64" s="1" t="s">
        <v>90</v>
      </c>
      <c r="L64" s="1" t="s">
        <v>258</v>
      </c>
      <c r="M64" s="1" t="s">
        <v>318</v>
      </c>
      <c r="N64" s="1" t="s">
        <v>319</v>
      </c>
      <c r="O64" s="1" t="s">
        <v>320</v>
      </c>
      <c r="R64" s="1">
        <v>6</v>
      </c>
      <c r="S64" s="1">
        <v>1281</v>
      </c>
      <c r="T64" s="1">
        <v>4</v>
      </c>
      <c r="U64" s="1">
        <v>26</v>
      </c>
      <c r="V64" s="1" t="s">
        <v>321</v>
      </c>
    </row>
    <row r="65" spans="1:25" ht="13">
      <c r="A65" s="1" t="s">
        <v>322</v>
      </c>
      <c r="B65" s="1" t="s">
        <v>34</v>
      </c>
      <c r="C65" s="1" t="s">
        <v>35</v>
      </c>
      <c r="D65" s="1"/>
      <c r="E65" s="6">
        <v>14637</v>
      </c>
      <c r="F65" s="1" t="s">
        <v>124</v>
      </c>
      <c r="G65" s="1">
        <v>1967</v>
      </c>
      <c r="H65" s="1">
        <v>6</v>
      </c>
      <c r="I65" s="1" t="s">
        <v>38</v>
      </c>
      <c r="J65" s="1"/>
      <c r="K65" s="1" t="s">
        <v>39</v>
      </c>
      <c r="L65" s="1" t="s">
        <v>258</v>
      </c>
      <c r="M65" s="1" t="s">
        <v>323</v>
      </c>
      <c r="N65" s="1" t="s">
        <v>158</v>
      </c>
      <c r="O65" s="1" t="s">
        <v>305</v>
      </c>
      <c r="R65" s="1">
        <v>0</v>
      </c>
      <c r="S65" s="1">
        <v>0</v>
      </c>
      <c r="T65" s="1">
        <v>0</v>
      </c>
      <c r="U65" s="1">
        <v>0</v>
      </c>
      <c r="W65" s="6">
        <v>40752</v>
      </c>
      <c r="Y65" s="1" t="s">
        <v>324</v>
      </c>
    </row>
    <row r="66" spans="1:25" ht="13">
      <c r="A66" s="1" t="s">
        <v>325</v>
      </c>
      <c r="B66" s="1" t="s">
        <v>34</v>
      </c>
      <c r="C66" s="1" t="s">
        <v>35</v>
      </c>
      <c r="D66" s="1"/>
      <c r="E66" s="6">
        <v>13498</v>
      </c>
      <c r="F66" s="1" t="s">
        <v>124</v>
      </c>
      <c r="G66" s="1">
        <v>1967</v>
      </c>
      <c r="H66" s="1">
        <v>6</v>
      </c>
      <c r="I66" s="1" t="s">
        <v>38</v>
      </c>
      <c r="J66" s="1"/>
      <c r="K66" s="1" t="s">
        <v>90</v>
      </c>
      <c r="L66" s="1" t="s">
        <v>326</v>
      </c>
      <c r="M66" s="1" t="s">
        <v>327</v>
      </c>
      <c r="N66" s="1" t="s">
        <v>328</v>
      </c>
      <c r="O66" s="1" t="s">
        <v>305</v>
      </c>
      <c r="R66" s="1">
        <v>2</v>
      </c>
      <c r="S66" s="1">
        <v>462</v>
      </c>
      <c r="T66" s="1">
        <v>0</v>
      </c>
      <c r="U66" s="1">
        <v>0</v>
      </c>
      <c r="V66" s="1" t="s">
        <v>329</v>
      </c>
    </row>
    <row r="67" spans="1:25" ht="13">
      <c r="A67" s="1" t="s">
        <v>330</v>
      </c>
      <c r="B67" s="1" t="s">
        <v>34</v>
      </c>
      <c r="C67" s="1" t="s">
        <v>35</v>
      </c>
      <c r="D67" s="1"/>
      <c r="E67" s="6">
        <v>10697</v>
      </c>
      <c r="F67" s="1" t="s">
        <v>124</v>
      </c>
      <c r="G67" s="1">
        <v>1967</v>
      </c>
      <c r="H67" s="1">
        <v>6</v>
      </c>
      <c r="I67" s="1" t="s">
        <v>38</v>
      </c>
      <c r="J67" s="1"/>
      <c r="K67" s="1" t="s">
        <v>90</v>
      </c>
      <c r="L67" s="1" t="s">
        <v>331</v>
      </c>
      <c r="M67" s="1" t="s">
        <v>332</v>
      </c>
      <c r="N67" s="1" t="s">
        <v>158</v>
      </c>
      <c r="O67" s="1" t="s">
        <v>201</v>
      </c>
      <c r="R67" s="1">
        <v>2</v>
      </c>
      <c r="S67" s="1">
        <v>315</v>
      </c>
      <c r="T67" s="1">
        <v>0</v>
      </c>
      <c r="U67" s="1">
        <v>0</v>
      </c>
      <c r="V67" s="1" t="s">
        <v>333</v>
      </c>
    </row>
    <row r="68" spans="1:25" ht="13">
      <c r="A68" s="1" t="s">
        <v>334</v>
      </c>
      <c r="B68" s="1" t="s">
        <v>34</v>
      </c>
      <c r="C68" s="1" t="s">
        <v>35</v>
      </c>
      <c r="D68" s="1"/>
      <c r="E68" s="6">
        <v>13872</v>
      </c>
      <c r="F68" s="1" t="s">
        <v>84</v>
      </c>
      <c r="G68" s="1">
        <v>1969</v>
      </c>
      <c r="H68" s="1">
        <v>7</v>
      </c>
      <c r="I68" s="1" t="s">
        <v>38</v>
      </c>
      <c r="J68" s="1"/>
      <c r="K68" s="1" t="s">
        <v>90</v>
      </c>
      <c r="L68" s="1" t="s">
        <v>326</v>
      </c>
      <c r="M68" s="1" t="s">
        <v>335</v>
      </c>
      <c r="O68" s="1" t="s">
        <v>87</v>
      </c>
      <c r="P68" s="1" t="s">
        <v>49</v>
      </c>
      <c r="Q68" s="1" t="s">
        <v>50</v>
      </c>
      <c r="R68" s="1">
        <v>3</v>
      </c>
      <c r="S68" s="1">
        <v>386</v>
      </c>
      <c r="T68" s="1">
        <v>0</v>
      </c>
      <c r="U68" s="1">
        <v>0</v>
      </c>
      <c r="V68" s="1" t="s">
        <v>336</v>
      </c>
    </row>
    <row r="69" spans="1:25" ht="13">
      <c r="A69" s="1" t="s">
        <v>337</v>
      </c>
      <c r="B69" s="1" t="s">
        <v>34</v>
      </c>
      <c r="C69" s="1" t="s">
        <v>35</v>
      </c>
      <c r="D69" s="1"/>
      <c r="E69" s="6">
        <v>13769</v>
      </c>
      <c r="F69" s="1" t="s">
        <v>36</v>
      </c>
      <c r="G69" s="1">
        <v>1969</v>
      </c>
      <c r="H69" s="1">
        <v>7</v>
      </c>
      <c r="I69" s="1" t="s">
        <v>38</v>
      </c>
      <c r="J69" s="1"/>
      <c r="K69" s="1" t="s">
        <v>90</v>
      </c>
      <c r="L69" s="1" t="s">
        <v>338</v>
      </c>
      <c r="M69" s="1" t="s">
        <v>142</v>
      </c>
      <c r="N69" s="1" t="s">
        <v>87</v>
      </c>
      <c r="P69" s="1" t="s">
        <v>71</v>
      </c>
      <c r="Q69" s="1" t="s">
        <v>44</v>
      </c>
      <c r="R69" s="1">
        <v>4</v>
      </c>
      <c r="S69" s="1">
        <v>565</v>
      </c>
      <c r="T69" s="1">
        <v>0</v>
      </c>
      <c r="U69" s="1">
        <v>0</v>
      </c>
      <c r="V69" s="1" t="s">
        <v>339</v>
      </c>
    </row>
    <row r="70" spans="1:25" ht="13">
      <c r="A70" s="1" t="s">
        <v>340</v>
      </c>
      <c r="B70" s="1" t="s">
        <v>34</v>
      </c>
      <c r="C70" s="1" t="s">
        <v>35</v>
      </c>
      <c r="D70" s="1"/>
      <c r="E70" s="6">
        <v>13434</v>
      </c>
      <c r="F70" s="1" t="s">
        <v>84</v>
      </c>
      <c r="G70" s="1">
        <v>1969</v>
      </c>
      <c r="H70" s="1">
        <v>7</v>
      </c>
      <c r="I70" s="1" t="s">
        <v>38</v>
      </c>
      <c r="J70" s="1"/>
      <c r="K70" s="1" t="s">
        <v>90</v>
      </c>
      <c r="L70" s="1" t="s">
        <v>341</v>
      </c>
      <c r="M70" s="1" t="s">
        <v>205</v>
      </c>
      <c r="N70" s="1" t="s">
        <v>62</v>
      </c>
      <c r="O70" s="1" t="s">
        <v>62</v>
      </c>
      <c r="P70" s="1" t="s">
        <v>49</v>
      </c>
      <c r="Q70" s="1" t="s">
        <v>50</v>
      </c>
      <c r="R70" s="1">
        <v>2</v>
      </c>
      <c r="S70" s="1">
        <v>382</v>
      </c>
      <c r="T70" s="1">
        <v>0</v>
      </c>
      <c r="U70" s="1">
        <v>0</v>
      </c>
      <c r="V70" s="1" t="s">
        <v>342</v>
      </c>
    </row>
    <row r="71" spans="1:25" ht="13">
      <c r="A71" s="1" t="s">
        <v>343</v>
      </c>
      <c r="B71" s="1" t="s">
        <v>34</v>
      </c>
      <c r="C71" s="1" t="s">
        <v>35</v>
      </c>
      <c r="D71" s="1"/>
      <c r="E71" s="6">
        <v>12379</v>
      </c>
      <c r="F71" s="1" t="s">
        <v>84</v>
      </c>
      <c r="G71" s="1">
        <v>1969</v>
      </c>
      <c r="H71" s="1">
        <v>7</v>
      </c>
      <c r="I71" s="1" t="s">
        <v>38</v>
      </c>
      <c r="J71" s="1"/>
      <c r="K71" s="1" t="s">
        <v>90</v>
      </c>
      <c r="L71" s="1" t="s">
        <v>344</v>
      </c>
      <c r="M71" s="1" t="s">
        <v>345</v>
      </c>
      <c r="N71" s="1" t="s">
        <v>158</v>
      </c>
      <c r="O71" s="1" t="s">
        <v>346</v>
      </c>
      <c r="P71" s="1" t="s">
        <v>49</v>
      </c>
      <c r="Q71" s="1" t="s">
        <v>50</v>
      </c>
      <c r="R71" s="1">
        <v>3</v>
      </c>
      <c r="S71" s="1">
        <v>482</v>
      </c>
      <c r="T71" s="1">
        <v>0</v>
      </c>
      <c r="U71" s="1">
        <v>0</v>
      </c>
      <c r="V71" s="1" t="s">
        <v>347</v>
      </c>
    </row>
    <row r="72" spans="1:25" ht="13">
      <c r="A72" s="1" t="s">
        <v>348</v>
      </c>
      <c r="B72" s="1" t="s">
        <v>34</v>
      </c>
      <c r="C72" s="1" t="s">
        <v>35</v>
      </c>
      <c r="D72" s="1"/>
      <c r="E72" s="6">
        <v>13345</v>
      </c>
      <c r="F72" s="1" t="s">
        <v>84</v>
      </c>
      <c r="G72" s="1">
        <v>1969</v>
      </c>
      <c r="H72" s="1">
        <v>7</v>
      </c>
      <c r="I72" s="1" t="s">
        <v>38</v>
      </c>
      <c r="J72" s="1"/>
      <c r="K72" s="1" t="s">
        <v>39</v>
      </c>
      <c r="L72" s="1" t="s">
        <v>349</v>
      </c>
      <c r="M72" s="1" t="s">
        <v>350</v>
      </c>
      <c r="N72" s="1" t="s">
        <v>158</v>
      </c>
      <c r="O72" s="1" t="s">
        <v>228</v>
      </c>
      <c r="P72" s="1" t="s">
        <v>49</v>
      </c>
      <c r="Q72" s="1" t="s">
        <v>56</v>
      </c>
      <c r="R72" s="1">
        <v>2</v>
      </c>
      <c r="S72" s="1">
        <v>290</v>
      </c>
      <c r="T72" s="1">
        <v>0</v>
      </c>
      <c r="U72" s="1">
        <v>0</v>
      </c>
      <c r="V72" s="1" t="s">
        <v>351</v>
      </c>
      <c r="W72" s="6">
        <v>35146</v>
      </c>
    </row>
    <row r="73" spans="1:25" ht="13">
      <c r="A73" s="1" t="s">
        <v>352</v>
      </c>
      <c r="B73" s="1" t="s">
        <v>34</v>
      </c>
      <c r="C73" s="1" t="s">
        <v>35</v>
      </c>
      <c r="D73" s="1"/>
      <c r="E73" s="6">
        <v>12349</v>
      </c>
      <c r="F73" s="1" t="s">
        <v>84</v>
      </c>
      <c r="G73" s="1">
        <v>1969</v>
      </c>
      <c r="H73" s="1">
        <v>7</v>
      </c>
      <c r="I73" s="1" t="s">
        <v>38</v>
      </c>
      <c r="J73" s="1"/>
      <c r="K73" s="1" t="s">
        <v>90</v>
      </c>
      <c r="L73" s="1" t="s">
        <v>353</v>
      </c>
      <c r="M73" s="1" t="s">
        <v>354</v>
      </c>
      <c r="O73" s="1" t="s">
        <v>132</v>
      </c>
      <c r="P73" s="1" t="s">
        <v>49</v>
      </c>
      <c r="Q73" s="1" t="s">
        <v>50</v>
      </c>
      <c r="R73" s="1">
        <v>1</v>
      </c>
      <c r="S73" s="1">
        <v>120</v>
      </c>
      <c r="T73" s="1">
        <v>1</v>
      </c>
      <c r="U73" s="1">
        <v>4</v>
      </c>
      <c r="V73" s="1" t="s">
        <v>355</v>
      </c>
    </row>
    <row r="74" spans="1:25" ht="13">
      <c r="A74" s="1" t="s">
        <v>356</v>
      </c>
      <c r="B74" s="1" t="s">
        <v>34</v>
      </c>
      <c r="C74" s="1" t="s">
        <v>35</v>
      </c>
      <c r="D74" s="1"/>
      <c r="E74" s="6">
        <v>13831</v>
      </c>
      <c r="F74" s="1" t="s">
        <v>36</v>
      </c>
      <c r="G74" s="1">
        <v>1969</v>
      </c>
      <c r="H74" s="1">
        <v>7</v>
      </c>
      <c r="I74" s="1" t="s">
        <v>38</v>
      </c>
      <c r="J74" s="1"/>
      <c r="K74" s="1" t="s">
        <v>90</v>
      </c>
      <c r="L74" s="1" t="s">
        <v>357</v>
      </c>
      <c r="M74" s="1" t="s">
        <v>121</v>
      </c>
      <c r="N74" s="1" t="s">
        <v>42</v>
      </c>
      <c r="P74" s="1" t="s">
        <v>358</v>
      </c>
      <c r="Q74" s="1" t="s">
        <v>44</v>
      </c>
      <c r="R74" s="1">
        <v>2</v>
      </c>
      <c r="S74" s="1">
        <v>199</v>
      </c>
      <c r="T74" s="1">
        <v>0</v>
      </c>
      <c r="U74" s="1">
        <v>0</v>
      </c>
      <c r="V74" s="1" t="s">
        <v>359</v>
      </c>
    </row>
    <row r="75" spans="1:25" ht="13">
      <c r="A75" s="1" t="s">
        <v>360</v>
      </c>
      <c r="B75" s="1" t="s">
        <v>34</v>
      </c>
      <c r="C75" s="1" t="s">
        <v>361</v>
      </c>
      <c r="D75" s="1"/>
      <c r="E75" s="6">
        <v>15667</v>
      </c>
      <c r="F75" s="1" t="s">
        <v>124</v>
      </c>
      <c r="G75" s="1">
        <v>1978</v>
      </c>
      <c r="H75" s="1">
        <v>8</v>
      </c>
      <c r="I75" s="1" t="s">
        <v>38</v>
      </c>
      <c r="J75" s="1"/>
      <c r="K75" s="1" t="s">
        <v>90</v>
      </c>
      <c r="L75" s="1" t="s">
        <v>95</v>
      </c>
      <c r="M75" s="1" t="s">
        <v>362</v>
      </c>
      <c r="N75" s="1" t="s">
        <v>87</v>
      </c>
      <c r="O75" s="1" t="s">
        <v>363</v>
      </c>
      <c r="P75" s="1" t="s">
        <v>49</v>
      </c>
      <c r="Q75" s="1" t="s">
        <v>50</v>
      </c>
      <c r="R75" s="1">
        <v>4</v>
      </c>
      <c r="S75" s="1">
        <v>689</v>
      </c>
      <c r="T75" s="1">
        <v>0</v>
      </c>
      <c r="U75" s="1">
        <v>0</v>
      </c>
      <c r="V75" s="1" t="s">
        <v>364</v>
      </c>
    </row>
    <row r="76" spans="1:25" ht="13">
      <c r="A76" s="1" t="s">
        <v>365</v>
      </c>
      <c r="B76" s="1" t="s">
        <v>34</v>
      </c>
      <c r="C76" s="1" t="s">
        <v>35</v>
      </c>
      <c r="D76" s="1"/>
      <c r="E76" s="6">
        <v>15723</v>
      </c>
      <c r="F76" s="1" t="s">
        <v>36</v>
      </c>
      <c r="G76" s="1">
        <v>1978</v>
      </c>
      <c r="H76" s="1">
        <v>8</v>
      </c>
      <c r="I76" s="1" t="s">
        <v>38</v>
      </c>
      <c r="J76" s="1"/>
      <c r="K76" s="1" t="s">
        <v>90</v>
      </c>
      <c r="L76" s="1" t="s">
        <v>366</v>
      </c>
      <c r="M76" s="1" t="s">
        <v>367</v>
      </c>
      <c r="N76" s="1" t="s">
        <v>289</v>
      </c>
      <c r="P76" s="1" t="s">
        <v>71</v>
      </c>
      <c r="Q76" s="1" t="s">
        <v>44</v>
      </c>
      <c r="R76" s="1">
        <v>4</v>
      </c>
      <c r="S76" s="1">
        <v>789</v>
      </c>
      <c r="T76" s="1">
        <v>0</v>
      </c>
      <c r="U76" s="1">
        <v>0</v>
      </c>
      <c r="V76" s="1" t="s">
        <v>368</v>
      </c>
    </row>
    <row r="77" spans="1:25" ht="13">
      <c r="A77" s="1" t="s">
        <v>369</v>
      </c>
      <c r="B77" s="1" t="s">
        <v>34</v>
      </c>
      <c r="C77" s="1" t="s">
        <v>35</v>
      </c>
      <c r="D77" s="1"/>
      <c r="E77" s="6">
        <v>16608</v>
      </c>
      <c r="F77" s="1" t="s">
        <v>84</v>
      </c>
      <c r="G77" s="1">
        <v>1978</v>
      </c>
      <c r="H77" s="1">
        <v>8</v>
      </c>
      <c r="I77" s="1" t="s">
        <v>38</v>
      </c>
      <c r="J77" s="1"/>
      <c r="K77" s="1" t="s">
        <v>90</v>
      </c>
      <c r="L77" s="1" t="s">
        <v>370</v>
      </c>
      <c r="M77" s="1" t="s">
        <v>371</v>
      </c>
      <c r="N77" s="1" t="s">
        <v>42</v>
      </c>
      <c r="O77" s="1" t="s">
        <v>372</v>
      </c>
      <c r="P77" s="1" t="s">
        <v>49</v>
      </c>
      <c r="Q77" s="1" t="s">
        <v>56</v>
      </c>
      <c r="R77" s="1">
        <v>4</v>
      </c>
      <c r="S77" s="1">
        <v>490</v>
      </c>
      <c r="T77" s="1">
        <v>0</v>
      </c>
      <c r="U77" s="1">
        <v>0</v>
      </c>
      <c r="V77" s="1" t="s">
        <v>373</v>
      </c>
    </row>
    <row r="78" spans="1:25" ht="13">
      <c r="A78" s="1" t="s">
        <v>374</v>
      </c>
      <c r="B78" s="1" t="s">
        <v>34</v>
      </c>
      <c r="C78" s="1" t="s">
        <v>35</v>
      </c>
      <c r="D78" s="1"/>
      <c r="E78" s="6">
        <v>16818</v>
      </c>
      <c r="F78" s="1" t="s">
        <v>84</v>
      </c>
      <c r="G78" s="1">
        <v>1978</v>
      </c>
      <c r="H78" s="1">
        <v>8</v>
      </c>
      <c r="I78" s="1" t="s">
        <v>38</v>
      </c>
      <c r="J78" s="1"/>
      <c r="K78" s="1" t="s">
        <v>90</v>
      </c>
      <c r="L78" s="1" t="s">
        <v>375</v>
      </c>
      <c r="M78" s="1" t="s">
        <v>376</v>
      </c>
      <c r="O78" s="1" t="s">
        <v>377</v>
      </c>
      <c r="P78" s="1" t="s">
        <v>71</v>
      </c>
      <c r="Q78" s="1" t="s">
        <v>44</v>
      </c>
      <c r="R78" s="1">
        <v>3</v>
      </c>
      <c r="S78" s="1">
        <v>463</v>
      </c>
      <c r="T78" s="1">
        <v>0</v>
      </c>
      <c r="U78" s="1">
        <v>0</v>
      </c>
      <c r="V78" s="1" t="s">
        <v>378</v>
      </c>
    </row>
    <row r="79" spans="1:25" ht="13">
      <c r="A79" s="1" t="s">
        <v>379</v>
      </c>
      <c r="B79" s="1" t="s">
        <v>34</v>
      </c>
      <c r="C79" s="1" t="s">
        <v>35</v>
      </c>
      <c r="D79" s="1"/>
      <c r="E79" s="6">
        <v>17015</v>
      </c>
      <c r="F79" s="1" t="s">
        <v>84</v>
      </c>
      <c r="G79" s="1">
        <v>1978</v>
      </c>
      <c r="H79" s="1">
        <v>8</v>
      </c>
      <c r="I79" s="1" t="s">
        <v>38</v>
      </c>
      <c r="J79" s="1"/>
      <c r="K79" s="1" t="s">
        <v>90</v>
      </c>
      <c r="L79" s="1" t="s">
        <v>380</v>
      </c>
      <c r="M79" s="1" t="s">
        <v>381</v>
      </c>
      <c r="N79" s="1" t="s">
        <v>346</v>
      </c>
      <c r="O79" s="1" t="s">
        <v>175</v>
      </c>
      <c r="P79" s="1" t="s">
        <v>49</v>
      </c>
      <c r="Q79" s="1" t="s">
        <v>50</v>
      </c>
      <c r="R79" s="1">
        <v>4</v>
      </c>
      <c r="S79" s="1">
        <v>645</v>
      </c>
      <c r="T79" s="1">
        <v>0</v>
      </c>
      <c r="U79" s="1">
        <v>0</v>
      </c>
      <c r="V79" s="1" t="s">
        <v>382</v>
      </c>
    </row>
    <row r="80" spans="1:25" ht="13">
      <c r="A80" s="1" t="s">
        <v>383</v>
      </c>
      <c r="B80" s="1" t="s">
        <v>34</v>
      </c>
      <c r="C80" s="1" t="s">
        <v>35</v>
      </c>
      <c r="D80" s="1"/>
      <c r="E80" s="6">
        <v>15824</v>
      </c>
      <c r="F80" s="1" t="s">
        <v>84</v>
      </c>
      <c r="G80" s="1">
        <v>1978</v>
      </c>
      <c r="H80" s="1">
        <v>8</v>
      </c>
      <c r="I80" s="1" t="s">
        <v>38</v>
      </c>
      <c r="J80" s="1"/>
      <c r="K80" s="1" t="s">
        <v>90</v>
      </c>
      <c r="L80" s="1" t="s">
        <v>384</v>
      </c>
      <c r="M80" s="1" t="s">
        <v>385</v>
      </c>
      <c r="O80" s="1" t="s">
        <v>386</v>
      </c>
      <c r="P80" s="1" t="s">
        <v>71</v>
      </c>
      <c r="Q80" s="1" t="s">
        <v>44</v>
      </c>
      <c r="R80" s="1">
        <v>3</v>
      </c>
      <c r="S80" s="1">
        <v>404</v>
      </c>
      <c r="T80" s="1">
        <v>0</v>
      </c>
      <c r="U80" s="1">
        <v>0</v>
      </c>
      <c r="V80" s="1" t="s">
        <v>387</v>
      </c>
    </row>
    <row r="81" spans="1:24" ht="13">
      <c r="A81" s="1" t="s">
        <v>388</v>
      </c>
      <c r="B81" s="1" t="s">
        <v>34</v>
      </c>
      <c r="C81" s="1" t="s">
        <v>35</v>
      </c>
      <c r="D81" s="1"/>
      <c r="E81" s="6">
        <v>14273</v>
      </c>
      <c r="F81" s="1" t="s">
        <v>124</v>
      </c>
      <c r="G81" s="1">
        <v>1978</v>
      </c>
      <c r="H81" s="1">
        <v>8</v>
      </c>
      <c r="I81" s="1" t="s">
        <v>38</v>
      </c>
      <c r="J81" s="1"/>
      <c r="K81" s="1" t="s">
        <v>90</v>
      </c>
      <c r="L81" s="1" t="s">
        <v>389</v>
      </c>
      <c r="M81" s="1" t="s">
        <v>390</v>
      </c>
      <c r="N81" s="1" t="s">
        <v>62</v>
      </c>
      <c r="O81" s="1" t="s">
        <v>391</v>
      </c>
      <c r="P81" s="1" t="s">
        <v>49</v>
      </c>
      <c r="Q81" s="1" t="s">
        <v>50</v>
      </c>
      <c r="R81" s="1">
        <v>2</v>
      </c>
      <c r="S81" s="1">
        <v>316</v>
      </c>
      <c r="T81" s="1">
        <v>0</v>
      </c>
      <c r="U81" s="1">
        <v>0</v>
      </c>
      <c r="V81" s="1" t="s">
        <v>392</v>
      </c>
    </row>
    <row r="82" spans="1:24" ht="13">
      <c r="A82" s="1" t="s">
        <v>397</v>
      </c>
      <c r="B82" s="1" t="s">
        <v>34</v>
      </c>
      <c r="C82" s="1" t="s">
        <v>35</v>
      </c>
      <c r="D82" s="1"/>
      <c r="E82" s="6">
        <v>17845</v>
      </c>
      <c r="F82" s="1" t="s">
        <v>36</v>
      </c>
      <c r="G82" s="1">
        <v>1978</v>
      </c>
      <c r="H82" s="1">
        <v>8</v>
      </c>
      <c r="I82" s="1" t="s">
        <v>38</v>
      </c>
      <c r="J82" s="1"/>
      <c r="K82" s="1" t="s">
        <v>90</v>
      </c>
      <c r="L82" s="1" t="s">
        <v>398</v>
      </c>
      <c r="M82" s="1" t="s">
        <v>399</v>
      </c>
      <c r="N82" s="1" t="s">
        <v>400</v>
      </c>
      <c r="P82" s="1" t="s">
        <v>71</v>
      </c>
      <c r="Q82" s="1" t="s">
        <v>44</v>
      </c>
      <c r="R82" s="1">
        <v>2</v>
      </c>
      <c r="S82" s="1">
        <v>336</v>
      </c>
      <c r="T82" s="1">
        <v>2</v>
      </c>
      <c r="U82" s="1">
        <v>12</v>
      </c>
      <c r="V82" s="1" t="s">
        <v>401</v>
      </c>
    </row>
    <row r="83" spans="1:24" ht="13">
      <c r="A83" s="1" t="s">
        <v>402</v>
      </c>
      <c r="B83" s="1" t="s">
        <v>34</v>
      </c>
      <c r="C83" s="1" t="s">
        <v>35</v>
      </c>
      <c r="D83" s="1"/>
      <c r="E83" s="6">
        <v>17105</v>
      </c>
      <c r="F83" s="1" t="s">
        <v>36</v>
      </c>
      <c r="G83" s="1">
        <v>1978</v>
      </c>
      <c r="H83" s="1">
        <v>8</v>
      </c>
      <c r="I83" s="1" t="s">
        <v>38</v>
      </c>
      <c r="J83" s="1"/>
      <c r="K83" s="1" t="s">
        <v>90</v>
      </c>
      <c r="L83" s="1" t="s">
        <v>403</v>
      </c>
      <c r="M83" s="1" t="s">
        <v>404</v>
      </c>
      <c r="N83" s="1" t="s">
        <v>42</v>
      </c>
      <c r="P83" s="1" t="s">
        <v>71</v>
      </c>
      <c r="Q83" s="1" t="s">
        <v>44</v>
      </c>
      <c r="R83" s="1">
        <v>5</v>
      </c>
      <c r="S83" s="1">
        <v>868</v>
      </c>
      <c r="T83" s="1">
        <v>0</v>
      </c>
      <c r="U83" s="1">
        <v>0</v>
      </c>
      <c r="V83" s="1" t="s">
        <v>405</v>
      </c>
    </row>
    <row r="84" spans="1:24" ht="13">
      <c r="A84" s="1" t="s">
        <v>406</v>
      </c>
      <c r="B84" s="1" t="s">
        <v>34</v>
      </c>
      <c r="C84" s="1" t="s">
        <v>35</v>
      </c>
      <c r="D84" s="1"/>
      <c r="E84" s="6">
        <v>14983</v>
      </c>
      <c r="F84" s="1" t="s">
        <v>84</v>
      </c>
      <c r="G84" s="1">
        <v>1978</v>
      </c>
      <c r="H84" s="1">
        <v>8</v>
      </c>
      <c r="I84" s="1" t="s">
        <v>38</v>
      </c>
      <c r="J84" s="1"/>
      <c r="K84" s="1" t="s">
        <v>90</v>
      </c>
      <c r="L84" s="1" t="s">
        <v>407</v>
      </c>
      <c r="M84" s="1" t="s">
        <v>408</v>
      </c>
      <c r="O84" s="1" t="s">
        <v>409</v>
      </c>
      <c r="P84" s="1" t="s">
        <v>49</v>
      </c>
      <c r="Q84" s="1" t="s">
        <v>50</v>
      </c>
      <c r="R84" s="1">
        <v>3</v>
      </c>
      <c r="S84" s="1">
        <v>455</v>
      </c>
      <c r="T84" s="1">
        <v>0</v>
      </c>
      <c r="U84" s="1">
        <v>0</v>
      </c>
      <c r="V84" s="1" t="s">
        <v>410</v>
      </c>
    </row>
    <row r="85" spans="1:24" ht="13">
      <c r="A85" s="1" t="s">
        <v>411</v>
      </c>
      <c r="B85" s="1" t="s">
        <v>34</v>
      </c>
      <c r="C85" s="1" t="s">
        <v>35</v>
      </c>
      <c r="D85" s="1"/>
      <c r="E85" s="6">
        <v>14495</v>
      </c>
      <c r="F85" s="1" t="s">
        <v>84</v>
      </c>
      <c r="G85" s="1">
        <v>1978</v>
      </c>
      <c r="H85" s="1">
        <v>8</v>
      </c>
      <c r="I85" s="1" t="s">
        <v>38</v>
      </c>
      <c r="J85" s="1"/>
      <c r="K85" s="1" t="s">
        <v>39</v>
      </c>
      <c r="L85" s="1" t="s">
        <v>412</v>
      </c>
      <c r="M85" s="1" t="s">
        <v>385</v>
      </c>
      <c r="O85" s="1" t="s">
        <v>216</v>
      </c>
      <c r="R85" s="1">
        <v>1</v>
      </c>
      <c r="S85" s="1">
        <v>167</v>
      </c>
      <c r="T85" s="1">
        <v>1</v>
      </c>
      <c r="U85" s="1">
        <v>3</v>
      </c>
      <c r="V85" s="1" t="s">
        <v>413</v>
      </c>
      <c r="W85" s="6">
        <v>32676</v>
      </c>
    </row>
    <row r="86" spans="1:24" ht="13">
      <c r="A86" s="1" t="s">
        <v>414</v>
      </c>
      <c r="B86" s="1" t="s">
        <v>34</v>
      </c>
      <c r="C86" s="1" t="s">
        <v>35</v>
      </c>
      <c r="D86" s="1"/>
      <c r="E86" s="6">
        <v>17102</v>
      </c>
      <c r="F86" s="1" t="s">
        <v>84</v>
      </c>
      <c r="G86" s="1">
        <v>1978</v>
      </c>
      <c r="H86" s="1">
        <v>8</v>
      </c>
      <c r="I86" s="1" t="s">
        <v>38</v>
      </c>
      <c r="J86" s="1"/>
      <c r="K86" s="1" t="s">
        <v>90</v>
      </c>
      <c r="L86" s="1" t="s">
        <v>245</v>
      </c>
      <c r="M86" s="1" t="s">
        <v>415</v>
      </c>
      <c r="N86" s="1" t="s">
        <v>62</v>
      </c>
      <c r="O86" s="1" t="s">
        <v>416</v>
      </c>
      <c r="R86" s="1">
        <v>1</v>
      </c>
      <c r="S86" s="1">
        <v>167</v>
      </c>
      <c r="T86" s="1">
        <v>0</v>
      </c>
      <c r="U86" s="1">
        <v>0</v>
      </c>
      <c r="V86" s="1" t="s">
        <v>417</v>
      </c>
    </row>
    <row r="87" spans="1:24" ht="13">
      <c r="A87" s="1" t="s">
        <v>418</v>
      </c>
      <c r="B87" s="1" t="s">
        <v>34</v>
      </c>
      <c r="C87" s="1" t="s">
        <v>35</v>
      </c>
      <c r="D87" s="1"/>
      <c r="E87" s="6">
        <v>15077</v>
      </c>
      <c r="F87" s="1" t="s">
        <v>84</v>
      </c>
      <c r="G87" s="1">
        <v>1978</v>
      </c>
      <c r="H87" s="1">
        <v>8</v>
      </c>
      <c r="I87" s="1" t="s">
        <v>38</v>
      </c>
      <c r="J87" s="1"/>
      <c r="K87" s="1" t="s">
        <v>90</v>
      </c>
      <c r="L87" s="1" t="s">
        <v>419</v>
      </c>
      <c r="M87" s="1" t="s">
        <v>420</v>
      </c>
      <c r="N87" s="1" t="s">
        <v>158</v>
      </c>
      <c r="O87" s="1" t="s">
        <v>132</v>
      </c>
      <c r="P87" s="1" t="s">
        <v>71</v>
      </c>
      <c r="Q87" s="1" t="s">
        <v>44</v>
      </c>
      <c r="R87" s="1">
        <v>3</v>
      </c>
      <c r="S87" s="1">
        <v>435</v>
      </c>
      <c r="T87" s="1">
        <v>0</v>
      </c>
      <c r="U87" s="1">
        <v>0</v>
      </c>
      <c r="V87" s="1" t="s">
        <v>421</v>
      </c>
    </row>
    <row r="88" spans="1:24" ht="13">
      <c r="A88" s="1" t="s">
        <v>422</v>
      </c>
      <c r="B88" s="1" t="s">
        <v>34</v>
      </c>
      <c r="C88" s="1" t="s">
        <v>35</v>
      </c>
      <c r="D88" s="1"/>
      <c r="E88" s="6">
        <v>18974</v>
      </c>
      <c r="F88" s="1" t="s">
        <v>124</v>
      </c>
      <c r="G88" s="1">
        <v>1978</v>
      </c>
      <c r="H88" s="1">
        <v>8</v>
      </c>
      <c r="I88" s="1" t="s">
        <v>38</v>
      </c>
      <c r="J88" s="1"/>
      <c r="K88" s="1" t="s">
        <v>90</v>
      </c>
      <c r="L88" s="1" t="s">
        <v>423</v>
      </c>
      <c r="M88" s="1" t="s">
        <v>424</v>
      </c>
      <c r="N88" s="1" t="s">
        <v>328</v>
      </c>
      <c r="O88" s="1" t="s">
        <v>425</v>
      </c>
      <c r="R88" s="1">
        <v>5</v>
      </c>
      <c r="S88" s="1">
        <v>770</v>
      </c>
      <c r="T88" s="1">
        <v>0</v>
      </c>
      <c r="U88" s="1">
        <v>0</v>
      </c>
      <c r="V88" s="1" t="s">
        <v>426</v>
      </c>
    </row>
    <row r="89" spans="1:24" ht="13">
      <c r="A89" s="1" t="s">
        <v>427</v>
      </c>
      <c r="B89" s="1" t="s">
        <v>34</v>
      </c>
      <c r="C89" s="1" t="s">
        <v>35</v>
      </c>
      <c r="D89" s="1"/>
      <c r="E89" s="6">
        <v>16378</v>
      </c>
      <c r="F89" s="1" t="s">
        <v>124</v>
      </c>
      <c r="G89" s="1">
        <v>1978</v>
      </c>
      <c r="H89" s="1">
        <v>8</v>
      </c>
      <c r="I89" s="1" t="s">
        <v>38</v>
      </c>
      <c r="J89" s="1"/>
      <c r="K89" s="1" t="s">
        <v>90</v>
      </c>
      <c r="L89" s="1" t="s">
        <v>428</v>
      </c>
      <c r="M89" s="1" t="s">
        <v>429</v>
      </c>
      <c r="N89" s="1" t="s">
        <v>305</v>
      </c>
      <c r="O89" s="1" t="s">
        <v>430</v>
      </c>
      <c r="R89" s="1">
        <v>5</v>
      </c>
      <c r="S89" s="1">
        <v>1211</v>
      </c>
      <c r="T89" s="1">
        <v>4</v>
      </c>
      <c r="U89" s="1">
        <v>25</v>
      </c>
      <c r="V89" s="1" t="s">
        <v>431</v>
      </c>
    </row>
    <row r="90" spans="1:24" ht="13">
      <c r="A90" s="1" t="s">
        <v>436</v>
      </c>
      <c r="B90" s="1" t="s">
        <v>34</v>
      </c>
      <c r="C90" s="1" t="s">
        <v>35</v>
      </c>
      <c r="D90" s="1"/>
      <c r="E90" s="6">
        <v>15932</v>
      </c>
      <c r="F90" s="1" t="s">
        <v>36</v>
      </c>
      <c r="G90" s="1">
        <v>1978</v>
      </c>
      <c r="H90" s="1">
        <v>8</v>
      </c>
      <c r="I90" s="1" t="s">
        <v>38</v>
      </c>
      <c r="J90" s="1"/>
      <c r="K90" s="1" t="s">
        <v>90</v>
      </c>
      <c r="L90" s="1" t="s">
        <v>437</v>
      </c>
      <c r="M90" s="1" t="s">
        <v>438</v>
      </c>
      <c r="N90" s="1" t="s">
        <v>42</v>
      </c>
      <c r="P90" s="1" t="s">
        <v>71</v>
      </c>
      <c r="Q90" s="1" t="s">
        <v>44</v>
      </c>
      <c r="R90" s="1">
        <v>1</v>
      </c>
      <c r="S90" s="1">
        <v>197</v>
      </c>
      <c r="T90" s="1">
        <v>0</v>
      </c>
      <c r="U90" s="1">
        <v>0</v>
      </c>
      <c r="V90" s="1" t="s">
        <v>439</v>
      </c>
    </row>
    <row r="91" spans="1:24" ht="13">
      <c r="A91" s="1" t="s">
        <v>440</v>
      </c>
      <c r="B91" s="1" t="s">
        <v>34</v>
      </c>
      <c r="C91" s="1" t="s">
        <v>361</v>
      </c>
      <c r="D91" s="1"/>
      <c r="E91" s="6">
        <v>18557</v>
      </c>
      <c r="F91" s="1" t="s">
        <v>124</v>
      </c>
      <c r="G91" s="1">
        <v>1978</v>
      </c>
      <c r="H91" s="1">
        <v>8</v>
      </c>
      <c r="I91" s="1" t="s">
        <v>38</v>
      </c>
      <c r="J91" s="1"/>
      <c r="K91" s="1" t="s">
        <v>39</v>
      </c>
      <c r="L91" s="1" t="s">
        <v>441</v>
      </c>
      <c r="M91" s="1" t="s">
        <v>442</v>
      </c>
      <c r="N91" s="1" t="s">
        <v>158</v>
      </c>
      <c r="O91" s="1" t="s">
        <v>158</v>
      </c>
      <c r="R91" s="1">
        <v>2</v>
      </c>
      <c r="S91" s="1">
        <v>191</v>
      </c>
      <c r="T91" s="1">
        <v>0</v>
      </c>
      <c r="U91" s="1">
        <v>0</v>
      </c>
      <c r="V91" s="1" t="s">
        <v>443</v>
      </c>
      <c r="W91" s="6">
        <v>31440</v>
      </c>
      <c r="X91" s="1" t="s">
        <v>444</v>
      </c>
    </row>
    <row r="92" spans="1:24" ht="13">
      <c r="A92" s="1" t="s">
        <v>445</v>
      </c>
      <c r="B92" s="1" t="s">
        <v>34</v>
      </c>
      <c r="C92" s="1" t="s">
        <v>35</v>
      </c>
      <c r="D92" s="1"/>
      <c r="E92" s="6">
        <v>16690</v>
      </c>
      <c r="F92" s="1" t="s">
        <v>84</v>
      </c>
      <c r="G92" s="1">
        <v>1978</v>
      </c>
      <c r="H92" s="1">
        <v>8</v>
      </c>
      <c r="I92" s="1" t="s">
        <v>38</v>
      </c>
      <c r="J92" s="1"/>
      <c r="K92" s="1" t="s">
        <v>90</v>
      </c>
      <c r="L92" s="1" t="s">
        <v>446</v>
      </c>
      <c r="M92" s="1" t="s">
        <v>354</v>
      </c>
      <c r="N92" s="1" t="s">
        <v>447</v>
      </c>
      <c r="O92" s="1" t="s">
        <v>42</v>
      </c>
      <c r="P92" s="1" t="s">
        <v>49</v>
      </c>
      <c r="Q92" s="1" t="s">
        <v>50</v>
      </c>
      <c r="R92" s="1">
        <v>3</v>
      </c>
      <c r="S92" s="1">
        <v>356</v>
      </c>
      <c r="T92" s="1">
        <v>0</v>
      </c>
      <c r="U92" s="1">
        <v>0</v>
      </c>
      <c r="V92" s="1" t="s">
        <v>448</v>
      </c>
    </row>
    <row r="93" spans="1:24" ht="13">
      <c r="A93" s="1" t="s">
        <v>449</v>
      </c>
      <c r="B93" s="1" t="s">
        <v>34</v>
      </c>
      <c r="C93" s="1" t="s">
        <v>35</v>
      </c>
      <c r="D93" s="1"/>
      <c r="E93" s="6">
        <v>17102</v>
      </c>
      <c r="F93" s="1" t="s">
        <v>84</v>
      </c>
      <c r="G93" s="1">
        <v>1978</v>
      </c>
      <c r="H93" s="1">
        <v>8</v>
      </c>
      <c r="I93" s="1" t="s">
        <v>38</v>
      </c>
      <c r="J93" s="1"/>
      <c r="K93" s="1" t="s">
        <v>90</v>
      </c>
      <c r="L93" s="1" t="s">
        <v>450</v>
      </c>
      <c r="M93" s="1" t="s">
        <v>451</v>
      </c>
      <c r="N93" s="1" t="s">
        <v>87</v>
      </c>
      <c r="O93" s="1" t="s">
        <v>452</v>
      </c>
      <c r="P93" s="1" t="s">
        <v>49</v>
      </c>
      <c r="Q93" s="1" t="s">
        <v>50</v>
      </c>
      <c r="R93" s="1">
        <v>4</v>
      </c>
      <c r="S93" s="1">
        <v>721</v>
      </c>
      <c r="T93" s="1">
        <v>0</v>
      </c>
      <c r="U93" s="1">
        <v>0</v>
      </c>
      <c r="V93" s="1" t="s">
        <v>453</v>
      </c>
    </row>
    <row r="94" spans="1:24" ht="13">
      <c r="A94" s="1" t="s">
        <v>454</v>
      </c>
      <c r="B94" s="1" t="s">
        <v>34</v>
      </c>
      <c r="C94" s="1" t="s">
        <v>35</v>
      </c>
      <c r="D94" s="1"/>
      <c r="E94" s="6">
        <v>18457</v>
      </c>
      <c r="F94" s="1" t="s">
        <v>124</v>
      </c>
      <c r="G94" s="1">
        <v>1978</v>
      </c>
      <c r="H94" s="1">
        <v>8</v>
      </c>
      <c r="I94" s="1" t="s">
        <v>38</v>
      </c>
      <c r="J94" s="1"/>
      <c r="K94" s="1" t="s">
        <v>90</v>
      </c>
      <c r="L94" s="1" t="s">
        <v>455</v>
      </c>
      <c r="M94" s="1" t="s">
        <v>456</v>
      </c>
      <c r="N94" s="1" t="s">
        <v>158</v>
      </c>
      <c r="O94" s="1" t="s">
        <v>305</v>
      </c>
      <c r="R94" s="1">
        <v>3</v>
      </c>
      <c r="S94" s="1">
        <v>411</v>
      </c>
      <c r="T94" s="1">
        <v>2</v>
      </c>
      <c r="U94" s="1">
        <v>10</v>
      </c>
      <c r="V94" s="1" t="s">
        <v>457</v>
      </c>
    </row>
    <row r="95" spans="1:24" ht="13">
      <c r="A95" s="1" t="s">
        <v>458</v>
      </c>
      <c r="B95" s="1" t="s">
        <v>34</v>
      </c>
      <c r="C95" s="1" t="s">
        <v>459</v>
      </c>
      <c r="D95" s="1" t="s">
        <v>460</v>
      </c>
      <c r="E95" s="6">
        <v>16977</v>
      </c>
      <c r="F95" s="1" t="s">
        <v>84</v>
      </c>
      <c r="G95" s="1">
        <v>1978</v>
      </c>
      <c r="H95" s="1">
        <v>8</v>
      </c>
      <c r="I95" s="1" t="s">
        <v>38</v>
      </c>
      <c r="J95" s="1"/>
      <c r="K95" s="1" t="s">
        <v>39</v>
      </c>
      <c r="L95" s="1" t="s">
        <v>461</v>
      </c>
      <c r="M95" s="1" t="s">
        <v>41</v>
      </c>
      <c r="N95" s="1" t="s">
        <v>87</v>
      </c>
      <c r="O95" s="1" t="s">
        <v>87</v>
      </c>
      <c r="P95" s="1" t="s">
        <v>63</v>
      </c>
      <c r="Q95" s="1" t="s">
        <v>64</v>
      </c>
      <c r="R95" s="1">
        <v>2</v>
      </c>
      <c r="S95" s="1">
        <v>73</v>
      </c>
      <c r="T95" s="1">
        <v>0</v>
      </c>
      <c r="U95" s="1">
        <v>0</v>
      </c>
      <c r="V95" s="1" t="s">
        <v>462</v>
      </c>
      <c r="W95" s="6">
        <v>31440</v>
      </c>
      <c r="X95" s="1" t="s">
        <v>444</v>
      </c>
    </row>
    <row r="96" spans="1:24" ht="13">
      <c r="A96" s="1" t="s">
        <v>472</v>
      </c>
      <c r="B96" s="1" t="s">
        <v>34</v>
      </c>
      <c r="C96" s="1" t="s">
        <v>35</v>
      </c>
      <c r="D96" s="1"/>
      <c r="E96" s="6">
        <v>14384</v>
      </c>
      <c r="F96" s="1" t="s">
        <v>36</v>
      </c>
      <c r="G96" s="1">
        <v>1978</v>
      </c>
      <c r="H96" s="1">
        <v>8</v>
      </c>
      <c r="I96" s="1" t="s">
        <v>38</v>
      </c>
      <c r="J96" s="1"/>
      <c r="K96" s="1" t="s">
        <v>39</v>
      </c>
      <c r="L96" s="1" t="s">
        <v>473</v>
      </c>
      <c r="M96" s="1" t="s">
        <v>474</v>
      </c>
      <c r="N96" s="1" t="s">
        <v>87</v>
      </c>
      <c r="P96" s="1" t="s">
        <v>80</v>
      </c>
      <c r="Q96" s="1" t="s">
        <v>50</v>
      </c>
      <c r="R96" s="1">
        <v>2</v>
      </c>
      <c r="S96" s="1">
        <v>167</v>
      </c>
      <c r="T96" s="1">
        <v>0</v>
      </c>
      <c r="U96" s="1">
        <v>0</v>
      </c>
      <c r="V96" s="1" t="s">
        <v>475</v>
      </c>
      <c r="W96" s="6">
        <v>31440</v>
      </c>
      <c r="X96" s="1" t="s">
        <v>444</v>
      </c>
    </row>
    <row r="97" spans="1:23" ht="13">
      <c r="A97" s="1" t="s">
        <v>481</v>
      </c>
      <c r="B97" s="1" t="s">
        <v>34</v>
      </c>
      <c r="C97" s="1" t="s">
        <v>35</v>
      </c>
      <c r="D97" s="1"/>
      <c r="E97" s="6">
        <v>16573</v>
      </c>
      <c r="F97" s="1" t="s">
        <v>84</v>
      </c>
      <c r="G97" s="1">
        <v>1978</v>
      </c>
      <c r="H97" s="1">
        <v>8</v>
      </c>
      <c r="I97" s="1" t="s">
        <v>38</v>
      </c>
      <c r="J97" s="1"/>
      <c r="K97" s="1" t="s">
        <v>90</v>
      </c>
      <c r="L97" s="1" t="s">
        <v>482</v>
      </c>
      <c r="M97" s="1" t="s">
        <v>367</v>
      </c>
      <c r="N97" s="1" t="s">
        <v>483</v>
      </c>
      <c r="O97" s="1" t="s">
        <v>483</v>
      </c>
      <c r="P97" s="1" t="s">
        <v>49</v>
      </c>
      <c r="Q97" s="1" t="s">
        <v>50</v>
      </c>
      <c r="R97" s="1">
        <v>3</v>
      </c>
      <c r="S97" s="1">
        <v>533</v>
      </c>
      <c r="T97" s="1">
        <v>0</v>
      </c>
      <c r="U97" s="1">
        <v>0</v>
      </c>
      <c r="V97" s="1" t="s">
        <v>484</v>
      </c>
    </row>
    <row r="98" spans="1:23" ht="13">
      <c r="A98" s="1" t="s">
        <v>485</v>
      </c>
      <c r="B98" s="1" t="s">
        <v>34</v>
      </c>
      <c r="C98" s="1" t="s">
        <v>35</v>
      </c>
      <c r="D98" s="1"/>
      <c r="E98" s="6">
        <v>16338</v>
      </c>
      <c r="F98" s="1" t="s">
        <v>84</v>
      </c>
      <c r="G98" s="1">
        <v>1978</v>
      </c>
      <c r="H98" s="1">
        <v>8</v>
      </c>
      <c r="I98" s="1" t="s">
        <v>38</v>
      </c>
      <c r="J98" s="1"/>
      <c r="K98" s="1" t="s">
        <v>90</v>
      </c>
      <c r="L98" s="1" t="s">
        <v>486</v>
      </c>
      <c r="M98" s="1" t="s">
        <v>381</v>
      </c>
      <c r="N98" s="1" t="s">
        <v>42</v>
      </c>
      <c r="O98" s="1" t="s">
        <v>104</v>
      </c>
      <c r="P98" s="1" t="s">
        <v>49</v>
      </c>
      <c r="Q98" s="1" t="s">
        <v>50</v>
      </c>
      <c r="R98" s="1">
        <v>3</v>
      </c>
      <c r="S98" s="1">
        <v>386</v>
      </c>
      <c r="T98" s="1">
        <v>0</v>
      </c>
      <c r="U98" s="1">
        <v>0</v>
      </c>
      <c r="V98" s="1" t="s">
        <v>487</v>
      </c>
    </row>
    <row r="99" spans="1:23" ht="13">
      <c r="A99" s="1" t="s">
        <v>488</v>
      </c>
      <c r="B99" s="1" t="s">
        <v>34</v>
      </c>
      <c r="C99" s="1" t="s">
        <v>35</v>
      </c>
      <c r="D99" s="1"/>
      <c r="E99" s="6">
        <v>15566</v>
      </c>
      <c r="F99" s="1" t="s">
        <v>84</v>
      </c>
      <c r="G99" s="1">
        <v>1978</v>
      </c>
      <c r="H99" s="1">
        <v>8</v>
      </c>
      <c r="I99" s="1" t="s">
        <v>38</v>
      </c>
      <c r="J99" s="1"/>
      <c r="K99" s="1" t="s">
        <v>90</v>
      </c>
      <c r="L99" s="1" t="s">
        <v>407</v>
      </c>
      <c r="M99" s="1" t="s">
        <v>489</v>
      </c>
      <c r="N99" s="1" t="s">
        <v>272</v>
      </c>
      <c r="O99" s="1" t="s">
        <v>87</v>
      </c>
      <c r="P99" s="1" t="s">
        <v>105</v>
      </c>
      <c r="Q99" s="1" t="s">
        <v>490</v>
      </c>
      <c r="R99" s="1">
        <v>2</v>
      </c>
      <c r="S99" s="1">
        <v>289</v>
      </c>
      <c r="T99" s="1">
        <v>2</v>
      </c>
      <c r="U99" s="1">
        <v>12</v>
      </c>
      <c r="V99" s="1" t="s">
        <v>491</v>
      </c>
    </row>
    <row r="100" spans="1:23" ht="13">
      <c r="A100" s="1" t="s">
        <v>498</v>
      </c>
      <c r="B100" s="1" t="s">
        <v>34</v>
      </c>
      <c r="C100" s="1" t="s">
        <v>35</v>
      </c>
      <c r="D100" s="1"/>
      <c r="E100" s="6">
        <v>15890</v>
      </c>
      <c r="F100" s="1" t="s">
        <v>84</v>
      </c>
      <c r="G100" s="1">
        <v>1978</v>
      </c>
      <c r="H100" s="1">
        <v>8</v>
      </c>
      <c r="I100" s="1" t="s">
        <v>38</v>
      </c>
      <c r="J100" s="1"/>
      <c r="K100" s="1" t="s">
        <v>90</v>
      </c>
      <c r="L100" s="1" t="s">
        <v>499</v>
      </c>
      <c r="M100" s="1" t="s">
        <v>500</v>
      </c>
      <c r="N100" s="1" t="s">
        <v>346</v>
      </c>
      <c r="O100" s="1" t="s">
        <v>501</v>
      </c>
      <c r="R100" s="1">
        <v>5</v>
      </c>
      <c r="S100" s="1">
        <v>3373</v>
      </c>
      <c r="T100" s="1">
        <v>0</v>
      </c>
      <c r="U100" s="1">
        <v>0</v>
      </c>
      <c r="V100" s="1" t="s">
        <v>502</v>
      </c>
    </row>
    <row r="101" spans="1:23" ht="13">
      <c r="A101" s="1" t="s">
        <v>503</v>
      </c>
      <c r="B101" s="1" t="s">
        <v>34</v>
      </c>
      <c r="C101" s="1" t="s">
        <v>35</v>
      </c>
      <c r="D101" s="1"/>
      <c r="E101" s="6">
        <v>16234</v>
      </c>
      <c r="F101" s="1" t="s">
        <v>124</v>
      </c>
      <c r="G101" s="1">
        <v>1978</v>
      </c>
      <c r="H101" s="1">
        <v>8</v>
      </c>
      <c r="I101" s="1" t="s">
        <v>38</v>
      </c>
      <c r="J101" s="1"/>
      <c r="K101" s="1" t="s">
        <v>90</v>
      </c>
      <c r="L101" s="1" t="s">
        <v>504</v>
      </c>
      <c r="M101" s="1" t="s">
        <v>505</v>
      </c>
      <c r="N101" s="1" t="s">
        <v>506</v>
      </c>
      <c r="O101" s="1" t="s">
        <v>507</v>
      </c>
      <c r="R101" s="1">
        <v>2</v>
      </c>
      <c r="S101" s="1">
        <v>338</v>
      </c>
      <c r="T101" s="1">
        <v>4</v>
      </c>
      <c r="U101" s="1">
        <v>22</v>
      </c>
      <c r="V101" s="1" t="s">
        <v>508</v>
      </c>
    </row>
    <row r="102" spans="1:23" ht="13">
      <c r="A102" s="1" t="s">
        <v>509</v>
      </c>
      <c r="B102" s="1" t="s">
        <v>34</v>
      </c>
      <c r="C102" s="1" t="s">
        <v>35</v>
      </c>
      <c r="D102" s="1"/>
      <c r="E102" s="6">
        <v>16212</v>
      </c>
      <c r="F102" s="1" t="s">
        <v>36</v>
      </c>
      <c r="G102" s="1">
        <v>1978</v>
      </c>
      <c r="H102" s="1">
        <v>8</v>
      </c>
      <c r="I102" s="1" t="s">
        <v>38</v>
      </c>
      <c r="J102" s="1"/>
      <c r="K102" s="1" t="s">
        <v>39</v>
      </c>
      <c r="L102" s="1" t="s">
        <v>510</v>
      </c>
      <c r="M102" s="1" t="s">
        <v>69</v>
      </c>
      <c r="N102" s="1" t="s">
        <v>70</v>
      </c>
      <c r="P102" s="1" t="s">
        <v>71</v>
      </c>
      <c r="Q102" s="1" t="s">
        <v>44</v>
      </c>
      <c r="R102" s="1">
        <v>4</v>
      </c>
      <c r="S102" s="1">
        <v>724</v>
      </c>
      <c r="T102" s="1">
        <v>0</v>
      </c>
      <c r="U102" s="1">
        <v>0</v>
      </c>
      <c r="V102" s="1" t="s">
        <v>511</v>
      </c>
      <c r="W102" s="6">
        <v>37004</v>
      </c>
    </row>
    <row r="103" spans="1:23" ht="13">
      <c r="A103" s="1" t="s">
        <v>512</v>
      </c>
      <c r="B103" s="1" t="s">
        <v>34</v>
      </c>
      <c r="C103" s="1" t="s">
        <v>35</v>
      </c>
      <c r="D103" s="1"/>
      <c r="E103" s="6">
        <v>21229</v>
      </c>
      <c r="F103" s="1" t="s">
        <v>36</v>
      </c>
      <c r="G103" s="1">
        <v>1978</v>
      </c>
      <c r="H103" s="1">
        <v>8</v>
      </c>
      <c r="I103" s="1" t="s">
        <v>38</v>
      </c>
      <c r="J103" s="1"/>
      <c r="K103" s="1" t="s">
        <v>90</v>
      </c>
      <c r="L103" s="1" t="s">
        <v>513</v>
      </c>
      <c r="M103" s="1" t="s">
        <v>61</v>
      </c>
      <c r="N103" s="1" t="s">
        <v>62</v>
      </c>
      <c r="P103" s="1" t="s">
        <v>71</v>
      </c>
      <c r="Q103" s="1" t="s">
        <v>44</v>
      </c>
      <c r="R103" s="1">
        <v>2</v>
      </c>
      <c r="S103" s="1">
        <v>287</v>
      </c>
      <c r="T103" s="1">
        <v>0</v>
      </c>
      <c r="U103" s="1">
        <v>0</v>
      </c>
      <c r="V103" s="1" t="s">
        <v>514</v>
      </c>
    </row>
    <row r="104" spans="1:23" ht="13">
      <c r="A104" s="1" t="s">
        <v>515</v>
      </c>
      <c r="B104" s="1" t="s">
        <v>34</v>
      </c>
      <c r="C104" s="1" t="s">
        <v>35</v>
      </c>
      <c r="D104" s="1"/>
      <c r="E104" s="6">
        <v>19046</v>
      </c>
      <c r="F104" s="1" t="s">
        <v>124</v>
      </c>
      <c r="G104" s="1">
        <v>1980</v>
      </c>
      <c r="H104" s="1">
        <v>9</v>
      </c>
      <c r="I104" s="1" t="s">
        <v>38</v>
      </c>
      <c r="J104" s="1"/>
      <c r="K104" s="1" t="s">
        <v>90</v>
      </c>
      <c r="L104" s="1" t="s">
        <v>95</v>
      </c>
      <c r="M104" s="1" t="s">
        <v>516</v>
      </c>
      <c r="N104" s="1" t="s">
        <v>62</v>
      </c>
      <c r="O104" s="1" t="s">
        <v>201</v>
      </c>
      <c r="R104" s="1">
        <v>2</v>
      </c>
      <c r="S104" s="1">
        <v>337</v>
      </c>
      <c r="T104" s="1">
        <v>0</v>
      </c>
      <c r="U104" s="1">
        <v>0</v>
      </c>
      <c r="V104" s="1" t="s">
        <v>517</v>
      </c>
    </row>
    <row r="105" spans="1:23" ht="13">
      <c r="A105" s="1" t="s">
        <v>518</v>
      </c>
      <c r="B105" s="1" t="s">
        <v>34</v>
      </c>
      <c r="C105" s="1" t="s">
        <v>35</v>
      </c>
      <c r="D105" s="1"/>
      <c r="E105" s="6">
        <v>15579</v>
      </c>
      <c r="F105" s="1" t="s">
        <v>84</v>
      </c>
      <c r="G105" s="1">
        <v>1980</v>
      </c>
      <c r="H105" s="1">
        <v>9</v>
      </c>
      <c r="I105" s="1" t="s">
        <v>38</v>
      </c>
      <c r="J105" s="1"/>
      <c r="K105" s="1" t="s">
        <v>90</v>
      </c>
      <c r="L105" s="1" t="s">
        <v>116</v>
      </c>
      <c r="M105" s="1" t="s">
        <v>381</v>
      </c>
      <c r="N105" s="1" t="s">
        <v>346</v>
      </c>
      <c r="O105" s="1" t="s">
        <v>104</v>
      </c>
      <c r="P105" s="1" t="s">
        <v>49</v>
      </c>
      <c r="Q105" s="1" t="s">
        <v>50</v>
      </c>
      <c r="R105" s="1">
        <v>5</v>
      </c>
      <c r="S105" s="1">
        <v>3861</v>
      </c>
      <c r="T105" s="1">
        <v>0</v>
      </c>
      <c r="U105" s="1">
        <v>0</v>
      </c>
      <c r="V105" s="1" t="s">
        <v>519</v>
      </c>
    </row>
    <row r="106" spans="1:23" ht="13">
      <c r="A106" s="1" t="s">
        <v>520</v>
      </c>
      <c r="B106" s="1" t="s">
        <v>34</v>
      </c>
      <c r="C106" s="1" t="s">
        <v>361</v>
      </c>
      <c r="D106" s="1"/>
      <c r="E106" s="6">
        <v>17033</v>
      </c>
      <c r="F106" s="1" t="s">
        <v>36</v>
      </c>
      <c r="G106" s="1">
        <v>1980</v>
      </c>
      <c r="H106" s="1">
        <v>9</v>
      </c>
      <c r="I106" s="1" t="s">
        <v>38</v>
      </c>
      <c r="J106" s="1"/>
      <c r="K106" s="1" t="s">
        <v>521</v>
      </c>
      <c r="L106" s="1" t="s">
        <v>522</v>
      </c>
      <c r="M106" s="1" t="s">
        <v>523</v>
      </c>
      <c r="N106" s="1" t="s">
        <v>524</v>
      </c>
      <c r="O106" s="1" t="s">
        <v>525</v>
      </c>
      <c r="P106" s="1" t="s">
        <v>133</v>
      </c>
      <c r="Q106" s="1" t="s">
        <v>56</v>
      </c>
      <c r="R106" s="1">
        <v>4</v>
      </c>
      <c r="S106" s="1">
        <v>680</v>
      </c>
      <c r="T106" s="1">
        <v>0</v>
      </c>
      <c r="U106" s="1">
        <v>0</v>
      </c>
      <c r="V106" s="1" t="s">
        <v>526</v>
      </c>
    </row>
    <row r="107" spans="1:23" ht="13">
      <c r="A107" s="1" t="s">
        <v>527</v>
      </c>
      <c r="B107" s="1" t="s">
        <v>34</v>
      </c>
      <c r="C107" s="1" t="s">
        <v>35</v>
      </c>
      <c r="D107" s="1"/>
      <c r="E107" s="6">
        <v>15906</v>
      </c>
      <c r="F107" s="1" t="s">
        <v>36</v>
      </c>
      <c r="G107" s="1">
        <v>1980</v>
      </c>
      <c r="H107" s="1">
        <v>9</v>
      </c>
      <c r="I107" s="1" t="s">
        <v>38</v>
      </c>
      <c r="J107" s="1"/>
      <c r="K107" s="1" t="s">
        <v>90</v>
      </c>
      <c r="L107" s="1" t="s">
        <v>528</v>
      </c>
      <c r="M107" s="1" t="s">
        <v>381</v>
      </c>
      <c r="N107" s="1" t="s">
        <v>346</v>
      </c>
      <c r="O107" s="1" t="s">
        <v>127</v>
      </c>
      <c r="P107" s="1" t="s">
        <v>133</v>
      </c>
      <c r="Q107" s="1" t="s">
        <v>50</v>
      </c>
      <c r="R107" s="1">
        <v>1</v>
      </c>
      <c r="S107" s="1">
        <v>190</v>
      </c>
      <c r="T107" s="1">
        <v>0</v>
      </c>
      <c r="U107" s="1">
        <v>0</v>
      </c>
      <c r="V107" s="1" t="s">
        <v>301</v>
      </c>
    </row>
    <row r="108" spans="1:23" ht="13">
      <c r="A108" s="1" t="s">
        <v>529</v>
      </c>
      <c r="B108" s="1" t="s">
        <v>34</v>
      </c>
      <c r="C108" s="1" t="s">
        <v>530</v>
      </c>
      <c r="D108" s="1" t="s">
        <v>531</v>
      </c>
      <c r="E108" s="6">
        <v>18358</v>
      </c>
      <c r="F108" s="1" t="s">
        <v>124</v>
      </c>
      <c r="G108" s="1">
        <v>1980</v>
      </c>
      <c r="H108" s="1">
        <v>9</v>
      </c>
      <c r="I108" s="1" t="s">
        <v>38</v>
      </c>
      <c r="J108" s="1"/>
      <c r="K108" s="1" t="s">
        <v>90</v>
      </c>
      <c r="L108" s="1" t="s">
        <v>532</v>
      </c>
      <c r="M108" s="1" t="s">
        <v>533</v>
      </c>
      <c r="N108" s="1" t="s">
        <v>62</v>
      </c>
      <c r="O108" s="1" t="s">
        <v>534</v>
      </c>
      <c r="R108" s="1">
        <v>7</v>
      </c>
      <c r="S108" s="1">
        <v>1602</v>
      </c>
      <c r="T108" s="1">
        <v>3</v>
      </c>
      <c r="U108" s="1">
        <v>19</v>
      </c>
      <c r="V108" s="1" t="s">
        <v>535</v>
      </c>
    </row>
    <row r="109" spans="1:23" ht="13">
      <c r="A109" s="1" t="s">
        <v>548</v>
      </c>
      <c r="B109" s="1" t="s">
        <v>34</v>
      </c>
      <c r="C109" s="1" t="s">
        <v>35</v>
      </c>
      <c r="D109" s="1"/>
      <c r="E109" s="6">
        <v>16893</v>
      </c>
      <c r="F109" s="1" t="s">
        <v>84</v>
      </c>
      <c r="G109" s="1">
        <v>1980</v>
      </c>
      <c r="H109" s="1">
        <v>9</v>
      </c>
      <c r="I109" s="1" t="s">
        <v>38</v>
      </c>
      <c r="J109" s="1"/>
      <c r="K109" s="1" t="s">
        <v>90</v>
      </c>
      <c r="L109" s="1" t="s">
        <v>108</v>
      </c>
      <c r="M109" s="1" t="s">
        <v>549</v>
      </c>
      <c r="O109" s="1" t="s">
        <v>550</v>
      </c>
      <c r="R109" s="1">
        <v>1</v>
      </c>
      <c r="S109" s="1">
        <v>170</v>
      </c>
      <c r="T109" s="1">
        <v>2</v>
      </c>
      <c r="U109" s="1">
        <v>12</v>
      </c>
      <c r="V109" s="1" t="s">
        <v>551</v>
      </c>
    </row>
    <row r="110" spans="1:23" ht="13">
      <c r="A110" s="1" t="s">
        <v>552</v>
      </c>
      <c r="B110" s="1" t="s">
        <v>34</v>
      </c>
      <c r="C110" s="1" t="s">
        <v>35</v>
      </c>
      <c r="D110" s="1"/>
      <c r="E110" s="6">
        <v>17538</v>
      </c>
      <c r="F110" s="1" t="s">
        <v>84</v>
      </c>
      <c r="G110" s="1">
        <v>1980</v>
      </c>
      <c r="H110" s="1">
        <v>9</v>
      </c>
      <c r="I110" s="1" t="s">
        <v>38</v>
      </c>
      <c r="J110" s="1"/>
      <c r="K110" s="1" t="s">
        <v>90</v>
      </c>
      <c r="L110" s="1" t="s">
        <v>553</v>
      </c>
      <c r="M110" s="1" t="s">
        <v>381</v>
      </c>
      <c r="N110" s="1" t="s">
        <v>554</v>
      </c>
      <c r="O110" s="1" t="s">
        <v>127</v>
      </c>
      <c r="P110" s="1" t="s">
        <v>49</v>
      </c>
      <c r="Q110" s="1" t="s">
        <v>50</v>
      </c>
      <c r="R110" s="1">
        <v>2</v>
      </c>
      <c r="S110" s="1">
        <v>320</v>
      </c>
      <c r="T110" s="1">
        <v>0</v>
      </c>
      <c r="U110" s="1">
        <v>0</v>
      </c>
      <c r="V110" s="1" t="s">
        <v>555</v>
      </c>
    </row>
    <row r="111" spans="1:23" ht="13">
      <c r="A111" s="1" t="s">
        <v>556</v>
      </c>
      <c r="B111" s="1" t="s">
        <v>34</v>
      </c>
      <c r="C111" s="1" t="s">
        <v>35</v>
      </c>
      <c r="D111" s="1"/>
      <c r="E111" s="6">
        <v>16601</v>
      </c>
      <c r="F111" s="1" t="s">
        <v>36</v>
      </c>
      <c r="G111" s="1">
        <v>1980</v>
      </c>
      <c r="H111" s="1">
        <v>9</v>
      </c>
      <c r="I111" s="1" t="s">
        <v>38</v>
      </c>
      <c r="J111" s="1"/>
      <c r="K111" s="1" t="s">
        <v>90</v>
      </c>
      <c r="L111" s="1" t="s">
        <v>326</v>
      </c>
      <c r="M111" s="1" t="s">
        <v>557</v>
      </c>
      <c r="N111" s="1" t="s">
        <v>346</v>
      </c>
      <c r="P111" s="1" t="s">
        <v>49</v>
      </c>
      <c r="Q111" s="1" t="s">
        <v>50</v>
      </c>
      <c r="R111" s="1">
        <v>4</v>
      </c>
      <c r="S111" s="1">
        <v>627</v>
      </c>
      <c r="T111" s="1">
        <v>0</v>
      </c>
      <c r="U111" s="1">
        <v>0</v>
      </c>
      <c r="V111" s="1" t="s">
        <v>558</v>
      </c>
    </row>
    <row r="112" spans="1:23" ht="13">
      <c r="A112" s="1" t="s">
        <v>559</v>
      </c>
      <c r="B112" s="1" t="s">
        <v>34</v>
      </c>
      <c r="C112" s="1" t="s">
        <v>35</v>
      </c>
      <c r="D112" s="1"/>
      <c r="E112" s="6">
        <v>18291</v>
      </c>
      <c r="F112" s="1" t="s">
        <v>124</v>
      </c>
      <c r="G112" s="1">
        <v>1980</v>
      </c>
      <c r="H112" s="1">
        <v>9</v>
      </c>
      <c r="I112" s="1" t="s">
        <v>38</v>
      </c>
      <c r="J112" s="1"/>
      <c r="K112" s="1" t="s">
        <v>90</v>
      </c>
      <c r="L112" s="1" t="s">
        <v>560</v>
      </c>
      <c r="M112" s="1" t="s">
        <v>561</v>
      </c>
      <c r="N112" s="1" t="s">
        <v>272</v>
      </c>
      <c r="O112" s="1" t="s">
        <v>139</v>
      </c>
      <c r="P112" s="1" t="s">
        <v>49</v>
      </c>
      <c r="Q112" s="1" t="s">
        <v>56</v>
      </c>
      <c r="R112" s="1">
        <v>4</v>
      </c>
      <c r="S112" s="1">
        <v>494</v>
      </c>
      <c r="T112" s="1">
        <v>0</v>
      </c>
      <c r="U112" s="1">
        <v>0</v>
      </c>
      <c r="V112" s="1" t="s">
        <v>562</v>
      </c>
    </row>
    <row r="113" spans="1:24" ht="13">
      <c r="A113" s="1" t="s">
        <v>563</v>
      </c>
      <c r="B113" s="1" t="s">
        <v>34</v>
      </c>
      <c r="C113" s="1" t="s">
        <v>35</v>
      </c>
      <c r="D113" s="1"/>
      <c r="E113" s="6">
        <v>18024</v>
      </c>
      <c r="F113" s="1" t="s">
        <v>84</v>
      </c>
      <c r="G113" s="1">
        <v>1980</v>
      </c>
      <c r="H113" s="1">
        <v>9</v>
      </c>
      <c r="I113" s="1" t="s">
        <v>38</v>
      </c>
      <c r="J113" s="1"/>
      <c r="K113" s="1" t="s">
        <v>521</v>
      </c>
      <c r="L113" s="1" t="s">
        <v>564</v>
      </c>
      <c r="M113" s="1" t="s">
        <v>565</v>
      </c>
      <c r="N113" s="1" t="s">
        <v>42</v>
      </c>
      <c r="O113" s="1" t="s">
        <v>42</v>
      </c>
      <c r="P113" s="1" t="s">
        <v>71</v>
      </c>
      <c r="Q113" s="1" t="s">
        <v>44</v>
      </c>
      <c r="R113" s="1">
        <v>3</v>
      </c>
      <c r="S113" s="1">
        <v>532</v>
      </c>
      <c r="T113" s="1">
        <v>1</v>
      </c>
      <c r="U113" s="1">
        <v>3</v>
      </c>
      <c r="V113" s="1" t="s">
        <v>566</v>
      </c>
    </row>
    <row r="114" spans="1:24" ht="13">
      <c r="A114" s="1" t="s">
        <v>567</v>
      </c>
      <c r="B114" s="1" t="s">
        <v>34</v>
      </c>
      <c r="C114" s="1" t="s">
        <v>35</v>
      </c>
      <c r="D114" s="1"/>
      <c r="E114" s="6">
        <v>16981</v>
      </c>
      <c r="F114" s="1" t="s">
        <v>84</v>
      </c>
      <c r="G114" s="1">
        <v>1980</v>
      </c>
      <c r="H114" s="1">
        <v>9</v>
      </c>
      <c r="I114" s="1" t="s">
        <v>38</v>
      </c>
      <c r="J114" s="1"/>
      <c r="K114" s="1" t="s">
        <v>39</v>
      </c>
      <c r="L114" s="1" t="s">
        <v>223</v>
      </c>
      <c r="M114" s="1" t="s">
        <v>568</v>
      </c>
      <c r="N114" s="1" t="s">
        <v>289</v>
      </c>
      <c r="O114" s="1" t="s">
        <v>569</v>
      </c>
      <c r="R114" s="1">
        <v>3</v>
      </c>
      <c r="S114" s="1">
        <v>483</v>
      </c>
      <c r="T114" s="1">
        <v>0</v>
      </c>
      <c r="U114" s="1">
        <v>0</v>
      </c>
      <c r="V114" s="1" t="s">
        <v>570</v>
      </c>
      <c r="W114" s="6">
        <v>40603</v>
      </c>
    </row>
    <row r="115" spans="1:24" ht="13">
      <c r="A115" s="1" t="s">
        <v>571</v>
      </c>
      <c r="B115" s="1" t="s">
        <v>34</v>
      </c>
      <c r="C115" s="1" t="s">
        <v>35</v>
      </c>
      <c r="D115" s="1"/>
      <c r="E115" s="6">
        <v>17051</v>
      </c>
      <c r="F115" s="1" t="s">
        <v>84</v>
      </c>
      <c r="G115" s="1">
        <v>1980</v>
      </c>
      <c r="H115" s="1">
        <v>9</v>
      </c>
      <c r="I115" s="1" t="s">
        <v>38</v>
      </c>
      <c r="J115" s="1"/>
      <c r="K115" s="1" t="s">
        <v>90</v>
      </c>
      <c r="L115" s="1" t="s">
        <v>572</v>
      </c>
      <c r="M115" s="1" t="s">
        <v>573</v>
      </c>
      <c r="N115" s="1" t="s">
        <v>55</v>
      </c>
      <c r="O115" s="1" t="s">
        <v>574</v>
      </c>
      <c r="P115" s="1" t="s">
        <v>49</v>
      </c>
      <c r="Q115" s="1" t="s">
        <v>56</v>
      </c>
      <c r="R115" s="1">
        <v>2</v>
      </c>
      <c r="S115" s="1">
        <v>383</v>
      </c>
      <c r="T115" s="1">
        <v>0</v>
      </c>
      <c r="U115" s="1">
        <v>0</v>
      </c>
      <c r="V115" s="1" t="s">
        <v>575</v>
      </c>
    </row>
    <row r="116" spans="1:24" ht="13">
      <c r="A116" s="1" t="s">
        <v>576</v>
      </c>
      <c r="B116" s="1" t="s">
        <v>34</v>
      </c>
      <c r="C116" s="1" t="s">
        <v>35</v>
      </c>
      <c r="D116" s="1"/>
      <c r="E116" s="6">
        <v>17038</v>
      </c>
      <c r="F116" s="1" t="s">
        <v>84</v>
      </c>
      <c r="G116" s="1">
        <v>1980</v>
      </c>
      <c r="H116" s="1">
        <v>9</v>
      </c>
      <c r="I116" s="1" t="s">
        <v>38</v>
      </c>
      <c r="J116" s="1"/>
      <c r="K116" s="1" t="s">
        <v>90</v>
      </c>
      <c r="L116" s="1" t="s">
        <v>577</v>
      </c>
      <c r="M116" s="1" t="s">
        <v>578</v>
      </c>
      <c r="N116" s="1" t="s">
        <v>579</v>
      </c>
      <c r="O116" s="1" t="s">
        <v>574</v>
      </c>
      <c r="P116" s="1" t="s">
        <v>71</v>
      </c>
      <c r="Q116" s="1" t="s">
        <v>44</v>
      </c>
      <c r="R116" s="1">
        <v>4</v>
      </c>
      <c r="S116" s="1">
        <v>813</v>
      </c>
      <c r="T116" s="1">
        <v>0</v>
      </c>
      <c r="U116" s="1">
        <v>0</v>
      </c>
      <c r="V116" s="1" t="s">
        <v>580</v>
      </c>
    </row>
    <row r="117" spans="1:24" ht="13">
      <c r="A117" s="1" t="s">
        <v>581</v>
      </c>
      <c r="B117" s="1" t="s">
        <v>34</v>
      </c>
      <c r="C117" s="1" t="s">
        <v>35</v>
      </c>
      <c r="D117" s="1"/>
      <c r="E117" s="6">
        <v>17552</v>
      </c>
      <c r="F117" s="1" t="s">
        <v>84</v>
      </c>
      <c r="G117" s="1">
        <v>1980</v>
      </c>
      <c r="H117" s="1">
        <v>9</v>
      </c>
      <c r="I117" s="1" t="s">
        <v>38</v>
      </c>
      <c r="J117" s="1"/>
      <c r="K117" s="1" t="s">
        <v>90</v>
      </c>
      <c r="L117" s="1" t="s">
        <v>582</v>
      </c>
      <c r="M117" s="1" t="s">
        <v>61</v>
      </c>
      <c r="N117" s="1" t="s">
        <v>62</v>
      </c>
      <c r="O117" s="1" t="s">
        <v>62</v>
      </c>
      <c r="P117" s="1" t="s">
        <v>49</v>
      </c>
      <c r="Q117" s="1" t="s">
        <v>50</v>
      </c>
      <c r="R117" s="1">
        <v>7</v>
      </c>
      <c r="S117" s="1">
        <v>1393</v>
      </c>
      <c r="T117" s="1">
        <v>9</v>
      </c>
      <c r="U117" s="1">
        <v>58</v>
      </c>
      <c r="V117" s="1" t="s">
        <v>583</v>
      </c>
    </row>
    <row r="118" spans="1:24" ht="13">
      <c r="A118" s="1" t="s">
        <v>584</v>
      </c>
      <c r="B118" s="1" t="s">
        <v>34</v>
      </c>
      <c r="C118" s="1" t="s">
        <v>35</v>
      </c>
      <c r="D118" s="1"/>
      <c r="E118" s="6">
        <v>16557</v>
      </c>
      <c r="F118" s="1" t="s">
        <v>84</v>
      </c>
      <c r="G118" s="1">
        <v>1980</v>
      </c>
      <c r="H118" s="1">
        <v>9</v>
      </c>
      <c r="I118" s="1" t="s">
        <v>38</v>
      </c>
      <c r="J118" s="1"/>
      <c r="K118" s="1" t="s">
        <v>39</v>
      </c>
      <c r="L118" s="1" t="s">
        <v>585</v>
      </c>
      <c r="M118" s="1" t="s">
        <v>565</v>
      </c>
      <c r="N118" s="1" t="s">
        <v>70</v>
      </c>
      <c r="O118" s="1" t="s">
        <v>42</v>
      </c>
      <c r="P118" s="1" t="s">
        <v>71</v>
      </c>
      <c r="Q118" s="1" t="s">
        <v>150</v>
      </c>
      <c r="R118" s="1">
        <v>1</v>
      </c>
      <c r="S118" s="1">
        <v>0</v>
      </c>
      <c r="T118" s="1">
        <v>0</v>
      </c>
      <c r="U118" s="1">
        <v>0</v>
      </c>
      <c r="V118" s="1" t="s">
        <v>444</v>
      </c>
      <c r="W118" s="6">
        <v>31440</v>
      </c>
      <c r="X118" s="1" t="s">
        <v>444</v>
      </c>
    </row>
    <row r="119" spans="1:24" ht="13">
      <c r="A119" s="1" t="s">
        <v>586</v>
      </c>
      <c r="B119" s="1" t="s">
        <v>34</v>
      </c>
      <c r="C119" s="1" t="s">
        <v>35</v>
      </c>
      <c r="D119" s="1"/>
      <c r="E119" s="6">
        <v>16338</v>
      </c>
      <c r="F119" s="1" t="s">
        <v>84</v>
      </c>
      <c r="G119" s="1">
        <v>1980</v>
      </c>
      <c r="H119" s="1">
        <v>9</v>
      </c>
      <c r="I119" s="1" t="s">
        <v>38</v>
      </c>
      <c r="J119" s="1"/>
      <c r="K119" s="1" t="s">
        <v>90</v>
      </c>
      <c r="L119" s="1" t="s">
        <v>587</v>
      </c>
      <c r="M119" s="1" t="s">
        <v>588</v>
      </c>
      <c r="N119" s="1" t="s">
        <v>55</v>
      </c>
      <c r="O119" s="1" t="s">
        <v>87</v>
      </c>
      <c r="P119" s="1" t="s">
        <v>49</v>
      </c>
      <c r="Q119" s="1" t="s">
        <v>490</v>
      </c>
      <c r="R119" s="1">
        <v>1</v>
      </c>
      <c r="S119" s="1">
        <v>165</v>
      </c>
      <c r="T119" s="1">
        <v>2</v>
      </c>
      <c r="U119" s="1">
        <v>12</v>
      </c>
      <c r="V119" s="1" t="s">
        <v>589</v>
      </c>
    </row>
    <row r="120" spans="1:24" ht="13">
      <c r="A120" s="1" t="s">
        <v>590</v>
      </c>
      <c r="B120" s="1" t="s">
        <v>34</v>
      </c>
      <c r="C120" s="1" t="s">
        <v>35</v>
      </c>
      <c r="D120" s="1"/>
      <c r="E120" s="6">
        <v>15482</v>
      </c>
      <c r="F120" s="1" t="s">
        <v>84</v>
      </c>
      <c r="G120" s="1">
        <v>1980</v>
      </c>
      <c r="H120" s="1">
        <v>9</v>
      </c>
      <c r="I120" s="1" t="s">
        <v>38</v>
      </c>
      <c r="J120" s="1"/>
      <c r="K120" s="1" t="s">
        <v>90</v>
      </c>
      <c r="L120" s="1" t="s">
        <v>591</v>
      </c>
      <c r="M120" s="1" t="s">
        <v>565</v>
      </c>
      <c r="N120" s="1" t="s">
        <v>70</v>
      </c>
      <c r="O120" s="1" t="s">
        <v>592</v>
      </c>
      <c r="P120" s="1" t="s">
        <v>49</v>
      </c>
      <c r="Q120" s="1" t="s">
        <v>56</v>
      </c>
      <c r="R120" s="1">
        <v>2</v>
      </c>
      <c r="S120" s="1">
        <v>237</v>
      </c>
      <c r="T120" s="1">
        <v>0</v>
      </c>
      <c r="U120" s="1">
        <v>0</v>
      </c>
      <c r="V120" s="1" t="s">
        <v>593</v>
      </c>
    </row>
    <row r="121" spans="1:24" ht="13">
      <c r="A121" s="1" t="s">
        <v>594</v>
      </c>
      <c r="B121" s="1" t="s">
        <v>34</v>
      </c>
      <c r="C121" s="1" t="s">
        <v>35</v>
      </c>
      <c r="D121" s="1"/>
      <c r="E121" s="6">
        <v>16864</v>
      </c>
      <c r="F121" s="1" t="s">
        <v>84</v>
      </c>
      <c r="G121" s="1">
        <v>1984</v>
      </c>
      <c r="H121" s="1">
        <v>10</v>
      </c>
      <c r="I121" s="1" t="s">
        <v>38</v>
      </c>
      <c r="J121" s="1"/>
      <c r="K121" s="1" t="s">
        <v>90</v>
      </c>
      <c r="L121" s="1" t="s">
        <v>595</v>
      </c>
      <c r="M121" s="1" t="s">
        <v>596</v>
      </c>
      <c r="N121" s="1" t="s">
        <v>55</v>
      </c>
      <c r="O121" s="1" t="s">
        <v>87</v>
      </c>
      <c r="P121" s="1" t="s">
        <v>49</v>
      </c>
      <c r="Q121" s="1" t="s">
        <v>490</v>
      </c>
      <c r="R121" s="1">
        <v>2</v>
      </c>
      <c r="S121" s="1">
        <v>334</v>
      </c>
      <c r="T121" s="1">
        <v>0</v>
      </c>
      <c r="U121" s="1">
        <v>0</v>
      </c>
      <c r="V121" s="1" t="s">
        <v>597</v>
      </c>
    </row>
    <row r="122" spans="1:24" ht="13">
      <c r="A122" s="1" t="s">
        <v>603</v>
      </c>
      <c r="B122" s="1" t="s">
        <v>34</v>
      </c>
      <c r="C122" s="1" t="s">
        <v>35</v>
      </c>
      <c r="D122" s="1"/>
      <c r="E122" s="6">
        <v>18950</v>
      </c>
      <c r="F122" s="1" t="s">
        <v>84</v>
      </c>
      <c r="G122" s="1">
        <v>1984</v>
      </c>
      <c r="H122" s="1">
        <v>10</v>
      </c>
      <c r="I122" s="1" t="s">
        <v>38</v>
      </c>
      <c r="J122" s="1"/>
      <c r="K122" s="1" t="s">
        <v>90</v>
      </c>
      <c r="L122" s="1" t="s">
        <v>604</v>
      </c>
      <c r="M122" s="1" t="s">
        <v>605</v>
      </c>
      <c r="N122" s="1" t="s">
        <v>285</v>
      </c>
      <c r="O122" s="1" t="s">
        <v>104</v>
      </c>
      <c r="P122" s="1" t="s">
        <v>49</v>
      </c>
      <c r="Q122" s="1" t="s">
        <v>50</v>
      </c>
      <c r="R122" s="1">
        <v>2</v>
      </c>
      <c r="S122" s="1">
        <v>249</v>
      </c>
      <c r="T122" s="1">
        <v>0</v>
      </c>
      <c r="U122" s="1">
        <v>0</v>
      </c>
      <c r="V122" s="1" t="s">
        <v>606</v>
      </c>
    </row>
    <row r="123" spans="1:24" ht="13">
      <c r="A123" s="1" t="s">
        <v>607</v>
      </c>
      <c r="B123" s="1" t="s">
        <v>34</v>
      </c>
      <c r="C123" s="1" t="s">
        <v>35</v>
      </c>
      <c r="D123" s="1"/>
      <c r="E123" s="6">
        <v>18231</v>
      </c>
      <c r="F123" s="1" t="s">
        <v>84</v>
      </c>
      <c r="G123" s="1">
        <v>1984</v>
      </c>
      <c r="H123" s="1">
        <v>10</v>
      </c>
      <c r="I123" s="1" t="s">
        <v>38</v>
      </c>
      <c r="J123" s="1"/>
      <c r="K123" s="1" t="s">
        <v>90</v>
      </c>
      <c r="L123" s="1" t="s">
        <v>99</v>
      </c>
      <c r="M123" s="1" t="s">
        <v>608</v>
      </c>
      <c r="N123" s="1" t="s">
        <v>175</v>
      </c>
      <c r="O123" s="1" t="s">
        <v>609</v>
      </c>
      <c r="P123" s="1" t="s">
        <v>49</v>
      </c>
      <c r="Q123" s="1" t="s">
        <v>56</v>
      </c>
      <c r="R123" s="1">
        <v>3</v>
      </c>
      <c r="S123" s="1">
        <v>562</v>
      </c>
      <c r="T123" s="1">
        <v>0</v>
      </c>
      <c r="U123" s="1">
        <v>0</v>
      </c>
      <c r="V123" s="1" t="s">
        <v>610</v>
      </c>
    </row>
    <row r="124" spans="1:24" ht="13">
      <c r="A124" s="1" t="s">
        <v>611</v>
      </c>
      <c r="B124" s="1" t="s">
        <v>34</v>
      </c>
      <c r="C124" s="1" t="s">
        <v>35</v>
      </c>
      <c r="D124" s="1"/>
      <c r="E124" s="6">
        <v>17394</v>
      </c>
      <c r="F124" s="1" t="s">
        <v>124</v>
      </c>
      <c r="G124" s="1">
        <v>1984</v>
      </c>
      <c r="H124" s="1">
        <v>10</v>
      </c>
      <c r="I124" s="1" t="s">
        <v>38</v>
      </c>
      <c r="J124" s="1"/>
      <c r="K124" s="1" t="s">
        <v>39</v>
      </c>
      <c r="L124" s="1" t="s">
        <v>612</v>
      </c>
      <c r="M124" s="1" t="s">
        <v>613</v>
      </c>
      <c r="N124" s="1" t="s">
        <v>170</v>
      </c>
      <c r="O124" s="1" t="s">
        <v>201</v>
      </c>
      <c r="P124" s="1" t="s">
        <v>71</v>
      </c>
      <c r="Q124" s="1" t="s">
        <v>150</v>
      </c>
      <c r="R124" s="1">
        <v>1</v>
      </c>
      <c r="S124" s="1">
        <v>120</v>
      </c>
      <c r="T124" s="1">
        <v>0</v>
      </c>
      <c r="U124" s="1">
        <v>0</v>
      </c>
      <c r="V124" s="1" t="s">
        <v>614</v>
      </c>
      <c r="W124" s="6">
        <v>33333</v>
      </c>
    </row>
    <row r="125" spans="1:24" ht="13">
      <c r="A125" s="1" t="s">
        <v>615</v>
      </c>
      <c r="B125" s="1" t="s">
        <v>34</v>
      </c>
      <c r="C125" s="1" t="s">
        <v>35</v>
      </c>
      <c r="D125" s="1"/>
      <c r="E125" s="6">
        <v>15896</v>
      </c>
      <c r="F125" s="1" t="s">
        <v>84</v>
      </c>
      <c r="G125" s="1">
        <v>1984</v>
      </c>
      <c r="H125" s="1">
        <v>10</v>
      </c>
      <c r="I125" s="1" t="s">
        <v>38</v>
      </c>
      <c r="J125" s="1"/>
      <c r="K125" s="1" t="s">
        <v>521</v>
      </c>
      <c r="L125" s="1" t="s">
        <v>616</v>
      </c>
      <c r="M125" s="1" t="s">
        <v>381</v>
      </c>
      <c r="N125" s="1" t="s">
        <v>346</v>
      </c>
      <c r="O125" s="1" t="s">
        <v>127</v>
      </c>
      <c r="P125" s="1" t="s">
        <v>49</v>
      </c>
      <c r="Q125" s="1" t="s">
        <v>50</v>
      </c>
      <c r="R125" s="1">
        <v>4</v>
      </c>
      <c r="S125" s="1">
        <v>825</v>
      </c>
      <c r="T125" s="1">
        <v>0</v>
      </c>
      <c r="U125" s="1">
        <v>0</v>
      </c>
      <c r="V125" s="1" t="s">
        <v>617</v>
      </c>
    </row>
    <row r="126" spans="1:24" ht="13">
      <c r="A126" s="1" t="s">
        <v>618</v>
      </c>
      <c r="B126" s="1" t="s">
        <v>34</v>
      </c>
      <c r="C126" s="1" t="s">
        <v>35</v>
      </c>
      <c r="D126" s="1"/>
      <c r="E126" s="6">
        <v>18033</v>
      </c>
      <c r="F126" s="1" t="s">
        <v>36</v>
      </c>
      <c r="G126" s="1">
        <v>1984</v>
      </c>
      <c r="H126" s="1">
        <v>10</v>
      </c>
      <c r="I126" s="1" t="s">
        <v>38</v>
      </c>
      <c r="J126" s="1"/>
      <c r="K126" s="1" t="s">
        <v>90</v>
      </c>
      <c r="L126" s="1" t="s">
        <v>619</v>
      </c>
      <c r="M126" s="1" t="s">
        <v>69</v>
      </c>
      <c r="N126" s="1" t="s">
        <v>87</v>
      </c>
      <c r="P126" s="1" t="s">
        <v>71</v>
      </c>
      <c r="Q126" s="1" t="s">
        <v>44</v>
      </c>
      <c r="R126" s="1">
        <v>3</v>
      </c>
      <c r="S126" s="1">
        <v>3446</v>
      </c>
      <c r="T126" s="1">
        <v>1</v>
      </c>
      <c r="U126" s="1">
        <v>5</v>
      </c>
      <c r="V126" s="1" t="s">
        <v>620</v>
      </c>
    </row>
    <row r="127" spans="1:24" ht="13">
      <c r="A127" s="1" t="s">
        <v>621</v>
      </c>
      <c r="B127" s="1" t="s">
        <v>34</v>
      </c>
      <c r="C127" s="1" t="s">
        <v>530</v>
      </c>
      <c r="D127" s="1"/>
      <c r="E127" s="6">
        <v>18806</v>
      </c>
      <c r="F127" s="1" t="s">
        <v>84</v>
      </c>
      <c r="G127" s="1">
        <v>1984</v>
      </c>
      <c r="H127" s="1">
        <v>10</v>
      </c>
      <c r="I127" s="1" t="s">
        <v>38</v>
      </c>
      <c r="J127" s="1"/>
      <c r="K127" s="1" t="s">
        <v>90</v>
      </c>
      <c r="L127" s="1" t="s">
        <v>622</v>
      </c>
      <c r="M127" s="1" t="s">
        <v>623</v>
      </c>
      <c r="N127" s="1" t="s">
        <v>42</v>
      </c>
      <c r="O127" s="1" t="s">
        <v>624</v>
      </c>
      <c r="P127" s="1" t="s">
        <v>49</v>
      </c>
      <c r="Q127" s="1" t="s">
        <v>50</v>
      </c>
      <c r="R127" s="1">
        <v>2</v>
      </c>
      <c r="S127" s="1">
        <v>488</v>
      </c>
      <c r="T127" s="1">
        <v>0</v>
      </c>
      <c r="U127" s="1">
        <v>0</v>
      </c>
      <c r="V127" s="1" t="s">
        <v>625</v>
      </c>
    </row>
    <row r="128" spans="1:24" ht="13">
      <c r="A128" s="1" t="s">
        <v>626</v>
      </c>
      <c r="B128" s="1" t="s">
        <v>34</v>
      </c>
      <c r="C128" s="1" t="s">
        <v>35</v>
      </c>
      <c r="D128" s="1"/>
      <c r="E128" s="6">
        <v>19009</v>
      </c>
      <c r="F128" s="1" t="s">
        <v>84</v>
      </c>
      <c r="G128" s="1">
        <v>1984</v>
      </c>
      <c r="H128" s="1">
        <v>10</v>
      </c>
      <c r="I128" s="1" t="s">
        <v>38</v>
      </c>
      <c r="J128" s="1"/>
      <c r="K128" s="1" t="s">
        <v>90</v>
      </c>
      <c r="L128" s="1" t="s">
        <v>627</v>
      </c>
      <c r="M128" s="1" t="s">
        <v>628</v>
      </c>
      <c r="N128" s="1" t="s">
        <v>346</v>
      </c>
      <c r="O128" s="1" t="s">
        <v>346</v>
      </c>
      <c r="P128" s="1" t="s">
        <v>49</v>
      </c>
      <c r="Q128" s="1" t="s">
        <v>50</v>
      </c>
      <c r="R128" s="1">
        <v>2</v>
      </c>
      <c r="S128" s="1">
        <v>462</v>
      </c>
      <c r="T128" s="1">
        <v>0</v>
      </c>
      <c r="U128" s="1">
        <v>0</v>
      </c>
      <c r="V128" s="1" t="s">
        <v>629</v>
      </c>
    </row>
    <row r="129" spans="1:25" ht="13">
      <c r="A129" s="1" t="s">
        <v>633</v>
      </c>
      <c r="B129" s="1" t="s">
        <v>34</v>
      </c>
      <c r="C129" s="1" t="s">
        <v>35</v>
      </c>
      <c r="D129" s="1"/>
      <c r="E129" s="6">
        <v>19220</v>
      </c>
      <c r="F129" s="1" t="s">
        <v>84</v>
      </c>
      <c r="G129" s="1">
        <v>1984</v>
      </c>
      <c r="H129" s="1">
        <v>10</v>
      </c>
      <c r="I129" s="1" t="s">
        <v>38</v>
      </c>
      <c r="J129" s="1"/>
      <c r="K129" s="1" t="s">
        <v>90</v>
      </c>
      <c r="L129" s="1" t="s">
        <v>634</v>
      </c>
      <c r="M129" s="1" t="s">
        <v>635</v>
      </c>
      <c r="N129" s="1" t="s">
        <v>506</v>
      </c>
      <c r="O129" s="1" t="s">
        <v>62</v>
      </c>
      <c r="P129" s="1" t="s">
        <v>49</v>
      </c>
      <c r="Q129" s="1" t="s">
        <v>50</v>
      </c>
      <c r="R129" s="1">
        <v>4</v>
      </c>
      <c r="S129" s="1">
        <v>789</v>
      </c>
      <c r="T129" s="1">
        <v>4</v>
      </c>
      <c r="U129" s="1">
        <v>26</v>
      </c>
      <c r="V129" s="1" t="s">
        <v>636</v>
      </c>
    </row>
    <row r="130" spans="1:25" ht="13">
      <c r="A130" s="1" t="s">
        <v>637</v>
      </c>
      <c r="B130" s="1" t="s">
        <v>34</v>
      </c>
      <c r="C130" s="1" t="s">
        <v>35</v>
      </c>
      <c r="D130" s="1"/>
      <c r="E130" s="6">
        <v>20504</v>
      </c>
      <c r="F130" s="1" t="s">
        <v>84</v>
      </c>
      <c r="G130" s="1">
        <v>1984</v>
      </c>
      <c r="H130" s="1">
        <v>10</v>
      </c>
      <c r="I130" s="1" t="s">
        <v>38</v>
      </c>
      <c r="J130" s="1"/>
      <c r="K130" s="1" t="s">
        <v>39</v>
      </c>
      <c r="L130" s="1" t="s">
        <v>99</v>
      </c>
      <c r="M130" s="1" t="s">
        <v>638</v>
      </c>
      <c r="N130" s="1" t="s">
        <v>639</v>
      </c>
      <c r="O130" s="1" t="s">
        <v>640</v>
      </c>
      <c r="R130" s="1">
        <v>3</v>
      </c>
      <c r="S130" s="1">
        <v>714</v>
      </c>
      <c r="T130" s="1">
        <v>1</v>
      </c>
      <c r="U130" s="1">
        <v>6</v>
      </c>
      <c r="V130" s="1" t="s">
        <v>641</v>
      </c>
      <c r="W130" s="6">
        <v>39522</v>
      </c>
    </row>
    <row r="131" spans="1:25" ht="13">
      <c r="A131" s="1" t="s">
        <v>642</v>
      </c>
      <c r="B131" s="1" t="s">
        <v>34</v>
      </c>
      <c r="C131" s="1" t="s">
        <v>35</v>
      </c>
      <c r="D131" s="1"/>
      <c r="E131" s="6">
        <v>15922</v>
      </c>
      <c r="F131" s="1" t="s">
        <v>84</v>
      </c>
      <c r="G131" s="1">
        <v>1984</v>
      </c>
      <c r="H131" s="1">
        <v>10</v>
      </c>
      <c r="I131" s="1" t="s">
        <v>38</v>
      </c>
      <c r="J131" s="1"/>
      <c r="K131" s="1" t="s">
        <v>90</v>
      </c>
      <c r="L131" s="1" t="s">
        <v>643</v>
      </c>
      <c r="M131" s="1" t="s">
        <v>61</v>
      </c>
      <c r="N131" s="1" t="s">
        <v>644</v>
      </c>
      <c r="O131" s="1" t="s">
        <v>644</v>
      </c>
      <c r="P131" s="1" t="s">
        <v>71</v>
      </c>
      <c r="Q131" s="1" t="s">
        <v>44</v>
      </c>
      <c r="R131" s="1">
        <v>1</v>
      </c>
      <c r="S131" s="1">
        <v>119</v>
      </c>
      <c r="T131" s="1">
        <v>0</v>
      </c>
      <c r="U131" s="1">
        <v>0</v>
      </c>
      <c r="V131" s="1" t="s">
        <v>645</v>
      </c>
    </row>
    <row r="132" spans="1:25" ht="13">
      <c r="A132" s="1" t="s">
        <v>646</v>
      </c>
      <c r="B132" s="1" t="s">
        <v>34</v>
      </c>
      <c r="C132" s="1" t="s">
        <v>35</v>
      </c>
      <c r="D132" s="1"/>
      <c r="E132" s="6">
        <v>18105</v>
      </c>
      <c r="F132" s="1" t="s">
        <v>84</v>
      </c>
      <c r="G132" s="1">
        <v>1984</v>
      </c>
      <c r="H132" s="1">
        <v>10</v>
      </c>
      <c r="I132" s="1" t="s">
        <v>38</v>
      </c>
      <c r="J132" s="1"/>
      <c r="K132" s="1" t="s">
        <v>90</v>
      </c>
      <c r="L132" s="1" t="s">
        <v>647</v>
      </c>
      <c r="M132" s="1" t="s">
        <v>227</v>
      </c>
      <c r="N132" s="1" t="s">
        <v>87</v>
      </c>
      <c r="O132" s="1" t="s">
        <v>452</v>
      </c>
      <c r="P132" s="1" t="s">
        <v>71</v>
      </c>
      <c r="Q132" s="1" t="s">
        <v>44</v>
      </c>
      <c r="R132" s="1">
        <v>4</v>
      </c>
      <c r="S132" s="1">
        <v>3823</v>
      </c>
      <c r="T132" s="1">
        <v>0</v>
      </c>
      <c r="U132" s="1">
        <v>0</v>
      </c>
      <c r="V132" s="1" t="s">
        <v>648</v>
      </c>
    </row>
    <row r="133" spans="1:25" ht="13">
      <c r="A133" s="1" t="s">
        <v>653</v>
      </c>
      <c r="B133" s="1" t="s">
        <v>34</v>
      </c>
      <c r="C133" s="1" t="s">
        <v>35</v>
      </c>
      <c r="D133" s="1"/>
      <c r="E133" s="6">
        <v>16333</v>
      </c>
      <c r="F133" s="1" t="s">
        <v>36</v>
      </c>
      <c r="G133" s="1">
        <v>1984</v>
      </c>
      <c r="H133" s="1">
        <v>10</v>
      </c>
      <c r="I133" s="1" t="s">
        <v>38</v>
      </c>
      <c r="J133" s="1"/>
      <c r="K133" s="1" t="s">
        <v>39</v>
      </c>
      <c r="L133" s="1" t="s">
        <v>102</v>
      </c>
      <c r="M133" s="1" t="s">
        <v>557</v>
      </c>
      <c r="N133" s="1" t="s">
        <v>654</v>
      </c>
      <c r="R133" s="1">
        <v>2</v>
      </c>
      <c r="S133" s="1">
        <v>436</v>
      </c>
      <c r="T133" s="1">
        <v>0</v>
      </c>
      <c r="U133" s="1">
        <v>0</v>
      </c>
      <c r="V133" s="1" t="s">
        <v>655</v>
      </c>
      <c r="W133" s="6">
        <v>34975</v>
      </c>
    </row>
    <row r="134" spans="1:25" ht="13">
      <c r="A134" s="1" t="s">
        <v>656</v>
      </c>
      <c r="B134" s="1" t="s">
        <v>34</v>
      </c>
      <c r="C134" s="1" t="s">
        <v>35</v>
      </c>
      <c r="D134" s="1"/>
      <c r="E134" s="6">
        <v>19325</v>
      </c>
      <c r="F134" s="1" t="s">
        <v>36</v>
      </c>
      <c r="G134" s="1">
        <v>1984</v>
      </c>
      <c r="H134" s="1">
        <v>10</v>
      </c>
      <c r="I134" s="1" t="s">
        <v>38</v>
      </c>
      <c r="J134" s="1"/>
      <c r="K134" s="1" t="s">
        <v>90</v>
      </c>
      <c r="L134" s="1" t="s">
        <v>657</v>
      </c>
      <c r="M134" s="1" t="s">
        <v>658</v>
      </c>
      <c r="N134" s="1" t="s">
        <v>87</v>
      </c>
      <c r="P134" s="1" t="s">
        <v>71</v>
      </c>
      <c r="Q134" s="1" t="s">
        <v>44</v>
      </c>
      <c r="R134" s="1">
        <v>6</v>
      </c>
      <c r="S134" s="1">
        <v>1594</v>
      </c>
      <c r="T134" s="1">
        <v>0</v>
      </c>
      <c r="U134" s="1">
        <v>0</v>
      </c>
      <c r="V134" s="1" t="s">
        <v>659</v>
      </c>
    </row>
    <row r="135" spans="1:25" ht="13">
      <c r="A135" s="1" t="s">
        <v>660</v>
      </c>
      <c r="B135" s="1" t="s">
        <v>34</v>
      </c>
      <c r="C135" s="1" t="s">
        <v>35</v>
      </c>
      <c r="D135" s="1"/>
      <c r="E135" s="6">
        <v>18006</v>
      </c>
      <c r="F135" s="1" t="s">
        <v>124</v>
      </c>
      <c r="G135" s="1">
        <v>1985</v>
      </c>
      <c r="H135" s="1">
        <v>11</v>
      </c>
      <c r="I135" s="1" t="s">
        <v>38</v>
      </c>
      <c r="J135" s="1"/>
      <c r="K135" s="1" t="s">
        <v>90</v>
      </c>
      <c r="L135" s="1" t="s">
        <v>661</v>
      </c>
      <c r="M135" s="1" t="s">
        <v>662</v>
      </c>
      <c r="N135" s="1" t="s">
        <v>158</v>
      </c>
      <c r="O135" s="1" t="s">
        <v>158</v>
      </c>
      <c r="R135" s="1">
        <v>4</v>
      </c>
      <c r="S135" s="1">
        <v>847</v>
      </c>
      <c r="T135" s="1">
        <v>2</v>
      </c>
      <c r="U135" s="1">
        <v>11</v>
      </c>
      <c r="V135" s="1" t="s">
        <v>663</v>
      </c>
    </row>
    <row r="136" spans="1:25" ht="13">
      <c r="A136" s="1" t="s">
        <v>664</v>
      </c>
      <c r="B136" s="1" t="s">
        <v>34</v>
      </c>
      <c r="C136" s="1" t="s">
        <v>35</v>
      </c>
      <c r="D136" s="1"/>
      <c r="E136" s="6">
        <v>19659</v>
      </c>
      <c r="F136" s="1" t="s">
        <v>36</v>
      </c>
      <c r="G136" s="1">
        <v>1985</v>
      </c>
      <c r="H136" s="1">
        <v>11</v>
      </c>
      <c r="I136" s="1" t="s">
        <v>38</v>
      </c>
      <c r="J136" s="1"/>
      <c r="K136" s="1" t="s">
        <v>521</v>
      </c>
      <c r="L136" s="1" t="s">
        <v>219</v>
      </c>
      <c r="M136" s="1" t="s">
        <v>142</v>
      </c>
      <c r="N136" s="1" t="s">
        <v>87</v>
      </c>
      <c r="P136" s="1" t="s">
        <v>71</v>
      </c>
      <c r="Q136" s="1" t="s">
        <v>44</v>
      </c>
      <c r="R136" s="1">
        <v>4</v>
      </c>
      <c r="S136" s="1">
        <v>965</v>
      </c>
      <c r="T136" s="1">
        <v>0</v>
      </c>
      <c r="U136" s="1">
        <v>0</v>
      </c>
      <c r="V136" s="1" t="s">
        <v>665</v>
      </c>
    </row>
    <row r="137" spans="1:25" ht="13">
      <c r="A137" s="1" t="s">
        <v>666</v>
      </c>
      <c r="B137" s="1" t="s">
        <v>34</v>
      </c>
      <c r="C137" s="1" t="s">
        <v>35</v>
      </c>
      <c r="D137" s="1"/>
      <c r="E137" s="6">
        <v>17921</v>
      </c>
      <c r="F137" s="1" t="s">
        <v>36</v>
      </c>
      <c r="G137" s="1">
        <v>1985</v>
      </c>
      <c r="H137" s="1">
        <v>11</v>
      </c>
      <c r="I137" s="1" t="s">
        <v>38</v>
      </c>
      <c r="J137" s="1"/>
      <c r="K137" s="1" t="s">
        <v>521</v>
      </c>
      <c r="L137" s="1" t="s">
        <v>668</v>
      </c>
      <c r="M137" s="1" t="s">
        <v>69</v>
      </c>
      <c r="N137" s="1" t="s">
        <v>272</v>
      </c>
      <c r="P137" s="1" t="s">
        <v>49</v>
      </c>
      <c r="Q137" s="1" t="s">
        <v>56</v>
      </c>
      <c r="R137" s="1">
        <v>4</v>
      </c>
      <c r="S137" s="1">
        <v>910</v>
      </c>
      <c r="T137" s="1">
        <v>0</v>
      </c>
      <c r="U137" s="1">
        <v>0</v>
      </c>
      <c r="V137" s="1" t="s">
        <v>669</v>
      </c>
    </row>
    <row r="138" spans="1:25" ht="13">
      <c r="A138" s="1" t="s">
        <v>670</v>
      </c>
      <c r="B138" s="1" t="s">
        <v>34</v>
      </c>
      <c r="C138" s="1" t="s">
        <v>35</v>
      </c>
      <c r="D138" s="1"/>
      <c r="E138" s="6">
        <v>19530</v>
      </c>
      <c r="F138" s="1" t="s">
        <v>84</v>
      </c>
      <c r="G138" s="1">
        <v>1985</v>
      </c>
      <c r="H138" s="1">
        <v>11</v>
      </c>
      <c r="I138" s="1" t="s">
        <v>38</v>
      </c>
      <c r="J138" s="1"/>
      <c r="K138" s="1" t="s">
        <v>90</v>
      </c>
      <c r="L138" s="1" t="s">
        <v>258</v>
      </c>
      <c r="M138" s="1" t="s">
        <v>335</v>
      </c>
      <c r="N138" s="1" t="s">
        <v>272</v>
      </c>
      <c r="O138" s="1" t="s">
        <v>525</v>
      </c>
      <c r="P138" s="1" t="s">
        <v>49</v>
      </c>
      <c r="Q138" s="1" t="s">
        <v>50</v>
      </c>
      <c r="R138" s="1">
        <v>4</v>
      </c>
      <c r="S138" s="1">
        <v>977</v>
      </c>
      <c r="T138" s="1">
        <v>0</v>
      </c>
      <c r="U138" s="1">
        <v>0</v>
      </c>
      <c r="V138" s="1" t="s">
        <v>671</v>
      </c>
    </row>
    <row r="139" spans="1:25" ht="13">
      <c r="A139" s="1" t="s">
        <v>672</v>
      </c>
      <c r="B139" s="1" t="s">
        <v>34</v>
      </c>
      <c r="C139" s="1" t="s">
        <v>35</v>
      </c>
      <c r="D139" s="1"/>
      <c r="E139" s="6">
        <v>20305</v>
      </c>
      <c r="F139" s="1" t="s">
        <v>36</v>
      </c>
      <c r="G139" s="1">
        <v>1985</v>
      </c>
      <c r="H139" s="1">
        <v>11</v>
      </c>
      <c r="I139" s="1" t="s">
        <v>38</v>
      </c>
      <c r="J139" s="1"/>
      <c r="K139" s="1" t="s">
        <v>90</v>
      </c>
      <c r="L139" s="1" t="s">
        <v>673</v>
      </c>
      <c r="M139" s="1" t="s">
        <v>153</v>
      </c>
      <c r="N139" s="1" t="s">
        <v>55</v>
      </c>
      <c r="P139" s="1" t="s">
        <v>63</v>
      </c>
      <c r="Q139" s="1" t="s">
        <v>674</v>
      </c>
      <c r="R139" s="1">
        <v>3</v>
      </c>
      <c r="S139" s="1">
        <v>581</v>
      </c>
      <c r="T139" s="1">
        <v>0</v>
      </c>
      <c r="U139" s="1">
        <v>0</v>
      </c>
      <c r="V139" s="1" t="s">
        <v>675</v>
      </c>
    </row>
    <row r="140" spans="1:25" ht="13">
      <c r="A140" s="1" t="s">
        <v>680</v>
      </c>
      <c r="B140" s="1" t="s">
        <v>34</v>
      </c>
      <c r="C140" s="1" t="s">
        <v>35</v>
      </c>
      <c r="D140" s="1"/>
      <c r="E140" s="6">
        <v>19180</v>
      </c>
      <c r="F140" s="1" t="s">
        <v>84</v>
      </c>
      <c r="G140" s="1">
        <v>1985</v>
      </c>
      <c r="H140" s="1">
        <v>11</v>
      </c>
      <c r="I140" s="1" t="s">
        <v>38</v>
      </c>
      <c r="J140" s="1"/>
      <c r="K140" s="1" t="s">
        <v>90</v>
      </c>
      <c r="L140" s="1" t="s">
        <v>681</v>
      </c>
      <c r="M140" s="1" t="s">
        <v>682</v>
      </c>
      <c r="N140" s="1" t="s">
        <v>506</v>
      </c>
      <c r="O140" s="1" t="s">
        <v>683</v>
      </c>
      <c r="P140" s="1" t="s">
        <v>49</v>
      </c>
      <c r="Q140" s="1" t="s">
        <v>50</v>
      </c>
      <c r="R140" s="1">
        <v>4</v>
      </c>
      <c r="S140" s="1">
        <v>1026</v>
      </c>
      <c r="T140" s="1">
        <v>0</v>
      </c>
      <c r="U140" s="1">
        <v>0</v>
      </c>
      <c r="V140" s="1" t="s">
        <v>684</v>
      </c>
    </row>
    <row r="141" spans="1:25" ht="13">
      <c r="A141" s="1" t="s">
        <v>685</v>
      </c>
      <c r="B141" s="1" t="s">
        <v>34</v>
      </c>
      <c r="C141" s="1" t="s">
        <v>35</v>
      </c>
      <c r="D141" s="1"/>
      <c r="E141" s="6">
        <v>20353</v>
      </c>
      <c r="F141" s="1" t="s">
        <v>84</v>
      </c>
      <c r="G141" s="1">
        <v>1985</v>
      </c>
      <c r="H141" s="1">
        <v>11</v>
      </c>
      <c r="I141" s="1" t="s">
        <v>38</v>
      </c>
      <c r="J141" s="1"/>
      <c r="K141" s="1" t="s">
        <v>90</v>
      </c>
      <c r="L141" s="1" t="s">
        <v>686</v>
      </c>
      <c r="M141" s="1" t="s">
        <v>687</v>
      </c>
      <c r="N141" s="1" t="s">
        <v>289</v>
      </c>
      <c r="O141" s="1" t="s">
        <v>87</v>
      </c>
      <c r="R141" s="1">
        <v>3</v>
      </c>
      <c r="S141" s="1">
        <v>766</v>
      </c>
      <c r="T141" s="1">
        <v>3</v>
      </c>
      <c r="U141" s="1">
        <v>18</v>
      </c>
      <c r="V141" s="1" t="s">
        <v>688</v>
      </c>
    </row>
    <row r="142" spans="1:25" ht="13">
      <c r="A142" s="1" t="s">
        <v>694</v>
      </c>
      <c r="B142" s="1" t="s">
        <v>34</v>
      </c>
      <c r="C142" s="1" t="s">
        <v>35</v>
      </c>
      <c r="D142" s="1"/>
      <c r="E142" s="6">
        <v>18583</v>
      </c>
      <c r="F142" s="1" t="s">
        <v>84</v>
      </c>
      <c r="G142" s="1">
        <v>1985</v>
      </c>
      <c r="H142" s="1">
        <v>11</v>
      </c>
      <c r="I142" s="1" t="s">
        <v>38</v>
      </c>
      <c r="J142" s="1"/>
      <c r="K142" s="1" t="s">
        <v>90</v>
      </c>
      <c r="L142" s="1" t="s">
        <v>695</v>
      </c>
      <c r="M142" s="1" t="s">
        <v>696</v>
      </c>
      <c r="N142" s="1" t="s">
        <v>697</v>
      </c>
      <c r="O142" s="1" t="s">
        <v>697</v>
      </c>
      <c r="P142" s="1" t="s">
        <v>49</v>
      </c>
      <c r="Q142" s="1" t="s">
        <v>50</v>
      </c>
      <c r="R142" s="1">
        <v>3</v>
      </c>
      <c r="S142" s="1">
        <v>712</v>
      </c>
      <c r="T142" s="1">
        <v>1</v>
      </c>
      <c r="U142" s="1">
        <v>6</v>
      </c>
      <c r="V142" s="1" t="s">
        <v>698</v>
      </c>
    </row>
    <row r="143" spans="1:25" ht="13">
      <c r="A143" s="1" t="s">
        <v>699</v>
      </c>
      <c r="B143" s="1" t="s">
        <v>34</v>
      </c>
      <c r="C143" s="1" t="s">
        <v>35</v>
      </c>
      <c r="D143" s="1"/>
      <c r="E143" s="6">
        <v>18809</v>
      </c>
      <c r="F143" s="1" t="s">
        <v>36</v>
      </c>
      <c r="G143" s="1">
        <v>1985</v>
      </c>
      <c r="H143" s="1">
        <v>11</v>
      </c>
      <c r="I143" s="1" t="s">
        <v>38</v>
      </c>
      <c r="J143" s="1"/>
      <c r="K143" s="1" t="s">
        <v>90</v>
      </c>
      <c r="L143" s="1" t="s">
        <v>168</v>
      </c>
      <c r="M143" s="1" t="s">
        <v>69</v>
      </c>
      <c r="N143" s="1" t="s">
        <v>87</v>
      </c>
      <c r="R143" s="1">
        <v>3</v>
      </c>
      <c r="S143" s="1">
        <v>814</v>
      </c>
      <c r="T143" s="1">
        <v>0</v>
      </c>
      <c r="U143" s="1">
        <v>0</v>
      </c>
      <c r="V143" s="1" t="s">
        <v>700</v>
      </c>
    </row>
    <row r="144" spans="1:25" ht="13">
      <c r="A144" s="1" t="s">
        <v>701</v>
      </c>
      <c r="B144" s="1" t="s">
        <v>34</v>
      </c>
      <c r="C144" s="1" t="s">
        <v>35</v>
      </c>
      <c r="D144" s="1"/>
      <c r="E144" s="6">
        <v>19401</v>
      </c>
      <c r="F144" s="1" t="s">
        <v>36</v>
      </c>
      <c r="G144" s="1">
        <v>1985</v>
      </c>
      <c r="H144" s="1">
        <v>11</v>
      </c>
      <c r="I144" s="1" t="s">
        <v>38</v>
      </c>
      <c r="J144" s="1"/>
      <c r="K144" s="1" t="s">
        <v>39</v>
      </c>
      <c r="L144" s="1" t="s">
        <v>702</v>
      </c>
      <c r="M144" s="1" t="s">
        <v>69</v>
      </c>
      <c r="N144" s="1" t="s">
        <v>55</v>
      </c>
      <c r="P144" s="1" t="s">
        <v>149</v>
      </c>
      <c r="Q144" s="1" t="s">
        <v>150</v>
      </c>
      <c r="R144" s="1">
        <v>0</v>
      </c>
      <c r="S144" s="1">
        <v>0</v>
      </c>
      <c r="T144" s="1">
        <v>0</v>
      </c>
      <c r="U144" s="1">
        <v>0</v>
      </c>
      <c r="W144" s="6">
        <v>31556</v>
      </c>
      <c r="Y144" s="1" t="s">
        <v>703</v>
      </c>
    </row>
    <row r="145" spans="1:23" ht="13">
      <c r="A145" s="1" t="s">
        <v>704</v>
      </c>
      <c r="B145" s="1" t="s">
        <v>34</v>
      </c>
      <c r="C145" s="1" t="s">
        <v>35</v>
      </c>
      <c r="D145" s="1"/>
      <c r="E145" s="6">
        <v>20228</v>
      </c>
      <c r="F145" s="1" t="s">
        <v>84</v>
      </c>
      <c r="G145" s="1">
        <v>1985</v>
      </c>
      <c r="H145" s="1">
        <v>11</v>
      </c>
      <c r="I145" s="1" t="s">
        <v>38</v>
      </c>
      <c r="J145" s="1"/>
      <c r="K145" s="1" t="s">
        <v>90</v>
      </c>
      <c r="L145" s="1" t="s">
        <v>705</v>
      </c>
      <c r="M145" s="1" t="s">
        <v>523</v>
      </c>
      <c r="N145" s="1" t="s">
        <v>158</v>
      </c>
      <c r="O145" s="1" t="s">
        <v>525</v>
      </c>
      <c r="P145" s="1" t="s">
        <v>43</v>
      </c>
      <c r="Q145" s="1" t="s">
        <v>150</v>
      </c>
      <c r="R145" s="1">
        <v>3</v>
      </c>
      <c r="S145" s="1">
        <v>654</v>
      </c>
      <c r="T145" s="1">
        <v>3</v>
      </c>
      <c r="U145" s="1">
        <v>17</v>
      </c>
      <c r="V145" s="1" t="s">
        <v>706</v>
      </c>
    </row>
    <row r="146" spans="1:23" ht="13">
      <c r="A146" s="1" t="s">
        <v>707</v>
      </c>
      <c r="B146" s="1" t="s">
        <v>34</v>
      </c>
      <c r="C146" s="1" t="s">
        <v>35</v>
      </c>
      <c r="D146" s="1"/>
      <c r="E146" s="6">
        <v>18768</v>
      </c>
      <c r="F146" s="1" t="s">
        <v>84</v>
      </c>
      <c r="G146" s="1">
        <v>1987</v>
      </c>
      <c r="H146" s="1">
        <v>12</v>
      </c>
      <c r="I146" s="1" t="s">
        <v>38</v>
      </c>
      <c r="J146" s="1"/>
      <c r="K146" s="1" t="s">
        <v>90</v>
      </c>
      <c r="L146" s="1" t="s">
        <v>591</v>
      </c>
      <c r="M146" s="1" t="s">
        <v>708</v>
      </c>
      <c r="N146" s="1" t="s">
        <v>709</v>
      </c>
      <c r="O146" s="1" t="s">
        <v>709</v>
      </c>
      <c r="P146" s="1" t="s">
        <v>49</v>
      </c>
      <c r="Q146" s="1" t="s">
        <v>50</v>
      </c>
      <c r="R146" s="1">
        <v>4</v>
      </c>
      <c r="S146" s="1">
        <v>814</v>
      </c>
      <c r="T146" s="1">
        <v>4</v>
      </c>
      <c r="U146" s="1">
        <v>29</v>
      </c>
      <c r="V146" s="1" t="s">
        <v>710</v>
      </c>
    </row>
    <row r="147" spans="1:23" ht="13">
      <c r="A147" s="1" t="s">
        <v>711</v>
      </c>
      <c r="B147" s="1" t="s">
        <v>34</v>
      </c>
      <c r="C147" s="1" t="s">
        <v>35</v>
      </c>
      <c r="D147" s="1"/>
      <c r="E147" s="6">
        <v>20305</v>
      </c>
      <c r="F147" s="1" t="s">
        <v>84</v>
      </c>
      <c r="G147" s="1">
        <v>1987</v>
      </c>
      <c r="H147" s="1">
        <v>12</v>
      </c>
      <c r="I147" s="1" t="s">
        <v>38</v>
      </c>
      <c r="J147" s="1"/>
      <c r="K147" s="1" t="s">
        <v>90</v>
      </c>
      <c r="L147" s="1" t="s">
        <v>95</v>
      </c>
      <c r="M147" s="1" t="s">
        <v>712</v>
      </c>
      <c r="N147" s="1" t="s">
        <v>62</v>
      </c>
      <c r="O147" s="1" t="s">
        <v>216</v>
      </c>
      <c r="P147" s="1" t="s">
        <v>63</v>
      </c>
      <c r="Q147" s="1" t="s">
        <v>56</v>
      </c>
      <c r="R147" s="1">
        <v>3</v>
      </c>
      <c r="S147" s="1">
        <v>906</v>
      </c>
      <c r="T147" s="1">
        <v>0</v>
      </c>
      <c r="U147" s="1">
        <v>0</v>
      </c>
      <c r="V147" s="1" t="s">
        <v>713</v>
      </c>
    </row>
    <row r="148" spans="1:23" ht="13">
      <c r="A148" s="1" t="s">
        <v>714</v>
      </c>
      <c r="B148" s="1" t="s">
        <v>34</v>
      </c>
      <c r="C148" s="1" t="s">
        <v>35</v>
      </c>
      <c r="D148" s="1"/>
      <c r="E148" s="6">
        <v>20773</v>
      </c>
      <c r="F148" s="1" t="s">
        <v>36</v>
      </c>
      <c r="G148" s="1">
        <v>1987</v>
      </c>
      <c r="H148" s="1">
        <v>12</v>
      </c>
      <c r="I148" s="1" t="s">
        <v>38</v>
      </c>
      <c r="J148" s="1"/>
      <c r="K148" s="1" t="s">
        <v>90</v>
      </c>
      <c r="L148" s="1" t="s">
        <v>715</v>
      </c>
      <c r="M148" s="1" t="s">
        <v>716</v>
      </c>
      <c r="N148" s="1" t="s">
        <v>87</v>
      </c>
      <c r="O148" s="1" t="s">
        <v>62</v>
      </c>
      <c r="P148" s="1" t="s">
        <v>71</v>
      </c>
      <c r="Q148" s="1" t="s">
        <v>44</v>
      </c>
      <c r="R148" s="1">
        <v>5</v>
      </c>
      <c r="S148" s="1">
        <v>5078</v>
      </c>
      <c r="T148" s="1">
        <v>2</v>
      </c>
      <c r="U148" s="1">
        <v>13</v>
      </c>
      <c r="V148" s="1" t="s">
        <v>717</v>
      </c>
    </row>
    <row r="149" spans="1:23" ht="13">
      <c r="A149" s="1" t="s">
        <v>718</v>
      </c>
      <c r="B149" s="1" t="s">
        <v>34</v>
      </c>
      <c r="C149" s="1" t="s">
        <v>35</v>
      </c>
      <c r="D149" s="1"/>
      <c r="E149" s="6">
        <v>20525</v>
      </c>
      <c r="F149" s="1" t="s">
        <v>36</v>
      </c>
      <c r="G149" s="1">
        <v>1987</v>
      </c>
      <c r="H149" s="1">
        <v>12</v>
      </c>
      <c r="I149" s="1" t="s">
        <v>38</v>
      </c>
      <c r="J149" s="1"/>
      <c r="K149" s="1" t="s">
        <v>90</v>
      </c>
      <c r="L149" s="1" t="s">
        <v>719</v>
      </c>
      <c r="M149" s="1" t="s">
        <v>557</v>
      </c>
      <c r="N149" s="1" t="s">
        <v>139</v>
      </c>
      <c r="P149" s="1" t="s">
        <v>49</v>
      </c>
      <c r="Q149" s="1" t="s">
        <v>50</v>
      </c>
      <c r="R149" s="1">
        <v>6</v>
      </c>
      <c r="S149" s="1">
        <v>1383</v>
      </c>
      <c r="T149" s="1">
        <v>0</v>
      </c>
      <c r="U149" s="1">
        <v>0</v>
      </c>
      <c r="V149" s="1" t="s">
        <v>720</v>
      </c>
    </row>
    <row r="150" spans="1:23" ht="13">
      <c r="A150" s="1" t="s">
        <v>721</v>
      </c>
      <c r="B150" s="1" t="s">
        <v>34</v>
      </c>
      <c r="C150" s="1" t="s">
        <v>35</v>
      </c>
      <c r="D150" s="1"/>
      <c r="E150" s="6">
        <v>19794</v>
      </c>
      <c r="F150" s="1" t="s">
        <v>84</v>
      </c>
      <c r="G150" s="1">
        <v>1987</v>
      </c>
      <c r="H150" s="1">
        <v>12</v>
      </c>
      <c r="I150" s="1" t="s">
        <v>38</v>
      </c>
      <c r="J150" s="1"/>
      <c r="K150" s="1" t="s">
        <v>90</v>
      </c>
      <c r="L150" s="1" t="s">
        <v>468</v>
      </c>
      <c r="M150" s="1" t="s">
        <v>722</v>
      </c>
      <c r="N150" s="1" t="s">
        <v>346</v>
      </c>
      <c r="O150" s="1" t="s">
        <v>62</v>
      </c>
      <c r="P150" s="1" t="s">
        <v>105</v>
      </c>
      <c r="Q150" s="1" t="s">
        <v>50</v>
      </c>
      <c r="R150" s="1">
        <v>3</v>
      </c>
      <c r="S150" s="1">
        <v>700</v>
      </c>
      <c r="T150" s="1">
        <v>0</v>
      </c>
      <c r="U150" s="1">
        <v>0</v>
      </c>
      <c r="V150" s="1" t="s">
        <v>723</v>
      </c>
    </row>
    <row r="151" spans="1:23" ht="13">
      <c r="A151" s="1" t="s">
        <v>729</v>
      </c>
      <c r="B151" s="1" t="s">
        <v>34</v>
      </c>
      <c r="C151" s="1" t="s">
        <v>35</v>
      </c>
      <c r="D151" s="1"/>
      <c r="E151" s="6">
        <v>20826</v>
      </c>
      <c r="F151" s="1" t="s">
        <v>124</v>
      </c>
      <c r="G151" s="1">
        <v>1987</v>
      </c>
      <c r="H151" s="1">
        <v>12</v>
      </c>
      <c r="I151" s="1" t="s">
        <v>38</v>
      </c>
      <c r="J151" s="1"/>
      <c r="K151" s="1" t="s">
        <v>1057</v>
      </c>
      <c r="L151" s="1" t="s">
        <v>730</v>
      </c>
      <c r="M151" s="1" t="s">
        <v>731</v>
      </c>
      <c r="N151" s="1" t="s">
        <v>158</v>
      </c>
      <c r="O151" s="1" t="s">
        <v>732</v>
      </c>
      <c r="R151" s="1">
        <v>6</v>
      </c>
      <c r="S151" s="1">
        <v>8970</v>
      </c>
      <c r="T151" s="1">
        <v>4</v>
      </c>
      <c r="U151" s="1">
        <v>22</v>
      </c>
      <c r="V151" s="1" t="s">
        <v>733</v>
      </c>
    </row>
    <row r="152" spans="1:23" ht="13">
      <c r="A152" s="1" t="s">
        <v>734</v>
      </c>
      <c r="B152" s="1" t="s">
        <v>34</v>
      </c>
      <c r="C152" s="1" t="s">
        <v>35</v>
      </c>
      <c r="D152" s="1"/>
      <c r="E152" s="6">
        <v>20560</v>
      </c>
      <c r="F152" s="1" t="s">
        <v>84</v>
      </c>
      <c r="G152" s="1">
        <v>1987</v>
      </c>
      <c r="H152" s="1">
        <v>12</v>
      </c>
      <c r="I152" s="1" t="s">
        <v>38</v>
      </c>
      <c r="J152" s="1"/>
      <c r="K152" s="1" t="s">
        <v>90</v>
      </c>
      <c r="L152" s="1" t="s">
        <v>99</v>
      </c>
      <c r="M152" s="1" t="s">
        <v>735</v>
      </c>
      <c r="N152" s="1" t="s">
        <v>285</v>
      </c>
      <c r="O152" s="1" t="s">
        <v>736</v>
      </c>
      <c r="R152" s="1">
        <v>4</v>
      </c>
      <c r="S152" s="1">
        <v>817</v>
      </c>
      <c r="T152" s="1">
        <v>3</v>
      </c>
      <c r="U152" s="1">
        <v>18</v>
      </c>
      <c r="V152" s="1" t="s">
        <v>737</v>
      </c>
    </row>
    <row r="153" spans="1:23" ht="13">
      <c r="A153" s="1" t="s">
        <v>742</v>
      </c>
      <c r="B153" s="1" t="s">
        <v>34</v>
      </c>
      <c r="C153" s="1" t="s">
        <v>35</v>
      </c>
      <c r="D153" s="1"/>
      <c r="E153" s="6">
        <v>19128</v>
      </c>
      <c r="F153" s="1" t="s">
        <v>84</v>
      </c>
      <c r="G153" s="1">
        <v>1987</v>
      </c>
      <c r="H153" s="1">
        <v>12</v>
      </c>
      <c r="I153" s="1" t="s">
        <v>38</v>
      </c>
      <c r="J153" s="1"/>
      <c r="K153" s="1" t="s">
        <v>90</v>
      </c>
      <c r="L153" s="1" t="s">
        <v>743</v>
      </c>
      <c r="M153" s="1" t="s">
        <v>744</v>
      </c>
      <c r="N153" s="1" t="s">
        <v>104</v>
      </c>
      <c r="O153" s="1" t="s">
        <v>452</v>
      </c>
      <c r="P153" s="1" t="s">
        <v>49</v>
      </c>
      <c r="Q153" s="1" t="s">
        <v>50</v>
      </c>
      <c r="R153" s="1">
        <v>3</v>
      </c>
      <c r="S153" s="1">
        <v>605</v>
      </c>
      <c r="T153" s="1">
        <v>0</v>
      </c>
      <c r="U153" s="1">
        <v>0</v>
      </c>
      <c r="V153" s="1" t="s">
        <v>745</v>
      </c>
    </row>
    <row r="154" spans="1:23" ht="13">
      <c r="A154" s="1" t="s">
        <v>746</v>
      </c>
      <c r="B154" s="1" t="s">
        <v>34</v>
      </c>
      <c r="C154" s="1" t="s">
        <v>35</v>
      </c>
      <c r="D154" s="1"/>
      <c r="E154" s="6">
        <v>18237</v>
      </c>
      <c r="F154" s="1" t="s">
        <v>84</v>
      </c>
      <c r="G154" s="1">
        <v>1987</v>
      </c>
      <c r="H154" s="1">
        <v>12</v>
      </c>
      <c r="I154" s="1" t="s">
        <v>38</v>
      </c>
      <c r="J154" s="1"/>
      <c r="K154" s="1" t="s">
        <v>90</v>
      </c>
      <c r="L154" s="1" t="s">
        <v>326</v>
      </c>
      <c r="M154" s="1" t="s">
        <v>747</v>
      </c>
      <c r="N154" s="1" t="s">
        <v>55</v>
      </c>
      <c r="O154" s="1" t="s">
        <v>574</v>
      </c>
      <c r="P154" s="1" t="s">
        <v>43</v>
      </c>
      <c r="Q154" s="1" t="s">
        <v>748</v>
      </c>
      <c r="R154" s="1">
        <v>2</v>
      </c>
      <c r="S154" s="1">
        <v>311</v>
      </c>
      <c r="T154" s="1">
        <v>0</v>
      </c>
      <c r="U154" s="1">
        <v>0</v>
      </c>
      <c r="V154" s="1" t="s">
        <v>749</v>
      </c>
    </row>
    <row r="155" spans="1:23" ht="13">
      <c r="A155" s="1" t="s">
        <v>750</v>
      </c>
      <c r="B155" s="1" t="s">
        <v>34</v>
      </c>
      <c r="C155" s="1" t="s">
        <v>35</v>
      </c>
      <c r="D155" s="1"/>
      <c r="E155" s="6">
        <v>19017</v>
      </c>
      <c r="F155" s="1" t="s">
        <v>36</v>
      </c>
      <c r="G155" s="1">
        <v>1987</v>
      </c>
      <c r="H155" s="1">
        <v>12</v>
      </c>
      <c r="I155" s="1" t="s">
        <v>38</v>
      </c>
      <c r="J155" s="1"/>
      <c r="K155" s="1" t="s">
        <v>90</v>
      </c>
      <c r="L155" s="1" t="s">
        <v>751</v>
      </c>
      <c r="M155" s="1" t="s">
        <v>69</v>
      </c>
      <c r="N155" s="1" t="s">
        <v>87</v>
      </c>
      <c r="P155" s="1" t="s">
        <v>71</v>
      </c>
      <c r="Q155" s="1" t="s">
        <v>44</v>
      </c>
      <c r="R155" s="1">
        <v>3</v>
      </c>
      <c r="S155" s="1">
        <v>672</v>
      </c>
      <c r="T155" s="1">
        <v>0</v>
      </c>
      <c r="U155" s="1">
        <v>0</v>
      </c>
      <c r="V155" s="1" t="s">
        <v>752</v>
      </c>
    </row>
    <row r="156" spans="1:23" ht="13">
      <c r="A156" s="1" t="s">
        <v>753</v>
      </c>
      <c r="B156" s="1" t="s">
        <v>34</v>
      </c>
      <c r="C156" s="1" t="s">
        <v>35</v>
      </c>
      <c r="D156" s="1"/>
      <c r="E156" s="6">
        <v>18711</v>
      </c>
      <c r="F156" s="1" t="s">
        <v>84</v>
      </c>
      <c r="G156" s="1">
        <v>1987</v>
      </c>
      <c r="H156" s="1">
        <v>12</v>
      </c>
      <c r="I156" s="1" t="s">
        <v>38</v>
      </c>
      <c r="J156" s="1"/>
      <c r="K156" s="1" t="s">
        <v>90</v>
      </c>
      <c r="L156" s="1" t="s">
        <v>754</v>
      </c>
      <c r="M156" s="1" t="s">
        <v>755</v>
      </c>
      <c r="N156" s="1" t="s">
        <v>87</v>
      </c>
      <c r="O156" s="1" t="s">
        <v>756</v>
      </c>
      <c r="P156" s="1" t="s">
        <v>71</v>
      </c>
      <c r="Q156" s="1" t="s">
        <v>44</v>
      </c>
      <c r="R156" s="1">
        <v>2</v>
      </c>
      <c r="S156" s="1">
        <v>327</v>
      </c>
      <c r="T156" s="1">
        <v>0</v>
      </c>
      <c r="U156" s="1">
        <v>0</v>
      </c>
      <c r="V156" s="1" t="s">
        <v>757</v>
      </c>
    </row>
    <row r="157" spans="1:23" ht="13">
      <c r="A157" s="1" t="s">
        <v>758</v>
      </c>
      <c r="B157" s="1" t="s">
        <v>34</v>
      </c>
      <c r="C157" s="1" t="s">
        <v>35</v>
      </c>
      <c r="D157" s="1"/>
      <c r="E157" s="6">
        <v>19019</v>
      </c>
      <c r="F157" s="1" t="s">
        <v>84</v>
      </c>
      <c r="G157" s="1">
        <v>1987</v>
      </c>
      <c r="H157" s="1">
        <v>12</v>
      </c>
      <c r="I157" s="1" t="s">
        <v>38</v>
      </c>
      <c r="J157" s="1"/>
      <c r="K157" s="1" t="s">
        <v>521</v>
      </c>
      <c r="L157" s="1" t="s">
        <v>759</v>
      </c>
      <c r="M157" s="1" t="s">
        <v>760</v>
      </c>
      <c r="N157" s="1" t="s">
        <v>761</v>
      </c>
      <c r="O157" s="1" t="s">
        <v>762</v>
      </c>
      <c r="P157" s="1" t="s">
        <v>149</v>
      </c>
      <c r="Q157" s="1" t="s">
        <v>44</v>
      </c>
      <c r="R157" s="1">
        <v>3</v>
      </c>
      <c r="S157" s="1">
        <v>551</v>
      </c>
      <c r="T157" s="1">
        <v>0</v>
      </c>
      <c r="U157" s="1">
        <v>0</v>
      </c>
      <c r="V157" s="1" t="s">
        <v>763</v>
      </c>
      <c r="W157" s="21">
        <v>37004</v>
      </c>
    </row>
    <row r="158" spans="1:23" ht="13">
      <c r="A158" s="1" t="s">
        <v>764</v>
      </c>
      <c r="B158" s="1" t="s">
        <v>34</v>
      </c>
      <c r="C158" s="1" t="s">
        <v>35</v>
      </c>
      <c r="D158" s="1"/>
      <c r="E158" s="6">
        <v>17960</v>
      </c>
      <c r="F158" s="1" t="s">
        <v>84</v>
      </c>
      <c r="G158" s="1">
        <v>1987</v>
      </c>
      <c r="H158" s="1">
        <v>12</v>
      </c>
      <c r="I158" s="1" t="s">
        <v>38</v>
      </c>
      <c r="J158" s="1"/>
      <c r="K158" s="1" t="s">
        <v>90</v>
      </c>
      <c r="L158" s="1" t="s">
        <v>765</v>
      </c>
      <c r="M158" s="1" t="s">
        <v>766</v>
      </c>
      <c r="N158" s="1" t="s">
        <v>87</v>
      </c>
      <c r="O158" s="1" t="s">
        <v>767</v>
      </c>
      <c r="P158" s="1" t="s">
        <v>49</v>
      </c>
      <c r="Q158" s="1" t="s">
        <v>490</v>
      </c>
      <c r="R158" s="1">
        <v>5</v>
      </c>
      <c r="S158" s="1">
        <v>4853</v>
      </c>
      <c r="T158" s="1">
        <v>4</v>
      </c>
      <c r="U158" s="1">
        <v>22</v>
      </c>
      <c r="V158" s="1" t="s">
        <v>768</v>
      </c>
    </row>
    <row r="159" spans="1:23" ht="13">
      <c r="A159" s="1" t="s">
        <v>819</v>
      </c>
      <c r="B159" s="1" t="s">
        <v>34</v>
      </c>
      <c r="C159" s="1" t="s">
        <v>35</v>
      </c>
      <c r="D159" s="1"/>
      <c r="E159" s="6">
        <v>18835</v>
      </c>
      <c r="F159" s="1" t="s">
        <v>84</v>
      </c>
      <c r="G159" s="1">
        <v>1990</v>
      </c>
      <c r="H159" s="1">
        <v>13</v>
      </c>
      <c r="I159" s="1" t="s">
        <v>38</v>
      </c>
      <c r="J159" s="1"/>
      <c r="K159" s="1" t="s">
        <v>521</v>
      </c>
      <c r="L159" s="1" t="s">
        <v>820</v>
      </c>
      <c r="M159" s="1" t="s">
        <v>779</v>
      </c>
      <c r="N159" s="1" t="s">
        <v>821</v>
      </c>
      <c r="O159" s="1" t="s">
        <v>87</v>
      </c>
      <c r="P159" s="1" t="s">
        <v>49</v>
      </c>
      <c r="Q159" s="1" t="s">
        <v>490</v>
      </c>
      <c r="R159" s="1">
        <v>4</v>
      </c>
      <c r="S159" s="1">
        <v>5398</v>
      </c>
      <c r="T159" s="1">
        <v>4</v>
      </c>
      <c r="U159" s="1">
        <v>24</v>
      </c>
      <c r="V159" s="1" t="s">
        <v>822</v>
      </c>
    </row>
    <row r="160" spans="1:23" ht="13">
      <c r="A160" s="1" t="s">
        <v>769</v>
      </c>
      <c r="B160" s="1" t="s">
        <v>34</v>
      </c>
      <c r="C160" s="1" t="s">
        <v>35</v>
      </c>
      <c r="D160" s="1"/>
      <c r="E160" s="6">
        <v>21026</v>
      </c>
      <c r="F160" s="1" t="s">
        <v>84</v>
      </c>
      <c r="G160" s="1">
        <v>1990</v>
      </c>
      <c r="H160" s="1">
        <v>13</v>
      </c>
      <c r="I160" s="1" t="s">
        <v>38</v>
      </c>
      <c r="J160" s="1"/>
      <c r="K160" s="1" t="s">
        <v>90</v>
      </c>
      <c r="L160" s="1" t="s">
        <v>770</v>
      </c>
      <c r="M160" s="1" t="s">
        <v>565</v>
      </c>
      <c r="N160" s="1" t="s">
        <v>158</v>
      </c>
      <c r="O160" s="1" t="s">
        <v>346</v>
      </c>
      <c r="P160" s="1" t="s">
        <v>71</v>
      </c>
      <c r="Q160" s="1" t="s">
        <v>44</v>
      </c>
      <c r="R160" s="1">
        <v>4</v>
      </c>
      <c r="S160" s="1">
        <v>5446</v>
      </c>
      <c r="T160" s="1">
        <v>2</v>
      </c>
      <c r="U160" s="1">
        <v>12</v>
      </c>
      <c r="V160" s="1" t="s">
        <v>771</v>
      </c>
    </row>
    <row r="161" spans="1:22" ht="13">
      <c r="A161" s="1" t="s">
        <v>772</v>
      </c>
      <c r="B161" s="1" t="s">
        <v>34</v>
      </c>
      <c r="C161" s="1" t="s">
        <v>459</v>
      </c>
      <c r="D161" s="1" t="s">
        <v>773</v>
      </c>
      <c r="E161" s="6">
        <v>22156</v>
      </c>
      <c r="F161" s="1" t="s">
        <v>124</v>
      </c>
      <c r="G161" s="1">
        <v>1990</v>
      </c>
      <c r="H161" s="1">
        <v>13</v>
      </c>
      <c r="I161" s="1" t="s">
        <v>38</v>
      </c>
      <c r="J161" s="1"/>
      <c r="K161" s="1" t="s">
        <v>90</v>
      </c>
      <c r="L161" s="1" t="s">
        <v>774</v>
      </c>
      <c r="M161" s="1" t="s">
        <v>775</v>
      </c>
      <c r="N161" s="1" t="s">
        <v>579</v>
      </c>
      <c r="O161" s="1" t="s">
        <v>579</v>
      </c>
      <c r="R161" s="1">
        <v>4</v>
      </c>
      <c r="S161" s="1">
        <v>5503</v>
      </c>
      <c r="T161" s="1">
        <v>6</v>
      </c>
      <c r="U161" s="1">
        <v>36</v>
      </c>
      <c r="V161" s="1" t="s">
        <v>776</v>
      </c>
    </row>
    <row r="162" spans="1:22" ht="13">
      <c r="A162" s="1" t="s">
        <v>777</v>
      </c>
      <c r="B162" s="1" t="s">
        <v>34</v>
      </c>
      <c r="C162" s="1" t="s">
        <v>35</v>
      </c>
      <c r="D162" s="1"/>
      <c r="E162" s="6">
        <v>19280</v>
      </c>
      <c r="F162" s="1" t="s">
        <v>84</v>
      </c>
      <c r="G162" s="1">
        <v>1990</v>
      </c>
      <c r="H162" s="1">
        <v>13</v>
      </c>
      <c r="I162" s="1" t="s">
        <v>38</v>
      </c>
      <c r="J162" s="1"/>
      <c r="K162" s="1" t="s">
        <v>90</v>
      </c>
      <c r="L162" s="1" t="s">
        <v>778</v>
      </c>
      <c r="M162" s="1" t="s">
        <v>779</v>
      </c>
      <c r="O162" s="1" t="s">
        <v>87</v>
      </c>
      <c r="P162" s="1" t="s">
        <v>63</v>
      </c>
      <c r="Q162" s="1" t="s">
        <v>490</v>
      </c>
      <c r="R162" s="1">
        <v>3</v>
      </c>
      <c r="S162" s="1">
        <v>666</v>
      </c>
      <c r="T162" s="1">
        <v>1</v>
      </c>
      <c r="U162" s="1">
        <v>6</v>
      </c>
      <c r="V162" s="1" t="s">
        <v>780</v>
      </c>
    </row>
    <row r="163" spans="1:22" ht="13">
      <c r="A163" s="1" t="s">
        <v>781</v>
      </c>
      <c r="B163" s="1" t="s">
        <v>34</v>
      </c>
      <c r="C163" s="1" t="s">
        <v>35</v>
      </c>
      <c r="D163" s="1"/>
      <c r="E163" s="6">
        <v>18362</v>
      </c>
      <c r="F163" s="1" t="s">
        <v>84</v>
      </c>
      <c r="G163" s="1">
        <v>1990</v>
      </c>
      <c r="H163" s="1">
        <v>13</v>
      </c>
      <c r="I163" s="1" t="s">
        <v>38</v>
      </c>
      <c r="J163" s="1"/>
      <c r="K163" s="1" t="s">
        <v>521</v>
      </c>
      <c r="L163" s="1" t="s">
        <v>782</v>
      </c>
      <c r="M163" s="1" t="s">
        <v>783</v>
      </c>
      <c r="N163" s="1" t="s">
        <v>62</v>
      </c>
      <c r="O163" s="1" t="s">
        <v>574</v>
      </c>
      <c r="Q163" s="1" t="s">
        <v>784</v>
      </c>
      <c r="R163" s="1">
        <v>5</v>
      </c>
      <c r="S163" s="1">
        <v>1548</v>
      </c>
      <c r="T163" s="1">
        <v>0</v>
      </c>
      <c r="U163" s="1">
        <v>0</v>
      </c>
      <c r="V163" s="1" t="s">
        <v>785</v>
      </c>
    </row>
    <row r="164" spans="1:22" ht="13">
      <c r="A164" s="1" t="s">
        <v>797</v>
      </c>
      <c r="B164" s="1" t="s">
        <v>34</v>
      </c>
      <c r="C164" s="1" t="s">
        <v>35</v>
      </c>
      <c r="D164" s="1"/>
      <c r="E164" s="6">
        <v>20954</v>
      </c>
      <c r="F164" s="1" t="s">
        <v>84</v>
      </c>
      <c r="G164" s="1">
        <v>1990</v>
      </c>
      <c r="H164" s="1">
        <v>13</v>
      </c>
      <c r="I164" s="1" t="s">
        <v>38</v>
      </c>
      <c r="J164" s="1"/>
      <c r="K164" s="1" t="s">
        <v>90</v>
      </c>
      <c r="L164" s="1" t="s">
        <v>798</v>
      </c>
      <c r="M164" s="1" t="s">
        <v>799</v>
      </c>
      <c r="N164" s="1" t="s">
        <v>346</v>
      </c>
      <c r="O164" s="1" t="s">
        <v>800</v>
      </c>
      <c r="P164" s="1" t="s">
        <v>63</v>
      </c>
      <c r="Q164" s="1" t="s">
        <v>64</v>
      </c>
      <c r="R164" s="1">
        <v>1</v>
      </c>
      <c r="S164" s="1">
        <v>399</v>
      </c>
      <c r="T164" s="1">
        <v>0</v>
      </c>
      <c r="U164" s="1">
        <v>0</v>
      </c>
      <c r="V164" s="1" t="s">
        <v>801</v>
      </c>
    </row>
    <row r="165" spans="1:22" ht="13">
      <c r="A165" s="1" t="s">
        <v>802</v>
      </c>
      <c r="B165" s="1" t="s">
        <v>34</v>
      </c>
      <c r="C165" s="1" t="s">
        <v>35</v>
      </c>
      <c r="D165" s="1"/>
      <c r="E165" s="6">
        <v>20727</v>
      </c>
      <c r="F165" s="1" t="s">
        <v>84</v>
      </c>
      <c r="G165" s="1">
        <v>1990</v>
      </c>
      <c r="H165" s="1">
        <v>13</v>
      </c>
      <c r="I165" s="1" t="s">
        <v>38</v>
      </c>
      <c r="J165" s="1"/>
      <c r="K165" s="1" t="s">
        <v>90</v>
      </c>
      <c r="L165" s="1" t="s">
        <v>803</v>
      </c>
      <c r="M165" s="1" t="s">
        <v>804</v>
      </c>
      <c r="N165" s="1" t="s">
        <v>55</v>
      </c>
      <c r="O165" s="1" t="s">
        <v>805</v>
      </c>
      <c r="P165" s="1" t="s">
        <v>49</v>
      </c>
      <c r="Q165" s="1" t="s">
        <v>50</v>
      </c>
      <c r="R165" s="1">
        <v>5</v>
      </c>
      <c r="S165" s="1">
        <v>1258</v>
      </c>
      <c r="T165" s="1">
        <v>0</v>
      </c>
      <c r="U165" s="1">
        <v>0</v>
      </c>
      <c r="V165" s="1" t="s">
        <v>806</v>
      </c>
    </row>
    <row r="166" spans="1:22" ht="13">
      <c r="A166" s="1" t="s">
        <v>807</v>
      </c>
      <c r="B166" s="1" t="s">
        <v>34</v>
      </c>
      <c r="C166" s="1" t="s">
        <v>361</v>
      </c>
      <c r="D166" s="1"/>
      <c r="E166" s="6">
        <v>20632</v>
      </c>
      <c r="F166" s="1" t="s">
        <v>124</v>
      </c>
      <c r="G166" s="1">
        <v>1990</v>
      </c>
      <c r="H166" s="1">
        <v>13</v>
      </c>
      <c r="I166" s="1" t="s">
        <v>38</v>
      </c>
      <c r="J166" s="1"/>
      <c r="K166" s="1" t="s">
        <v>90</v>
      </c>
      <c r="L166" s="1" t="s">
        <v>808</v>
      </c>
      <c r="M166" s="1" t="s">
        <v>809</v>
      </c>
      <c r="N166" s="1" t="s">
        <v>810</v>
      </c>
      <c r="O166" s="1" t="s">
        <v>201</v>
      </c>
      <c r="R166" s="1">
        <v>2</v>
      </c>
      <c r="S166" s="1">
        <v>438</v>
      </c>
      <c r="T166" s="1">
        <v>1</v>
      </c>
      <c r="U166" s="1">
        <v>5</v>
      </c>
      <c r="V166" s="1" t="s">
        <v>811</v>
      </c>
    </row>
    <row r="167" spans="1:22" ht="13">
      <c r="A167" s="1" t="s">
        <v>815</v>
      </c>
      <c r="B167" s="1" t="s">
        <v>34</v>
      </c>
      <c r="C167" s="1" t="s">
        <v>35</v>
      </c>
      <c r="D167" s="1"/>
      <c r="E167" s="6">
        <v>20111</v>
      </c>
      <c r="F167" s="1" t="s">
        <v>124</v>
      </c>
      <c r="G167" s="1">
        <v>1990</v>
      </c>
      <c r="H167" s="1">
        <v>13</v>
      </c>
      <c r="I167" s="1" t="s">
        <v>38</v>
      </c>
      <c r="J167" s="1"/>
      <c r="K167" s="1" t="s">
        <v>90</v>
      </c>
      <c r="L167" s="1" t="s">
        <v>631</v>
      </c>
      <c r="M167" s="1" t="s">
        <v>816</v>
      </c>
      <c r="O167" s="1" t="s">
        <v>817</v>
      </c>
      <c r="R167" s="1">
        <v>4</v>
      </c>
      <c r="S167" s="1">
        <v>1272</v>
      </c>
      <c r="T167" s="1">
        <v>3</v>
      </c>
      <c r="U167" s="1">
        <v>20</v>
      </c>
      <c r="V167" s="1" t="s">
        <v>818</v>
      </c>
    </row>
    <row r="168" spans="1:22" ht="13">
      <c r="A168" s="1" t="s">
        <v>823</v>
      </c>
      <c r="B168" s="1" t="s">
        <v>34</v>
      </c>
      <c r="C168" s="1" t="s">
        <v>35</v>
      </c>
      <c r="D168" s="1"/>
      <c r="E168" s="6">
        <v>20744</v>
      </c>
      <c r="F168" s="1" t="s">
        <v>124</v>
      </c>
      <c r="G168" s="1">
        <v>1990</v>
      </c>
      <c r="H168" s="1">
        <v>13</v>
      </c>
      <c r="I168" s="1" t="s">
        <v>38</v>
      </c>
      <c r="J168" s="1"/>
      <c r="K168" s="1" t="s">
        <v>90</v>
      </c>
      <c r="L168" s="1" t="s">
        <v>643</v>
      </c>
      <c r="M168" s="1" t="s">
        <v>824</v>
      </c>
      <c r="N168" s="1" t="s">
        <v>158</v>
      </c>
      <c r="O168" s="1" t="s">
        <v>158</v>
      </c>
      <c r="R168" s="1">
        <v>4</v>
      </c>
      <c r="S168" s="1">
        <v>1042</v>
      </c>
      <c r="T168" s="1">
        <v>6</v>
      </c>
      <c r="U168" s="1">
        <v>43</v>
      </c>
      <c r="V168" s="1" t="s">
        <v>825</v>
      </c>
    </row>
    <row r="169" spans="1:22" ht="13">
      <c r="A169" s="1" t="s">
        <v>830</v>
      </c>
      <c r="B169" s="1" t="s">
        <v>34</v>
      </c>
      <c r="C169" s="1" t="s">
        <v>35</v>
      </c>
      <c r="D169" s="1"/>
      <c r="E169" s="6">
        <v>20269</v>
      </c>
      <c r="F169" s="1" t="s">
        <v>84</v>
      </c>
      <c r="G169" s="1">
        <v>1990</v>
      </c>
      <c r="H169" s="1">
        <v>13</v>
      </c>
      <c r="I169" s="1" t="s">
        <v>38</v>
      </c>
      <c r="J169" s="1"/>
      <c r="K169" s="1" t="s">
        <v>90</v>
      </c>
      <c r="L169" s="1" t="s">
        <v>831</v>
      </c>
      <c r="M169" s="1" t="s">
        <v>832</v>
      </c>
      <c r="N169" s="1" t="s">
        <v>42</v>
      </c>
      <c r="O169" s="1" t="s">
        <v>833</v>
      </c>
      <c r="P169" s="1" t="s">
        <v>49</v>
      </c>
      <c r="Q169" s="1" t="s">
        <v>50</v>
      </c>
      <c r="R169" s="1">
        <v>4</v>
      </c>
      <c r="S169" s="1">
        <v>950</v>
      </c>
      <c r="T169" s="1">
        <v>0</v>
      </c>
      <c r="U169" s="1">
        <v>0</v>
      </c>
      <c r="V169" s="1" t="s">
        <v>834</v>
      </c>
    </row>
    <row r="170" spans="1:22" ht="13">
      <c r="A170" s="1" t="s">
        <v>835</v>
      </c>
      <c r="B170" s="1" t="s">
        <v>34</v>
      </c>
      <c r="C170" s="1" t="s">
        <v>35</v>
      </c>
      <c r="D170" s="1"/>
      <c r="E170" s="6">
        <v>20611</v>
      </c>
      <c r="F170" s="1" t="s">
        <v>84</v>
      </c>
      <c r="G170" s="1">
        <v>1990</v>
      </c>
      <c r="H170" s="1">
        <v>13</v>
      </c>
      <c r="I170" s="1" t="s">
        <v>38</v>
      </c>
      <c r="J170" s="1"/>
      <c r="K170" s="1" t="s">
        <v>90</v>
      </c>
      <c r="L170" s="1" t="s">
        <v>836</v>
      </c>
      <c r="M170" s="1" t="s">
        <v>837</v>
      </c>
      <c r="N170" s="1" t="s">
        <v>42</v>
      </c>
      <c r="O170" s="1" t="s">
        <v>228</v>
      </c>
      <c r="P170" s="1" t="s">
        <v>49</v>
      </c>
      <c r="Q170" s="1" t="s">
        <v>50</v>
      </c>
      <c r="R170" s="1">
        <v>3</v>
      </c>
      <c r="S170" s="1">
        <v>939</v>
      </c>
      <c r="T170" s="1">
        <v>0</v>
      </c>
      <c r="U170" s="1">
        <v>0</v>
      </c>
      <c r="V170" s="1" t="s">
        <v>838</v>
      </c>
    </row>
    <row r="171" spans="1:22" ht="13">
      <c r="A171" s="1" t="s">
        <v>839</v>
      </c>
      <c r="B171" s="1" t="s">
        <v>34</v>
      </c>
      <c r="C171" s="1" t="s">
        <v>35</v>
      </c>
      <c r="D171" s="1"/>
      <c r="E171" s="6">
        <v>19332</v>
      </c>
      <c r="F171" s="1" t="s">
        <v>124</v>
      </c>
      <c r="G171" s="1">
        <v>1990</v>
      </c>
      <c r="H171" s="1">
        <v>13</v>
      </c>
      <c r="I171" s="1" t="s">
        <v>38</v>
      </c>
      <c r="J171" s="1"/>
      <c r="K171" s="1" t="s">
        <v>90</v>
      </c>
      <c r="L171" s="1" t="s">
        <v>99</v>
      </c>
      <c r="M171" s="1" t="s">
        <v>840</v>
      </c>
      <c r="N171" s="1" t="s">
        <v>295</v>
      </c>
      <c r="O171" s="1" t="s">
        <v>841</v>
      </c>
      <c r="P171" s="1" t="s">
        <v>49</v>
      </c>
      <c r="Q171" s="1" t="s">
        <v>134</v>
      </c>
      <c r="R171" s="1">
        <v>2</v>
      </c>
      <c r="S171" s="1">
        <v>420</v>
      </c>
      <c r="T171" s="1">
        <v>0</v>
      </c>
      <c r="U171" s="1">
        <v>0</v>
      </c>
      <c r="V171" s="1" t="s">
        <v>842</v>
      </c>
    </row>
    <row r="172" spans="1:22" ht="13">
      <c r="A172" s="1" t="s">
        <v>843</v>
      </c>
      <c r="B172" s="1" t="s">
        <v>34</v>
      </c>
      <c r="C172" s="1" t="s">
        <v>35</v>
      </c>
      <c r="D172" s="1"/>
      <c r="E172" s="6">
        <v>20215</v>
      </c>
      <c r="F172" s="1" t="s">
        <v>124</v>
      </c>
      <c r="G172" s="1">
        <v>1990</v>
      </c>
      <c r="H172" s="1">
        <v>13</v>
      </c>
      <c r="I172" s="1" t="s">
        <v>38</v>
      </c>
      <c r="J172" s="1"/>
      <c r="K172" s="1" t="s">
        <v>90</v>
      </c>
      <c r="L172" s="1" t="s">
        <v>99</v>
      </c>
      <c r="M172" s="1" t="s">
        <v>844</v>
      </c>
      <c r="N172" s="1" t="s">
        <v>158</v>
      </c>
      <c r="O172" s="1" t="s">
        <v>845</v>
      </c>
      <c r="R172" s="1">
        <v>4</v>
      </c>
      <c r="S172" s="1">
        <v>1040</v>
      </c>
      <c r="T172" s="1">
        <v>0</v>
      </c>
      <c r="U172" s="1">
        <v>0</v>
      </c>
      <c r="V172" s="1" t="s">
        <v>846</v>
      </c>
    </row>
    <row r="173" spans="1:22" ht="13">
      <c r="A173" s="1" t="s">
        <v>852</v>
      </c>
      <c r="B173" s="1" t="s">
        <v>34</v>
      </c>
      <c r="C173" s="1" t="s">
        <v>35</v>
      </c>
      <c r="D173" s="1"/>
      <c r="E173" s="6">
        <v>20338</v>
      </c>
      <c r="F173" s="1" t="s">
        <v>84</v>
      </c>
      <c r="G173" s="1">
        <v>1990</v>
      </c>
      <c r="H173" s="1">
        <v>13</v>
      </c>
      <c r="I173" s="1" t="s">
        <v>38</v>
      </c>
      <c r="J173" s="1"/>
      <c r="K173" s="1" t="s">
        <v>90</v>
      </c>
      <c r="L173" s="1" t="s">
        <v>99</v>
      </c>
      <c r="M173" s="1" t="s">
        <v>853</v>
      </c>
      <c r="N173" s="1" t="s">
        <v>158</v>
      </c>
      <c r="O173" s="1" t="s">
        <v>854</v>
      </c>
      <c r="P173" s="1" t="s">
        <v>49</v>
      </c>
      <c r="Q173" s="1" t="s">
        <v>64</v>
      </c>
      <c r="R173" s="1">
        <v>4</v>
      </c>
      <c r="S173" s="1">
        <v>5533</v>
      </c>
      <c r="T173" s="1">
        <v>3</v>
      </c>
      <c r="U173" s="1">
        <v>19</v>
      </c>
      <c r="V173" s="1" t="s">
        <v>855</v>
      </c>
    </row>
    <row r="174" spans="1:22" ht="13">
      <c r="A174" s="1" t="s">
        <v>856</v>
      </c>
      <c r="B174" s="1" t="s">
        <v>34</v>
      </c>
      <c r="C174" s="1" t="s">
        <v>35</v>
      </c>
      <c r="D174" s="1"/>
      <c r="E174" s="6">
        <v>18202</v>
      </c>
      <c r="F174" s="1" t="s">
        <v>36</v>
      </c>
      <c r="G174" s="1">
        <v>1990</v>
      </c>
      <c r="H174" s="1">
        <v>13</v>
      </c>
      <c r="I174" s="1" t="s">
        <v>38</v>
      </c>
      <c r="J174" s="1"/>
      <c r="K174" s="1" t="s">
        <v>521</v>
      </c>
      <c r="L174" s="1" t="s">
        <v>857</v>
      </c>
      <c r="M174" s="1" t="s">
        <v>858</v>
      </c>
      <c r="N174" s="1" t="s">
        <v>272</v>
      </c>
      <c r="R174" s="1">
        <v>4</v>
      </c>
      <c r="S174" s="1">
        <v>1008</v>
      </c>
      <c r="T174" s="1">
        <v>0</v>
      </c>
      <c r="U174" s="1">
        <v>0</v>
      </c>
      <c r="V174" s="1" t="s">
        <v>859</v>
      </c>
    </row>
    <row r="175" spans="1:22" ht="13">
      <c r="A175" s="1" t="s">
        <v>860</v>
      </c>
      <c r="B175" s="1" t="s">
        <v>34</v>
      </c>
      <c r="C175" s="1" t="s">
        <v>35</v>
      </c>
      <c r="D175" s="1"/>
      <c r="E175" s="6">
        <v>21413</v>
      </c>
      <c r="F175" s="1" t="s">
        <v>84</v>
      </c>
      <c r="G175" s="1">
        <v>1990</v>
      </c>
      <c r="H175" s="1">
        <v>13</v>
      </c>
      <c r="I175" s="1" t="s">
        <v>38</v>
      </c>
      <c r="J175" s="1"/>
      <c r="K175" s="1" t="s">
        <v>90</v>
      </c>
      <c r="L175" s="1" t="s">
        <v>861</v>
      </c>
      <c r="M175" s="1" t="s">
        <v>862</v>
      </c>
      <c r="N175" s="1" t="s">
        <v>158</v>
      </c>
      <c r="O175" s="1" t="s">
        <v>863</v>
      </c>
      <c r="R175" s="1">
        <v>4</v>
      </c>
      <c r="S175" s="1">
        <v>1064</v>
      </c>
      <c r="T175" s="1">
        <v>3</v>
      </c>
      <c r="U175" s="1">
        <v>20</v>
      </c>
      <c r="V175" s="1" t="s">
        <v>864</v>
      </c>
    </row>
    <row r="176" spans="1:22" ht="13">
      <c r="A176" s="1" t="s">
        <v>865</v>
      </c>
      <c r="B176" s="1" t="s">
        <v>34</v>
      </c>
      <c r="C176" s="1" t="s">
        <v>35</v>
      </c>
      <c r="D176" s="1"/>
      <c r="E176" s="6">
        <v>20690</v>
      </c>
      <c r="F176" s="1" t="s">
        <v>124</v>
      </c>
      <c r="G176" s="1">
        <v>1990</v>
      </c>
      <c r="H176" s="1">
        <v>13</v>
      </c>
      <c r="I176" s="1" t="s">
        <v>38</v>
      </c>
      <c r="J176" s="1"/>
      <c r="K176" s="1" t="s">
        <v>90</v>
      </c>
      <c r="L176" s="1" t="s">
        <v>299</v>
      </c>
      <c r="M176" s="1" t="s">
        <v>866</v>
      </c>
      <c r="N176" s="1" t="s">
        <v>139</v>
      </c>
      <c r="O176" s="1" t="s">
        <v>201</v>
      </c>
      <c r="R176" s="1">
        <v>3</v>
      </c>
      <c r="S176" s="1">
        <v>4044</v>
      </c>
      <c r="T176" s="1">
        <v>7</v>
      </c>
      <c r="U176" s="1">
        <v>41</v>
      </c>
      <c r="V176" s="1" t="s">
        <v>867</v>
      </c>
    </row>
    <row r="177" spans="1:23" ht="13">
      <c r="A177" s="1" t="s">
        <v>868</v>
      </c>
      <c r="B177" s="1" t="s">
        <v>34</v>
      </c>
      <c r="C177" s="1" t="s">
        <v>35</v>
      </c>
      <c r="D177" s="1"/>
      <c r="E177" s="6">
        <v>19723</v>
      </c>
      <c r="F177" s="1" t="s">
        <v>124</v>
      </c>
      <c r="G177" s="1">
        <v>1992</v>
      </c>
      <c r="H177" s="1">
        <v>14</v>
      </c>
      <c r="I177" s="1" t="s">
        <v>38</v>
      </c>
      <c r="J177" s="1"/>
      <c r="K177" s="1" t="s">
        <v>90</v>
      </c>
      <c r="L177" s="1" t="s">
        <v>869</v>
      </c>
      <c r="M177" s="1" t="s">
        <v>870</v>
      </c>
      <c r="N177" s="1" t="s">
        <v>139</v>
      </c>
      <c r="O177" s="1" t="s">
        <v>871</v>
      </c>
      <c r="R177" s="1">
        <v>3</v>
      </c>
      <c r="S177" s="1">
        <v>733</v>
      </c>
      <c r="T177" s="1">
        <v>4</v>
      </c>
      <c r="U177" s="1">
        <v>26</v>
      </c>
      <c r="V177" s="1" t="s">
        <v>872</v>
      </c>
    </row>
    <row r="178" spans="1:23" ht="13">
      <c r="A178" s="1" t="s">
        <v>873</v>
      </c>
      <c r="B178" s="1" t="s">
        <v>34</v>
      </c>
      <c r="C178" s="1" t="s">
        <v>35</v>
      </c>
      <c r="D178" s="1"/>
      <c r="E178" s="6">
        <v>18852</v>
      </c>
      <c r="F178" s="1" t="s">
        <v>124</v>
      </c>
      <c r="G178" s="1">
        <v>1992</v>
      </c>
      <c r="H178" s="1">
        <v>14</v>
      </c>
      <c r="I178" s="1" t="s">
        <v>38</v>
      </c>
      <c r="J178" s="1"/>
      <c r="K178" s="1" t="s">
        <v>39</v>
      </c>
      <c r="L178" s="1" t="s">
        <v>874</v>
      </c>
      <c r="M178" s="1" t="s">
        <v>875</v>
      </c>
      <c r="O178" s="1" t="s">
        <v>201</v>
      </c>
      <c r="P178" s="1" t="s">
        <v>71</v>
      </c>
      <c r="Q178" s="1" t="s">
        <v>150</v>
      </c>
      <c r="R178" s="1">
        <v>1</v>
      </c>
      <c r="S178" s="1">
        <v>405</v>
      </c>
      <c r="T178" s="1">
        <v>0</v>
      </c>
      <c r="U178" s="1">
        <v>0</v>
      </c>
      <c r="V178" s="1" t="s">
        <v>876</v>
      </c>
      <c r="W178" s="6">
        <v>38921</v>
      </c>
    </row>
    <row r="179" spans="1:23" ht="13">
      <c r="A179" s="1" t="s">
        <v>881</v>
      </c>
      <c r="B179" s="1" t="s">
        <v>34</v>
      </c>
      <c r="C179" s="1" t="s">
        <v>35</v>
      </c>
      <c r="D179" s="1"/>
      <c r="E179" s="6">
        <v>20579</v>
      </c>
      <c r="F179" s="1" t="s">
        <v>124</v>
      </c>
      <c r="G179" s="1">
        <v>1992</v>
      </c>
      <c r="H179" s="1">
        <v>14</v>
      </c>
      <c r="I179" s="1" t="s">
        <v>38</v>
      </c>
      <c r="J179" s="1"/>
      <c r="K179" s="1" t="s">
        <v>521</v>
      </c>
      <c r="L179" s="1" t="s">
        <v>882</v>
      </c>
      <c r="M179" s="1" t="s">
        <v>883</v>
      </c>
      <c r="N179" s="1" t="s">
        <v>158</v>
      </c>
      <c r="O179" s="1" t="s">
        <v>884</v>
      </c>
      <c r="R179" s="1">
        <v>4</v>
      </c>
      <c r="S179" s="1">
        <v>1039</v>
      </c>
      <c r="T179" s="1">
        <v>4</v>
      </c>
      <c r="U179" s="1">
        <v>23</v>
      </c>
      <c r="V179" s="1" t="s">
        <v>885</v>
      </c>
    </row>
    <row r="180" spans="1:23" ht="13">
      <c r="A180" s="1" t="s">
        <v>886</v>
      </c>
      <c r="B180" s="1" t="s">
        <v>34</v>
      </c>
      <c r="C180" s="1" t="s">
        <v>35</v>
      </c>
      <c r="D180" s="1"/>
      <c r="E180" s="6">
        <v>21468</v>
      </c>
      <c r="F180" s="1" t="s">
        <v>124</v>
      </c>
      <c r="G180" s="1">
        <v>1992</v>
      </c>
      <c r="H180" s="1">
        <v>14</v>
      </c>
      <c r="I180" s="1" t="s">
        <v>38</v>
      </c>
      <c r="J180" s="1"/>
      <c r="K180" s="1" t="s">
        <v>521</v>
      </c>
      <c r="L180" s="1" t="s">
        <v>102</v>
      </c>
      <c r="M180" s="1" t="s">
        <v>887</v>
      </c>
      <c r="N180" s="1" t="s">
        <v>158</v>
      </c>
      <c r="O180" s="1" t="s">
        <v>158</v>
      </c>
      <c r="R180" s="1">
        <v>5</v>
      </c>
      <c r="S180" s="1">
        <v>1407</v>
      </c>
      <c r="T180" s="1">
        <v>8</v>
      </c>
      <c r="U180" s="1">
        <v>58</v>
      </c>
      <c r="V180" s="1" t="s">
        <v>888</v>
      </c>
    </row>
    <row r="181" spans="1:23" ht="13">
      <c r="A181" s="1" t="s">
        <v>889</v>
      </c>
      <c r="B181" s="1" t="s">
        <v>34</v>
      </c>
      <c r="C181" s="1" t="s">
        <v>35</v>
      </c>
      <c r="D181" s="1"/>
      <c r="E181" s="6">
        <v>20903</v>
      </c>
      <c r="F181" s="1" t="s">
        <v>124</v>
      </c>
      <c r="G181" s="1">
        <v>1992</v>
      </c>
      <c r="H181" s="1">
        <v>14</v>
      </c>
      <c r="I181" s="1" t="s">
        <v>38</v>
      </c>
      <c r="J181" s="1"/>
      <c r="K181" s="1" t="s">
        <v>90</v>
      </c>
      <c r="L181" s="1" t="s">
        <v>95</v>
      </c>
      <c r="M181" s="1" t="s">
        <v>890</v>
      </c>
      <c r="N181" s="1" t="s">
        <v>55</v>
      </c>
      <c r="O181" s="1" t="s">
        <v>87</v>
      </c>
      <c r="P181" s="1" t="s">
        <v>49</v>
      </c>
      <c r="Q181" s="1" t="s">
        <v>50</v>
      </c>
      <c r="R181" s="1">
        <v>4</v>
      </c>
      <c r="S181" s="1">
        <v>1137</v>
      </c>
      <c r="T181" s="1">
        <v>0</v>
      </c>
      <c r="U181" s="1">
        <v>0</v>
      </c>
      <c r="V181" s="1" t="s">
        <v>891</v>
      </c>
    </row>
    <row r="182" spans="1:23" ht="13">
      <c r="A182" s="1" t="s">
        <v>892</v>
      </c>
      <c r="B182" s="1" t="s">
        <v>34</v>
      </c>
      <c r="C182" s="1" t="s">
        <v>35</v>
      </c>
      <c r="D182" s="1"/>
      <c r="E182" s="6">
        <v>21463</v>
      </c>
      <c r="F182" s="1" t="s">
        <v>84</v>
      </c>
      <c r="G182" s="1">
        <v>1992</v>
      </c>
      <c r="H182" s="1">
        <v>14</v>
      </c>
      <c r="I182" s="1" t="s">
        <v>38</v>
      </c>
      <c r="J182" s="1"/>
      <c r="K182" s="1" t="s">
        <v>90</v>
      </c>
      <c r="L182" s="1" t="s">
        <v>893</v>
      </c>
      <c r="M182" s="1" t="s">
        <v>565</v>
      </c>
      <c r="N182" s="1" t="s">
        <v>87</v>
      </c>
      <c r="O182" s="1" t="s">
        <v>42</v>
      </c>
      <c r="P182" s="1" t="s">
        <v>71</v>
      </c>
      <c r="Q182" s="1" t="s">
        <v>44</v>
      </c>
      <c r="R182" s="1">
        <v>4</v>
      </c>
      <c r="S182" s="1">
        <v>1002</v>
      </c>
      <c r="T182" s="1">
        <v>0</v>
      </c>
      <c r="U182" s="1">
        <v>0</v>
      </c>
      <c r="V182" s="1" t="s">
        <v>894</v>
      </c>
    </row>
    <row r="183" spans="1:23" ht="13">
      <c r="A183" s="1" t="s">
        <v>895</v>
      </c>
      <c r="B183" s="1" t="s">
        <v>34</v>
      </c>
      <c r="C183" s="1" t="s">
        <v>35</v>
      </c>
      <c r="D183" s="1"/>
      <c r="E183" s="6">
        <v>20714</v>
      </c>
      <c r="F183" s="1" t="s">
        <v>84</v>
      </c>
      <c r="G183" s="1">
        <v>1992</v>
      </c>
      <c r="H183" s="1">
        <v>14</v>
      </c>
      <c r="I183" s="1" t="s">
        <v>38</v>
      </c>
      <c r="J183" s="1"/>
      <c r="K183" s="1" t="s">
        <v>90</v>
      </c>
      <c r="L183" s="1" t="s">
        <v>326</v>
      </c>
      <c r="M183" s="1" t="s">
        <v>896</v>
      </c>
      <c r="N183" s="1" t="s">
        <v>104</v>
      </c>
      <c r="O183" s="1" t="s">
        <v>683</v>
      </c>
      <c r="R183" s="1">
        <v>4</v>
      </c>
      <c r="S183" s="1">
        <v>1265</v>
      </c>
      <c r="T183" s="1">
        <v>0</v>
      </c>
      <c r="U183" s="1">
        <v>0</v>
      </c>
      <c r="V183" s="1" t="s">
        <v>897</v>
      </c>
    </row>
    <row r="184" spans="1:23" ht="13">
      <c r="A184" s="1" t="s">
        <v>902</v>
      </c>
      <c r="B184" s="1" t="s">
        <v>34</v>
      </c>
      <c r="C184" s="1" t="s">
        <v>35</v>
      </c>
      <c r="D184" s="1"/>
      <c r="E184" s="6">
        <v>20105</v>
      </c>
      <c r="F184" s="1" t="s">
        <v>124</v>
      </c>
      <c r="G184" s="1">
        <v>1992</v>
      </c>
      <c r="H184" s="1">
        <v>14</v>
      </c>
      <c r="I184" s="1" t="s">
        <v>38</v>
      </c>
      <c r="J184" s="1"/>
      <c r="K184" s="1" t="s">
        <v>90</v>
      </c>
      <c r="L184" s="1" t="s">
        <v>836</v>
      </c>
      <c r="M184" s="1" t="s">
        <v>903</v>
      </c>
      <c r="N184" s="1" t="s">
        <v>904</v>
      </c>
      <c r="O184" s="1" t="s">
        <v>905</v>
      </c>
      <c r="P184" s="1" t="s">
        <v>71</v>
      </c>
      <c r="Q184" s="1" t="s">
        <v>44</v>
      </c>
      <c r="R184" s="1">
        <v>2</v>
      </c>
      <c r="S184" s="1">
        <v>3435</v>
      </c>
      <c r="T184" s="1">
        <v>1</v>
      </c>
      <c r="U184" s="1">
        <v>5</v>
      </c>
      <c r="V184" s="1" t="s">
        <v>906</v>
      </c>
    </row>
    <row r="185" spans="1:23" ht="13">
      <c r="A185" s="1" t="s">
        <v>907</v>
      </c>
      <c r="B185" s="1" t="s">
        <v>34</v>
      </c>
      <c r="C185" s="1" t="s">
        <v>35</v>
      </c>
      <c r="D185" s="1"/>
      <c r="E185" s="6">
        <v>21082</v>
      </c>
      <c r="F185" s="1" t="s">
        <v>84</v>
      </c>
      <c r="G185" s="1">
        <v>1992</v>
      </c>
      <c r="H185" s="1">
        <v>14</v>
      </c>
      <c r="I185" s="1" t="s">
        <v>38</v>
      </c>
      <c r="J185" s="1"/>
      <c r="K185" s="1" t="s">
        <v>521</v>
      </c>
      <c r="L185" s="1" t="s">
        <v>908</v>
      </c>
      <c r="M185" s="1" t="s">
        <v>909</v>
      </c>
      <c r="N185" s="1" t="s">
        <v>910</v>
      </c>
      <c r="O185" s="1" t="s">
        <v>911</v>
      </c>
      <c r="R185" s="1">
        <v>4</v>
      </c>
      <c r="S185" s="1">
        <v>1427</v>
      </c>
      <c r="T185" s="1">
        <v>6</v>
      </c>
      <c r="U185" s="1">
        <v>43</v>
      </c>
      <c r="V185" s="1" t="s">
        <v>912</v>
      </c>
    </row>
    <row r="186" spans="1:23" ht="13">
      <c r="A186" s="1" t="s">
        <v>913</v>
      </c>
      <c r="B186" s="1" t="s">
        <v>34</v>
      </c>
      <c r="C186" s="1" t="s">
        <v>530</v>
      </c>
      <c r="D186" s="1" t="s">
        <v>914</v>
      </c>
      <c r="E186" s="6">
        <v>21335</v>
      </c>
      <c r="F186" s="1" t="s">
        <v>84</v>
      </c>
      <c r="G186" s="1">
        <v>1992</v>
      </c>
      <c r="H186" s="1">
        <v>14</v>
      </c>
      <c r="I186" s="1" t="s">
        <v>38</v>
      </c>
      <c r="J186" s="1" t="s">
        <v>915</v>
      </c>
      <c r="K186" s="1" t="s">
        <v>90</v>
      </c>
      <c r="L186" s="1" t="s">
        <v>916</v>
      </c>
      <c r="M186" s="1" t="s">
        <v>565</v>
      </c>
      <c r="N186" s="1" t="s">
        <v>917</v>
      </c>
      <c r="O186" s="1" t="s">
        <v>42</v>
      </c>
      <c r="P186" s="1" t="s">
        <v>71</v>
      </c>
      <c r="Q186" s="1" t="s">
        <v>44</v>
      </c>
      <c r="R186" s="1">
        <v>3</v>
      </c>
      <c r="S186" s="1">
        <v>6190</v>
      </c>
      <c r="T186" s="1">
        <v>10</v>
      </c>
      <c r="U186" s="1">
        <v>67</v>
      </c>
      <c r="V186" s="1" t="s">
        <v>918</v>
      </c>
    </row>
    <row r="187" spans="1:23" ht="13">
      <c r="A187" s="1" t="s">
        <v>919</v>
      </c>
      <c r="B187" s="1" t="s">
        <v>34</v>
      </c>
      <c r="C187" s="1" t="s">
        <v>35</v>
      </c>
      <c r="D187" s="1"/>
      <c r="E187" s="6">
        <v>22490</v>
      </c>
      <c r="F187" s="1" t="s">
        <v>124</v>
      </c>
      <c r="G187" s="1">
        <v>1992</v>
      </c>
      <c r="H187" s="1">
        <v>14</v>
      </c>
      <c r="I187" s="1" t="s">
        <v>38</v>
      </c>
      <c r="J187" s="1"/>
      <c r="K187" s="1" t="s">
        <v>90</v>
      </c>
      <c r="L187" s="1" t="s">
        <v>920</v>
      </c>
      <c r="M187" s="1" t="s">
        <v>469</v>
      </c>
      <c r="N187" s="1" t="s">
        <v>810</v>
      </c>
      <c r="O187" s="1" t="s">
        <v>201</v>
      </c>
      <c r="R187" s="1">
        <v>5</v>
      </c>
      <c r="S187" s="1">
        <v>1404</v>
      </c>
      <c r="T187" s="1">
        <v>7</v>
      </c>
      <c r="U187" s="1">
        <v>47</v>
      </c>
      <c r="V187" s="1" t="s">
        <v>921</v>
      </c>
    </row>
    <row r="188" spans="1:23" ht="13">
      <c r="A188" s="1" t="s">
        <v>922</v>
      </c>
      <c r="B188" s="1" t="s">
        <v>34</v>
      </c>
      <c r="C188" s="1" t="s">
        <v>35</v>
      </c>
      <c r="D188" s="1"/>
      <c r="E188" s="6">
        <v>20674</v>
      </c>
      <c r="F188" s="1" t="s">
        <v>84</v>
      </c>
      <c r="G188" s="1">
        <v>1992</v>
      </c>
      <c r="H188" s="1">
        <v>14</v>
      </c>
      <c r="I188" s="1" t="s">
        <v>38</v>
      </c>
      <c r="J188" s="1"/>
      <c r="K188" s="1" t="s">
        <v>90</v>
      </c>
      <c r="L188" s="1" t="s">
        <v>923</v>
      </c>
      <c r="M188" s="1" t="s">
        <v>924</v>
      </c>
      <c r="N188" s="1" t="s">
        <v>506</v>
      </c>
      <c r="O188" s="1" t="s">
        <v>42</v>
      </c>
      <c r="P188" s="1" t="s">
        <v>71</v>
      </c>
      <c r="Q188" s="1" t="s">
        <v>44</v>
      </c>
      <c r="R188" s="1">
        <v>5</v>
      </c>
      <c r="S188" s="1">
        <v>1611</v>
      </c>
      <c r="T188" s="1">
        <v>0</v>
      </c>
      <c r="U188" s="1">
        <v>0</v>
      </c>
      <c r="V188" s="1" t="s">
        <v>925</v>
      </c>
    </row>
    <row r="189" spans="1:23" ht="13">
      <c r="A189" s="1" t="s">
        <v>926</v>
      </c>
      <c r="B189" s="1" t="s">
        <v>34</v>
      </c>
      <c r="C189" s="1" t="s">
        <v>361</v>
      </c>
      <c r="D189" s="1"/>
      <c r="E189" s="6">
        <v>18481</v>
      </c>
      <c r="F189" s="1" t="s">
        <v>84</v>
      </c>
      <c r="G189" s="1">
        <v>1992</v>
      </c>
      <c r="H189" s="1">
        <v>14</v>
      </c>
      <c r="I189" s="1" t="s">
        <v>38</v>
      </c>
      <c r="J189" s="1"/>
      <c r="K189" s="1" t="s">
        <v>90</v>
      </c>
      <c r="L189" s="1" t="s">
        <v>311</v>
      </c>
      <c r="M189" s="1" t="s">
        <v>927</v>
      </c>
      <c r="N189" s="1" t="s">
        <v>928</v>
      </c>
      <c r="O189" s="1" t="s">
        <v>42</v>
      </c>
      <c r="P189" s="1" t="s">
        <v>71</v>
      </c>
      <c r="Q189" s="1" t="s">
        <v>44</v>
      </c>
      <c r="R189" s="1">
        <v>2</v>
      </c>
      <c r="S189" s="1">
        <v>590</v>
      </c>
      <c r="T189" s="1">
        <v>3</v>
      </c>
      <c r="U189" s="1">
        <v>19</v>
      </c>
      <c r="V189" s="1" t="s">
        <v>929</v>
      </c>
    </row>
    <row r="190" spans="1:23" ht="13">
      <c r="A190" s="1" t="s">
        <v>930</v>
      </c>
      <c r="B190" s="1" t="s">
        <v>34</v>
      </c>
      <c r="C190" s="1" t="s">
        <v>35</v>
      </c>
      <c r="D190" s="1"/>
      <c r="E190" s="6">
        <v>21549</v>
      </c>
      <c r="F190" s="1" t="s">
        <v>84</v>
      </c>
      <c r="G190" s="1">
        <v>1992</v>
      </c>
      <c r="H190" s="1">
        <v>14</v>
      </c>
      <c r="I190" s="1" t="s">
        <v>38</v>
      </c>
      <c r="J190" s="1"/>
      <c r="K190" s="1" t="s">
        <v>521</v>
      </c>
      <c r="L190" s="1" t="s">
        <v>931</v>
      </c>
      <c r="M190" s="1" t="s">
        <v>469</v>
      </c>
      <c r="N190" s="1" t="s">
        <v>139</v>
      </c>
      <c r="O190" s="1" t="s">
        <v>139</v>
      </c>
      <c r="R190" s="1">
        <v>4</v>
      </c>
      <c r="S190" s="1">
        <v>960</v>
      </c>
      <c r="T190" s="1">
        <v>7</v>
      </c>
      <c r="U190" s="1">
        <v>49</v>
      </c>
      <c r="V190" s="1" t="s">
        <v>932</v>
      </c>
    </row>
    <row r="191" spans="1:23" ht="13">
      <c r="A191" s="1" t="s">
        <v>933</v>
      </c>
      <c r="B191" s="1" t="s">
        <v>34</v>
      </c>
      <c r="C191" s="1" t="s">
        <v>35</v>
      </c>
      <c r="D191" s="1"/>
      <c r="E191" s="6">
        <v>18284</v>
      </c>
      <c r="F191" s="1" t="s">
        <v>36</v>
      </c>
      <c r="G191" s="1">
        <v>1992</v>
      </c>
      <c r="H191" s="1">
        <v>14</v>
      </c>
      <c r="I191" s="1" t="s">
        <v>38</v>
      </c>
      <c r="J191" s="1"/>
      <c r="K191" s="1" t="s">
        <v>90</v>
      </c>
      <c r="L191" s="1" t="s">
        <v>934</v>
      </c>
      <c r="M191" s="1" t="s">
        <v>399</v>
      </c>
      <c r="N191" s="1" t="s">
        <v>62</v>
      </c>
      <c r="R191" s="1">
        <v>4</v>
      </c>
      <c r="S191" s="1">
        <v>1045</v>
      </c>
      <c r="T191" s="1">
        <v>7</v>
      </c>
      <c r="U191" s="1">
        <v>46</v>
      </c>
      <c r="V191" s="1" t="s">
        <v>935</v>
      </c>
    </row>
    <row r="192" spans="1:23" ht="13">
      <c r="A192" s="1" t="s">
        <v>936</v>
      </c>
      <c r="B192" s="1" t="s">
        <v>34</v>
      </c>
      <c r="C192" s="1" t="s">
        <v>35</v>
      </c>
      <c r="D192" s="1"/>
      <c r="E192" s="6">
        <v>18980</v>
      </c>
      <c r="F192" s="1" t="s">
        <v>124</v>
      </c>
      <c r="G192" s="1">
        <v>1992</v>
      </c>
      <c r="H192" s="1">
        <v>14</v>
      </c>
      <c r="I192" s="1" t="s">
        <v>38</v>
      </c>
      <c r="J192" s="1" t="s">
        <v>292</v>
      </c>
      <c r="K192" s="1" t="s">
        <v>521</v>
      </c>
      <c r="L192" s="1" t="s">
        <v>937</v>
      </c>
      <c r="M192" s="1" t="s">
        <v>938</v>
      </c>
      <c r="N192" s="1" t="s">
        <v>62</v>
      </c>
      <c r="O192" s="1" t="s">
        <v>62</v>
      </c>
      <c r="R192" s="1">
        <v>4</v>
      </c>
      <c r="S192" s="1">
        <v>4257</v>
      </c>
      <c r="T192" s="1">
        <v>1</v>
      </c>
      <c r="U192" s="1">
        <v>6</v>
      </c>
      <c r="V192" s="1" t="s">
        <v>939</v>
      </c>
    </row>
    <row r="193" spans="1:24" ht="13">
      <c r="A193" s="1" t="s">
        <v>944</v>
      </c>
      <c r="B193" s="1" t="s">
        <v>34</v>
      </c>
      <c r="C193" s="1" t="s">
        <v>35</v>
      </c>
      <c r="D193" s="1"/>
      <c r="E193" s="6">
        <v>21777</v>
      </c>
      <c r="F193" s="1" t="s">
        <v>84</v>
      </c>
      <c r="G193" s="1">
        <v>1995</v>
      </c>
      <c r="H193" s="1">
        <v>15</v>
      </c>
      <c r="I193" s="1" t="s">
        <v>38</v>
      </c>
      <c r="J193" s="1"/>
      <c r="K193" s="1" t="s">
        <v>90</v>
      </c>
      <c r="L193" s="1" t="s">
        <v>945</v>
      </c>
      <c r="M193" s="1" t="s">
        <v>946</v>
      </c>
      <c r="N193" s="1" t="s">
        <v>285</v>
      </c>
      <c r="O193" s="1" t="s">
        <v>42</v>
      </c>
      <c r="P193" s="1" t="s">
        <v>71</v>
      </c>
      <c r="Q193" s="1" t="s">
        <v>44</v>
      </c>
      <c r="R193" s="1">
        <v>4</v>
      </c>
      <c r="S193" s="1">
        <v>1236</v>
      </c>
      <c r="T193" s="1">
        <v>0</v>
      </c>
      <c r="U193" s="1">
        <v>0</v>
      </c>
      <c r="V193" s="1" t="s">
        <v>947</v>
      </c>
    </row>
    <row r="194" spans="1:24" ht="13">
      <c r="A194" s="1" t="s">
        <v>948</v>
      </c>
      <c r="B194" s="1" t="s">
        <v>34</v>
      </c>
      <c r="C194" s="1" t="s">
        <v>361</v>
      </c>
      <c r="D194" s="1"/>
      <c r="E194" s="6">
        <v>21909</v>
      </c>
      <c r="F194" s="1" t="s">
        <v>84</v>
      </c>
      <c r="G194" s="1">
        <v>1995</v>
      </c>
      <c r="H194" s="1">
        <v>15</v>
      </c>
      <c r="I194" s="1" t="s">
        <v>38</v>
      </c>
      <c r="J194" s="1"/>
      <c r="K194" s="1" t="s">
        <v>39</v>
      </c>
      <c r="L194" s="1" t="s">
        <v>949</v>
      </c>
      <c r="M194" s="1" t="s">
        <v>950</v>
      </c>
      <c r="N194" s="1" t="s">
        <v>328</v>
      </c>
      <c r="O194" s="1" t="s">
        <v>158</v>
      </c>
      <c r="P194" s="1" t="s">
        <v>63</v>
      </c>
      <c r="Q194" s="1" t="s">
        <v>64</v>
      </c>
      <c r="R194" s="1">
        <v>2</v>
      </c>
      <c r="S194" s="1">
        <v>594</v>
      </c>
      <c r="T194" s="1">
        <v>0</v>
      </c>
      <c r="U194" s="1">
        <v>0</v>
      </c>
      <c r="V194" s="1" t="s">
        <v>951</v>
      </c>
      <c r="W194" s="6">
        <v>37653</v>
      </c>
      <c r="X194" s="1" t="s">
        <v>952</v>
      </c>
    </row>
    <row r="195" spans="1:24" ht="13">
      <c r="A195" s="1" t="s">
        <v>953</v>
      </c>
      <c r="B195" s="1" t="s">
        <v>34</v>
      </c>
      <c r="C195" s="1" t="s">
        <v>35</v>
      </c>
      <c r="D195" s="1"/>
      <c r="E195" s="6">
        <v>19876</v>
      </c>
      <c r="F195" s="1" t="s">
        <v>84</v>
      </c>
      <c r="G195" s="1">
        <v>1995</v>
      </c>
      <c r="H195" s="1">
        <v>15</v>
      </c>
      <c r="I195" s="1" t="s">
        <v>38</v>
      </c>
      <c r="J195" s="1"/>
      <c r="K195" s="1" t="s">
        <v>90</v>
      </c>
      <c r="L195" s="1" t="s">
        <v>108</v>
      </c>
      <c r="M195" s="1" t="s">
        <v>954</v>
      </c>
      <c r="N195" s="1" t="s">
        <v>62</v>
      </c>
      <c r="O195" s="1" t="s">
        <v>955</v>
      </c>
      <c r="P195" s="1" t="s">
        <v>71</v>
      </c>
      <c r="Q195" s="1" t="s">
        <v>44</v>
      </c>
      <c r="R195" s="1">
        <v>3</v>
      </c>
      <c r="S195" s="1">
        <v>655</v>
      </c>
      <c r="T195" s="1">
        <v>0</v>
      </c>
      <c r="U195" s="1">
        <v>0</v>
      </c>
      <c r="V195" s="1" t="s">
        <v>956</v>
      </c>
    </row>
    <row r="196" spans="1:24" ht="13">
      <c r="A196" s="1" t="s">
        <v>957</v>
      </c>
      <c r="B196" s="1" t="s">
        <v>34</v>
      </c>
      <c r="C196" s="1" t="s">
        <v>35</v>
      </c>
      <c r="D196" s="1"/>
      <c r="E196" s="6">
        <v>21625</v>
      </c>
      <c r="F196" s="1" t="s">
        <v>84</v>
      </c>
      <c r="G196" s="1">
        <v>1995</v>
      </c>
      <c r="H196" s="1">
        <v>15</v>
      </c>
      <c r="I196" s="1" t="s">
        <v>38</v>
      </c>
      <c r="J196" s="1"/>
      <c r="K196" s="1" t="s">
        <v>90</v>
      </c>
      <c r="L196" s="1" t="s">
        <v>743</v>
      </c>
      <c r="M196" s="1" t="s">
        <v>958</v>
      </c>
      <c r="N196" s="1" t="s">
        <v>483</v>
      </c>
      <c r="O196" s="1" t="s">
        <v>654</v>
      </c>
      <c r="P196" s="1" t="s">
        <v>49</v>
      </c>
      <c r="Q196" s="1" t="s">
        <v>50</v>
      </c>
      <c r="R196" s="1">
        <v>3</v>
      </c>
      <c r="S196" s="1">
        <v>779</v>
      </c>
      <c r="T196" s="1">
        <v>0</v>
      </c>
      <c r="U196" s="1">
        <v>0</v>
      </c>
      <c r="V196" s="1" t="s">
        <v>959</v>
      </c>
    </row>
    <row r="197" spans="1:24" ht="13">
      <c r="A197" s="1" t="s">
        <v>965</v>
      </c>
      <c r="B197" s="1" t="s">
        <v>34</v>
      </c>
      <c r="C197" s="1" t="s">
        <v>361</v>
      </c>
      <c r="D197" s="1"/>
      <c r="E197" s="6">
        <v>22710</v>
      </c>
      <c r="F197" s="1" t="s">
        <v>84</v>
      </c>
      <c r="G197" s="1">
        <v>1995</v>
      </c>
      <c r="H197" s="1">
        <v>15</v>
      </c>
      <c r="I197" s="1" t="s">
        <v>38</v>
      </c>
      <c r="J197" s="1"/>
      <c r="K197" s="1" t="s">
        <v>90</v>
      </c>
      <c r="L197" s="1" t="s">
        <v>631</v>
      </c>
      <c r="M197" s="1" t="s">
        <v>565</v>
      </c>
      <c r="N197" s="1" t="s">
        <v>87</v>
      </c>
      <c r="O197" s="1" t="s">
        <v>966</v>
      </c>
      <c r="P197" s="1" t="s">
        <v>71</v>
      </c>
      <c r="Q197" s="1" t="s">
        <v>44</v>
      </c>
      <c r="R197" s="1">
        <v>3</v>
      </c>
      <c r="S197" s="1">
        <v>902</v>
      </c>
      <c r="T197" s="1">
        <v>7</v>
      </c>
      <c r="U197" s="1">
        <v>45</v>
      </c>
      <c r="V197" s="1" t="s">
        <v>967</v>
      </c>
    </row>
    <row r="198" spans="1:24" ht="13">
      <c r="A198" s="1" t="s">
        <v>968</v>
      </c>
      <c r="B198" s="1" t="s">
        <v>34</v>
      </c>
      <c r="C198" s="1" t="s">
        <v>35</v>
      </c>
      <c r="D198" s="1"/>
      <c r="E198" s="6">
        <v>21219</v>
      </c>
      <c r="F198" s="1" t="s">
        <v>84</v>
      </c>
      <c r="G198" s="1">
        <v>1995</v>
      </c>
      <c r="H198" s="1">
        <v>15</v>
      </c>
      <c r="I198" s="1" t="s">
        <v>38</v>
      </c>
      <c r="J198" s="1"/>
      <c r="K198" s="1" t="s">
        <v>90</v>
      </c>
      <c r="L198" s="1" t="s">
        <v>969</v>
      </c>
      <c r="M198" s="1" t="s">
        <v>970</v>
      </c>
      <c r="N198" s="1" t="s">
        <v>87</v>
      </c>
      <c r="O198" s="1" t="s">
        <v>955</v>
      </c>
      <c r="P198" s="1" t="s">
        <v>43</v>
      </c>
      <c r="Q198" s="1" t="s">
        <v>44</v>
      </c>
      <c r="R198" s="1">
        <v>1</v>
      </c>
      <c r="S198" s="1">
        <v>211</v>
      </c>
      <c r="T198" s="1">
        <v>0</v>
      </c>
      <c r="U198" s="1">
        <v>0</v>
      </c>
      <c r="V198" s="1" t="s">
        <v>971</v>
      </c>
    </row>
    <row r="199" spans="1:24" ht="13">
      <c r="A199" s="1" t="s">
        <v>972</v>
      </c>
      <c r="B199" s="1" t="s">
        <v>34</v>
      </c>
      <c r="C199" s="1" t="s">
        <v>35</v>
      </c>
      <c r="D199" s="1"/>
      <c r="E199" s="6">
        <v>20942</v>
      </c>
      <c r="F199" s="1" t="s">
        <v>84</v>
      </c>
      <c r="G199" s="1">
        <v>1995</v>
      </c>
      <c r="H199" s="1">
        <v>15</v>
      </c>
      <c r="I199" s="1" t="s">
        <v>38</v>
      </c>
      <c r="J199" s="1"/>
      <c r="K199" s="1" t="s">
        <v>90</v>
      </c>
      <c r="L199" s="1" t="s">
        <v>973</v>
      </c>
      <c r="M199" s="1" t="s">
        <v>974</v>
      </c>
      <c r="N199" s="1" t="s">
        <v>900</v>
      </c>
      <c r="O199" s="1" t="s">
        <v>955</v>
      </c>
      <c r="P199" s="1" t="s">
        <v>71</v>
      </c>
      <c r="Q199" s="1" t="s">
        <v>44</v>
      </c>
      <c r="R199" s="1">
        <v>4</v>
      </c>
      <c r="S199" s="1">
        <v>1167</v>
      </c>
      <c r="T199" s="1">
        <v>0</v>
      </c>
      <c r="U199" s="1">
        <v>0</v>
      </c>
      <c r="V199" s="1" t="s">
        <v>975</v>
      </c>
    </row>
    <row r="200" spans="1:24" ht="13">
      <c r="A200" s="1" t="s">
        <v>980</v>
      </c>
      <c r="B200" s="1" t="s">
        <v>34</v>
      </c>
      <c r="C200" s="1" t="s">
        <v>35</v>
      </c>
      <c r="D200" s="1"/>
      <c r="E200" s="6">
        <v>21013</v>
      </c>
      <c r="F200" s="1" t="s">
        <v>84</v>
      </c>
      <c r="G200" s="1">
        <v>1995</v>
      </c>
      <c r="H200" s="1">
        <v>15</v>
      </c>
      <c r="I200" s="1" t="s">
        <v>38</v>
      </c>
      <c r="J200" s="1"/>
      <c r="K200" s="1" t="s">
        <v>39</v>
      </c>
      <c r="L200" s="1" t="s">
        <v>981</v>
      </c>
      <c r="M200" s="1" t="s">
        <v>982</v>
      </c>
      <c r="N200" s="1" t="s">
        <v>62</v>
      </c>
      <c r="O200" s="1" t="s">
        <v>62</v>
      </c>
      <c r="P200" s="1" t="s">
        <v>49</v>
      </c>
      <c r="Q200" s="1" t="s">
        <v>64</v>
      </c>
      <c r="R200" s="1">
        <v>2</v>
      </c>
      <c r="S200" s="1">
        <v>617</v>
      </c>
      <c r="T200" s="1">
        <v>0</v>
      </c>
      <c r="U200" s="1">
        <v>0</v>
      </c>
      <c r="V200" s="1" t="s">
        <v>983</v>
      </c>
      <c r="W200" s="6">
        <v>37653</v>
      </c>
      <c r="X200" s="1" t="s">
        <v>952</v>
      </c>
    </row>
    <row r="201" spans="1:24" ht="13">
      <c r="A201" s="1" t="s">
        <v>992</v>
      </c>
      <c r="B201" s="1" t="s">
        <v>34</v>
      </c>
      <c r="C201" s="1" t="s">
        <v>35</v>
      </c>
      <c r="D201" s="1"/>
      <c r="E201" s="6">
        <v>22152</v>
      </c>
      <c r="F201" s="1" t="s">
        <v>84</v>
      </c>
      <c r="G201" s="1">
        <v>1995</v>
      </c>
      <c r="H201" s="1">
        <v>15</v>
      </c>
      <c r="I201" s="1" t="s">
        <v>38</v>
      </c>
      <c r="J201" s="1"/>
      <c r="K201" s="1" t="s">
        <v>90</v>
      </c>
      <c r="L201" s="1" t="s">
        <v>993</v>
      </c>
      <c r="M201" s="1" t="s">
        <v>994</v>
      </c>
      <c r="N201" s="1" t="s">
        <v>346</v>
      </c>
      <c r="O201" s="1" t="s">
        <v>42</v>
      </c>
      <c r="P201" s="1" t="s">
        <v>49</v>
      </c>
      <c r="Q201" s="1" t="s">
        <v>50</v>
      </c>
      <c r="R201" s="1">
        <v>5</v>
      </c>
      <c r="S201" s="1">
        <v>1510</v>
      </c>
      <c r="T201" s="1">
        <v>0</v>
      </c>
      <c r="U201" s="1">
        <v>0</v>
      </c>
      <c r="V201" s="1" t="s">
        <v>995</v>
      </c>
    </row>
    <row r="202" spans="1:24" ht="13">
      <c r="A202" s="1" t="s">
        <v>996</v>
      </c>
      <c r="B202" s="1" t="s">
        <v>34</v>
      </c>
      <c r="C202" s="1" t="s">
        <v>459</v>
      </c>
      <c r="D202" s="1" t="s">
        <v>773</v>
      </c>
      <c r="E202" s="6">
        <v>23193</v>
      </c>
      <c r="F202" s="1" t="s">
        <v>124</v>
      </c>
      <c r="G202" s="1">
        <v>1995</v>
      </c>
      <c r="H202" s="1">
        <v>15</v>
      </c>
      <c r="I202" s="1" t="s">
        <v>38</v>
      </c>
      <c r="J202" s="1"/>
      <c r="K202" s="1" t="s">
        <v>90</v>
      </c>
      <c r="L202" s="1" t="s">
        <v>661</v>
      </c>
      <c r="M202" s="1" t="s">
        <v>997</v>
      </c>
      <c r="N202" s="1" t="s">
        <v>139</v>
      </c>
      <c r="O202" s="1" t="s">
        <v>863</v>
      </c>
      <c r="R202" s="1">
        <v>3</v>
      </c>
      <c r="S202" s="1">
        <v>4962</v>
      </c>
      <c r="T202" s="1">
        <v>1</v>
      </c>
      <c r="U202" s="1">
        <v>6</v>
      </c>
      <c r="V202" s="1" t="s">
        <v>998</v>
      </c>
    </row>
    <row r="203" spans="1:24" ht="13">
      <c r="A203" s="1" t="s">
        <v>1004</v>
      </c>
      <c r="B203" s="1" t="s">
        <v>34</v>
      </c>
      <c r="C203" s="1" t="s">
        <v>530</v>
      </c>
      <c r="D203" s="1" t="s">
        <v>1005</v>
      </c>
      <c r="E203" s="6">
        <v>21831</v>
      </c>
      <c r="F203" s="1" t="s">
        <v>84</v>
      </c>
      <c r="G203" s="1">
        <v>1995</v>
      </c>
      <c r="H203" s="1">
        <v>15</v>
      </c>
      <c r="I203" s="1" t="s">
        <v>38</v>
      </c>
      <c r="J203" s="1"/>
      <c r="K203" s="1" t="s">
        <v>90</v>
      </c>
      <c r="L203" s="1" t="s">
        <v>1006</v>
      </c>
      <c r="M203" s="1" t="s">
        <v>1007</v>
      </c>
      <c r="N203" s="1" t="s">
        <v>1008</v>
      </c>
      <c r="O203" s="1" t="s">
        <v>1009</v>
      </c>
      <c r="P203" s="1" t="s">
        <v>63</v>
      </c>
      <c r="Q203" s="1" t="s">
        <v>56</v>
      </c>
      <c r="R203" s="1">
        <v>2</v>
      </c>
      <c r="S203" s="1">
        <v>481</v>
      </c>
      <c r="T203" s="1">
        <v>3</v>
      </c>
      <c r="U203" s="1">
        <v>19</v>
      </c>
      <c r="V203" s="1" t="s">
        <v>1010</v>
      </c>
    </row>
    <row r="204" spans="1:24" ht="13">
      <c r="A204" s="1" t="s">
        <v>1011</v>
      </c>
      <c r="B204" s="1" t="s">
        <v>34</v>
      </c>
      <c r="C204" s="1" t="s">
        <v>35</v>
      </c>
      <c r="D204" s="1"/>
      <c r="E204" s="6">
        <v>19801</v>
      </c>
      <c r="F204" s="1" t="s">
        <v>124</v>
      </c>
      <c r="G204" s="1">
        <v>1995</v>
      </c>
      <c r="H204" s="1">
        <v>15</v>
      </c>
      <c r="I204" s="1" t="s">
        <v>38</v>
      </c>
      <c r="J204" s="1"/>
      <c r="K204" s="1" t="s">
        <v>90</v>
      </c>
      <c r="L204" s="1" t="s">
        <v>1012</v>
      </c>
      <c r="M204" s="1" t="s">
        <v>1013</v>
      </c>
      <c r="N204" s="1" t="s">
        <v>1014</v>
      </c>
      <c r="O204" s="1" t="s">
        <v>1014</v>
      </c>
      <c r="R204" s="1">
        <v>3</v>
      </c>
      <c r="S204" s="1">
        <v>854</v>
      </c>
      <c r="T204" s="1">
        <v>5</v>
      </c>
      <c r="U204" s="1">
        <v>31</v>
      </c>
      <c r="V204" s="1" t="s">
        <v>1015</v>
      </c>
    </row>
    <row r="205" spans="1:24" ht="13">
      <c r="A205" s="1" t="s">
        <v>1016</v>
      </c>
      <c r="B205" s="1" t="s">
        <v>34</v>
      </c>
      <c r="C205" s="1" t="s">
        <v>35</v>
      </c>
      <c r="D205" s="1"/>
      <c r="E205" s="6">
        <v>20388</v>
      </c>
      <c r="F205" s="1" t="s">
        <v>124</v>
      </c>
      <c r="G205" s="1">
        <v>1995</v>
      </c>
      <c r="H205" s="1">
        <v>15</v>
      </c>
      <c r="I205" s="1" t="s">
        <v>38</v>
      </c>
      <c r="J205" s="1"/>
      <c r="K205" s="1" t="s">
        <v>90</v>
      </c>
      <c r="L205" s="1" t="s">
        <v>375</v>
      </c>
      <c r="M205" s="1" t="s">
        <v>1017</v>
      </c>
      <c r="N205" s="1" t="s">
        <v>1018</v>
      </c>
      <c r="O205" s="1" t="s">
        <v>452</v>
      </c>
      <c r="R205" s="1">
        <v>4</v>
      </c>
      <c r="S205" s="1">
        <v>1162</v>
      </c>
      <c r="T205" s="1">
        <v>3</v>
      </c>
      <c r="U205" s="1">
        <v>20</v>
      </c>
      <c r="V205" s="1" t="s">
        <v>1019</v>
      </c>
    </row>
    <row r="206" spans="1:24" ht="13">
      <c r="A206" s="1" t="s">
        <v>1020</v>
      </c>
      <c r="B206" s="1" t="s">
        <v>34</v>
      </c>
      <c r="C206" s="1" t="s">
        <v>35</v>
      </c>
      <c r="D206" s="1"/>
      <c r="E206" s="6">
        <v>22504</v>
      </c>
      <c r="F206" s="1" t="s">
        <v>84</v>
      </c>
      <c r="G206" s="1">
        <v>1995</v>
      </c>
      <c r="H206" s="1">
        <v>15</v>
      </c>
      <c r="I206" s="1" t="s">
        <v>38</v>
      </c>
      <c r="J206" s="1"/>
      <c r="K206" s="1" t="s">
        <v>90</v>
      </c>
      <c r="L206" s="1" t="s">
        <v>1021</v>
      </c>
      <c r="M206" s="1" t="s">
        <v>1022</v>
      </c>
      <c r="N206" s="1" t="s">
        <v>62</v>
      </c>
      <c r="P206" s="1" t="s">
        <v>49</v>
      </c>
      <c r="Q206" s="1" t="s">
        <v>56</v>
      </c>
      <c r="R206" s="1">
        <v>4</v>
      </c>
      <c r="S206" s="1">
        <v>1233</v>
      </c>
      <c r="T206" s="1">
        <v>0</v>
      </c>
      <c r="U206" s="1">
        <v>0</v>
      </c>
      <c r="V206" s="1" t="s">
        <v>1023</v>
      </c>
    </row>
    <row r="207" spans="1:24" ht="13">
      <c r="A207" s="1" t="s">
        <v>1024</v>
      </c>
      <c r="B207" s="1" t="s">
        <v>34</v>
      </c>
      <c r="C207" s="1" t="s">
        <v>35</v>
      </c>
      <c r="D207" s="1"/>
      <c r="E207" s="6">
        <v>20561</v>
      </c>
      <c r="F207" s="1" t="s">
        <v>124</v>
      </c>
      <c r="G207" s="1">
        <v>1996</v>
      </c>
      <c r="H207" s="1">
        <v>16</v>
      </c>
      <c r="I207" s="1" t="s">
        <v>38</v>
      </c>
      <c r="J207" s="1"/>
      <c r="K207" s="1" t="s">
        <v>39</v>
      </c>
      <c r="L207" s="1" t="s">
        <v>1025</v>
      </c>
      <c r="M207" s="1" t="s">
        <v>1026</v>
      </c>
      <c r="N207" s="1" t="s">
        <v>810</v>
      </c>
      <c r="O207" s="1" t="s">
        <v>201</v>
      </c>
      <c r="P207" s="1" t="s">
        <v>71</v>
      </c>
      <c r="Q207" s="1" t="s">
        <v>150</v>
      </c>
      <c r="R207" s="1">
        <v>1</v>
      </c>
      <c r="S207" s="1">
        <v>382</v>
      </c>
      <c r="T207" s="1">
        <v>0</v>
      </c>
      <c r="U207" s="1">
        <v>0</v>
      </c>
      <c r="V207" s="1" t="s">
        <v>952</v>
      </c>
      <c r="W207" s="6">
        <v>37653</v>
      </c>
      <c r="X207" s="1" t="s">
        <v>952</v>
      </c>
    </row>
    <row r="208" spans="1:24" ht="13">
      <c r="A208" s="1" t="s">
        <v>1027</v>
      </c>
      <c r="B208" s="1" t="s">
        <v>34</v>
      </c>
      <c r="C208" s="1" t="s">
        <v>35</v>
      </c>
      <c r="D208" s="1"/>
      <c r="E208" s="6">
        <v>22489</v>
      </c>
      <c r="F208" s="1" t="s">
        <v>84</v>
      </c>
      <c r="G208" s="1">
        <v>1996</v>
      </c>
      <c r="H208" s="1">
        <v>16</v>
      </c>
      <c r="I208" s="1" t="s">
        <v>38</v>
      </c>
      <c r="J208" s="1"/>
      <c r="K208" s="1" t="s">
        <v>1057</v>
      </c>
      <c r="L208" s="1" t="s">
        <v>1028</v>
      </c>
      <c r="M208" s="1" t="s">
        <v>1029</v>
      </c>
      <c r="N208" s="1" t="s">
        <v>139</v>
      </c>
      <c r="O208" s="1" t="s">
        <v>1030</v>
      </c>
      <c r="P208" s="1" t="s">
        <v>71</v>
      </c>
      <c r="Q208" s="1" t="s">
        <v>748</v>
      </c>
      <c r="R208" s="1">
        <v>3</v>
      </c>
      <c r="S208" s="1">
        <v>4512</v>
      </c>
      <c r="T208" s="1">
        <v>1</v>
      </c>
      <c r="U208" s="1">
        <v>7</v>
      </c>
      <c r="V208" s="1" t="s">
        <v>1031</v>
      </c>
    </row>
    <row r="209" spans="1:25" ht="13">
      <c r="A209" s="1" t="s">
        <v>1036</v>
      </c>
      <c r="B209" s="1" t="s">
        <v>34</v>
      </c>
      <c r="C209" s="1" t="s">
        <v>530</v>
      </c>
      <c r="D209" s="1" t="s">
        <v>1037</v>
      </c>
      <c r="E209" s="6">
        <v>21348</v>
      </c>
      <c r="F209" s="1" t="s">
        <v>84</v>
      </c>
      <c r="G209" s="1">
        <v>1996</v>
      </c>
      <c r="H209" s="1">
        <v>16</v>
      </c>
      <c r="I209" s="1" t="s">
        <v>38</v>
      </c>
      <c r="J209" s="1"/>
      <c r="K209" s="1" t="s">
        <v>39</v>
      </c>
      <c r="L209" s="1" t="s">
        <v>1038</v>
      </c>
      <c r="M209" s="1" t="s">
        <v>1039</v>
      </c>
      <c r="N209" s="1" t="s">
        <v>62</v>
      </c>
      <c r="O209" s="1" t="s">
        <v>654</v>
      </c>
      <c r="R209" s="1">
        <v>0</v>
      </c>
      <c r="S209" s="1">
        <v>0</v>
      </c>
      <c r="T209" s="1">
        <v>0</v>
      </c>
      <c r="U209" s="1">
        <v>0</v>
      </c>
      <c r="W209" s="6">
        <v>40089</v>
      </c>
      <c r="Y209" s="1" t="s">
        <v>1591</v>
      </c>
    </row>
    <row r="210" spans="1:25" ht="13">
      <c r="A210" s="1" t="s">
        <v>1041</v>
      </c>
      <c r="B210" s="1" t="s">
        <v>34</v>
      </c>
      <c r="C210" s="1" t="s">
        <v>35</v>
      </c>
      <c r="D210" s="1"/>
      <c r="E210" s="6">
        <v>19122</v>
      </c>
      <c r="F210" s="1" t="s">
        <v>124</v>
      </c>
      <c r="G210" s="1">
        <v>1996</v>
      </c>
      <c r="H210" s="1">
        <v>16</v>
      </c>
      <c r="I210" s="1" t="s">
        <v>38</v>
      </c>
      <c r="J210" s="1"/>
      <c r="K210" s="1" t="s">
        <v>521</v>
      </c>
      <c r="L210" s="1" t="s">
        <v>1042</v>
      </c>
      <c r="M210" s="1" t="s">
        <v>1043</v>
      </c>
      <c r="N210" s="1" t="s">
        <v>87</v>
      </c>
      <c r="O210" s="1" t="s">
        <v>1044</v>
      </c>
      <c r="R210" s="1">
        <v>1</v>
      </c>
      <c r="S210" s="1">
        <v>333</v>
      </c>
      <c r="T210" s="1">
        <v>0</v>
      </c>
      <c r="U210" s="1">
        <v>0</v>
      </c>
      <c r="V210" s="1" t="s">
        <v>1045</v>
      </c>
    </row>
    <row r="211" spans="1:25" ht="13">
      <c r="A211" s="1" t="s">
        <v>1046</v>
      </c>
      <c r="B211" s="1" t="s">
        <v>34</v>
      </c>
      <c r="C211" s="1" t="s">
        <v>35</v>
      </c>
      <c r="D211" s="1"/>
      <c r="E211" s="6">
        <v>20940</v>
      </c>
      <c r="F211" s="1" t="s">
        <v>84</v>
      </c>
      <c r="G211" s="1">
        <v>1996</v>
      </c>
      <c r="H211" s="1">
        <v>16</v>
      </c>
      <c r="I211" s="1" t="s">
        <v>38</v>
      </c>
      <c r="J211" s="1"/>
      <c r="K211" s="1" t="s">
        <v>90</v>
      </c>
      <c r="L211" s="1" t="s">
        <v>1047</v>
      </c>
      <c r="M211" s="1" t="s">
        <v>1048</v>
      </c>
      <c r="N211" s="1" t="s">
        <v>1049</v>
      </c>
      <c r="O211" s="1" t="s">
        <v>87</v>
      </c>
      <c r="P211" s="1" t="s">
        <v>63</v>
      </c>
      <c r="Q211" s="1" t="s">
        <v>50</v>
      </c>
      <c r="R211" s="1">
        <v>1</v>
      </c>
      <c r="S211" s="1">
        <v>262</v>
      </c>
      <c r="T211" s="1">
        <v>0</v>
      </c>
      <c r="U211" s="1">
        <v>0</v>
      </c>
      <c r="V211" s="1" t="s">
        <v>1050</v>
      </c>
    </row>
    <row r="212" spans="1:25" ht="13">
      <c r="A212" s="1" t="s">
        <v>1055</v>
      </c>
      <c r="B212" s="1" t="s">
        <v>34</v>
      </c>
      <c r="C212" s="1" t="s">
        <v>35</v>
      </c>
      <c r="D212" s="1"/>
      <c r="E212" s="6">
        <v>24545</v>
      </c>
      <c r="F212" s="1" t="s">
        <v>84</v>
      </c>
      <c r="G212" s="1">
        <v>1996</v>
      </c>
      <c r="H212" s="1">
        <v>16</v>
      </c>
      <c r="I212" s="1" t="s">
        <v>38</v>
      </c>
      <c r="J212" s="1"/>
      <c r="K212" s="1" t="s">
        <v>1057</v>
      </c>
      <c r="L212" s="1" t="s">
        <v>245</v>
      </c>
      <c r="M212" s="1" t="s">
        <v>1058</v>
      </c>
      <c r="N212" s="1" t="s">
        <v>1059</v>
      </c>
      <c r="O212" s="1" t="s">
        <v>1060</v>
      </c>
      <c r="P212" s="1" t="s">
        <v>49</v>
      </c>
      <c r="Q212" s="1" t="s">
        <v>64</v>
      </c>
      <c r="R212" s="1">
        <v>3</v>
      </c>
      <c r="S212" s="1">
        <v>9159</v>
      </c>
      <c r="T212" s="1">
        <v>9</v>
      </c>
      <c r="U212" s="1">
        <v>48</v>
      </c>
      <c r="V212" s="1" t="s">
        <v>1061</v>
      </c>
    </row>
    <row r="213" spans="1:25" ht="13">
      <c r="A213" s="1" t="s">
        <v>1062</v>
      </c>
      <c r="B213" s="1" t="s">
        <v>34</v>
      </c>
      <c r="C213" s="1" t="s">
        <v>35</v>
      </c>
      <c r="D213" s="1"/>
      <c r="E213" s="6">
        <v>20910</v>
      </c>
      <c r="F213" s="1" t="s">
        <v>84</v>
      </c>
      <c r="G213" s="1">
        <v>1996</v>
      </c>
      <c r="H213" s="1">
        <v>16</v>
      </c>
      <c r="I213" s="1" t="s">
        <v>38</v>
      </c>
      <c r="J213" s="1"/>
      <c r="K213" s="1" t="s">
        <v>521</v>
      </c>
      <c r="L213" s="1" t="s">
        <v>1063</v>
      </c>
      <c r="M213" s="1" t="s">
        <v>1064</v>
      </c>
      <c r="N213" s="1" t="s">
        <v>821</v>
      </c>
      <c r="O213" s="1" t="s">
        <v>1065</v>
      </c>
      <c r="P213" s="1" t="s">
        <v>49</v>
      </c>
      <c r="Q213" s="1" t="s">
        <v>490</v>
      </c>
      <c r="R213" s="1">
        <v>3</v>
      </c>
      <c r="S213" s="1">
        <v>950</v>
      </c>
      <c r="T213" s="1">
        <v>4</v>
      </c>
      <c r="U213" s="1">
        <v>25</v>
      </c>
      <c r="V213" s="1" t="s">
        <v>1066</v>
      </c>
    </row>
    <row r="214" spans="1:25" ht="13">
      <c r="A214" s="1" t="s">
        <v>1067</v>
      </c>
      <c r="B214" s="1" t="s">
        <v>34</v>
      </c>
      <c r="C214" s="1" t="s">
        <v>35</v>
      </c>
      <c r="D214" s="1"/>
      <c r="E214" s="6">
        <v>22554</v>
      </c>
      <c r="F214" s="1" t="s">
        <v>84</v>
      </c>
      <c r="G214" s="1">
        <v>1996</v>
      </c>
      <c r="H214" s="1">
        <v>16</v>
      </c>
      <c r="I214" s="1" t="s">
        <v>38</v>
      </c>
      <c r="J214" s="1"/>
      <c r="K214" s="1" t="s">
        <v>521</v>
      </c>
      <c r="L214" s="1" t="s">
        <v>245</v>
      </c>
      <c r="M214" s="1" t="s">
        <v>565</v>
      </c>
      <c r="N214" s="1" t="s">
        <v>87</v>
      </c>
      <c r="O214" s="1" t="s">
        <v>42</v>
      </c>
      <c r="P214" s="1" t="s">
        <v>71</v>
      </c>
      <c r="Q214" s="1" t="s">
        <v>44</v>
      </c>
      <c r="R214" s="1">
        <v>2</v>
      </c>
      <c r="S214" s="1">
        <v>566</v>
      </c>
      <c r="T214" s="1">
        <v>0</v>
      </c>
      <c r="U214" s="1">
        <v>0</v>
      </c>
      <c r="V214" s="1" t="s">
        <v>1068</v>
      </c>
    </row>
    <row r="215" spans="1:25" ht="13">
      <c r="A215" s="1" t="s">
        <v>1069</v>
      </c>
      <c r="B215" s="1" t="s">
        <v>34</v>
      </c>
      <c r="C215" s="1" t="s">
        <v>35</v>
      </c>
      <c r="D215" s="1"/>
      <c r="E215" s="6">
        <v>21442</v>
      </c>
      <c r="F215" s="1" t="s">
        <v>36</v>
      </c>
      <c r="G215" s="1">
        <v>1996</v>
      </c>
      <c r="H215" s="1">
        <v>16</v>
      </c>
      <c r="I215" s="1" t="s">
        <v>38</v>
      </c>
      <c r="J215" s="1"/>
      <c r="K215" s="1" t="s">
        <v>90</v>
      </c>
      <c r="L215" s="1" t="s">
        <v>1070</v>
      </c>
      <c r="M215" s="1" t="s">
        <v>1071</v>
      </c>
      <c r="N215" s="1" t="s">
        <v>709</v>
      </c>
      <c r="O215" s="1" t="s">
        <v>42</v>
      </c>
      <c r="P215" s="1" t="s">
        <v>43</v>
      </c>
      <c r="Q215" s="1" t="s">
        <v>44</v>
      </c>
      <c r="R215" s="1">
        <v>1</v>
      </c>
      <c r="S215" s="1">
        <v>330</v>
      </c>
      <c r="T215" s="1">
        <v>3</v>
      </c>
      <c r="U215" s="1">
        <v>20</v>
      </c>
      <c r="V215" s="1" t="s">
        <v>1072</v>
      </c>
    </row>
    <row r="216" spans="1:25" ht="13">
      <c r="A216" s="1" t="s">
        <v>1077</v>
      </c>
      <c r="B216" s="1" t="s">
        <v>34</v>
      </c>
      <c r="C216" s="1" t="s">
        <v>35</v>
      </c>
      <c r="D216" s="1"/>
      <c r="E216" s="6">
        <v>22590</v>
      </c>
      <c r="F216" s="1" t="s">
        <v>36</v>
      </c>
      <c r="G216" s="1">
        <v>1996</v>
      </c>
      <c r="H216" s="1">
        <v>16</v>
      </c>
      <c r="I216" s="1" t="s">
        <v>38</v>
      </c>
      <c r="J216" s="1"/>
      <c r="K216" s="1" t="s">
        <v>90</v>
      </c>
      <c r="L216" s="1" t="s">
        <v>1078</v>
      </c>
      <c r="M216" s="1" t="s">
        <v>69</v>
      </c>
      <c r="N216" s="1" t="s">
        <v>87</v>
      </c>
      <c r="P216" s="1" t="s">
        <v>49</v>
      </c>
      <c r="Q216" s="1" t="s">
        <v>56</v>
      </c>
      <c r="R216" s="1">
        <v>3</v>
      </c>
      <c r="S216" s="1">
        <v>873</v>
      </c>
      <c r="T216" s="1">
        <v>0</v>
      </c>
      <c r="U216" s="1">
        <v>0</v>
      </c>
      <c r="V216" s="1" t="s">
        <v>1079</v>
      </c>
    </row>
    <row r="217" spans="1:25" ht="13">
      <c r="A217" s="1" t="s">
        <v>1080</v>
      </c>
      <c r="B217" s="1" t="s">
        <v>34</v>
      </c>
      <c r="C217" s="1" t="s">
        <v>35</v>
      </c>
      <c r="D217" s="1"/>
      <c r="E217" s="6">
        <v>23511</v>
      </c>
      <c r="F217" s="1" t="s">
        <v>84</v>
      </c>
      <c r="G217" s="1">
        <v>1996</v>
      </c>
      <c r="H217" s="1">
        <v>16</v>
      </c>
      <c r="I217" s="1" t="s">
        <v>38</v>
      </c>
      <c r="J217" s="1"/>
      <c r="K217" s="1" t="s">
        <v>521</v>
      </c>
      <c r="L217" s="1" t="s">
        <v>1081</v>
      </c>
      <c r="M217" s="1" t="s">
        <v>1082</v>
      </c>
      <c r="N217" s="1" t="s">
        <v>104</v>
      </c>
      <c r="O217" s="1" t="s">
        <v>87</v>
      </c>
      <c r="P217" s="1" t="s">
        <v>49</v>
      </c>
      <c r="Q217" s="1" t="s">
        <v>50</v>
      </c>
      <c r="R217" s="1">
        <v>2</v>
      </c>
      <c r="S217" s="1">
        <v>641</v>
      </c>
      <c r="T217" s="1">
        <v>0</v>
      </c>
      <c r="U217" s="1">
        <v>0</v>
      </c>
      <c r="V217" s="1" t="s">
        <v>1083</v>
      </c>
    </row>
    <row r="218" spans="1:25" ht="13">
      <c r="A218" s="1" t="s">
        <v>1084</v>
      </c>
      <c r="B218" s="1" t="s">
        <v>34</v>
      </c>
      <c r="C218" s="1" t="s">
        <v>35</v>
      </c>
      <c r="D218" s="1"/>
      <c r="E218" s="6">
        <v>23428</v>
      </c>
      <c r="F218" s="1" t="s">
        <v>84</v>
      </c>
      <c r="G218" s="1">
        <v>1996</v>
      </c>
      <c r="H218" s="1">
        <v>16</v>
      </c>
      <c r="I218" s="1" t="s">
        <v>38</v>
      </c>
      <c r="J218" s="1"/>
      <c r="K218" s="1" t="s">
        <v>90</v>
      </c>
      <c r="L218" s="1" t="s">
        <v>1085</v>
      </c>
      <c r="M218" s="1" t="s">
        <v>1086</v>
      </c>
      <c r="N218" s="1" t="s">
        <v>1087</v>
      </c>
      <c r="O218" s="1" t="s">
        <v>42</v>
      </c>
      <c r="P218" s="1" t="s">
        <v>71</v>
      </c>
      <c r="Q218" s="1" t="s">
        <v>44</v>
      </c>
      <c r="R218" s="1">
        <v>4</v>
      </c>
      <c r="S218" s="1">
        <v>1298</v>
      </c>
      <c r="T218" s="1">
        <v>0</v>
      </c>
      <c r="U218" s="1">
        <v>0</v>
      </c>
      <c r="V218" s="1" t="s">
        <v>1088</v>
      </c>
    </row>
    <row r="219" spans="1:25" ht="13">
      <c r="A219" s="1" t="s">
        <v>1089</v>
      </c>
      <c r="B219" s="1" t="s">
        <v>34</v>
      </c>
      <c r="C219" s="1" t="s">
        <v>35</v>
      </c>
      <c r="D219" s="1"/>
      <c r="E219" s="6">
        <v>23428</v>
      </c>
      <c r="F219" s="1" t="s">
        <v>36</v>
      </c>
      <c r="G219" s="1">
        <v>1996</v>
      </c>
      <c r="H219" s="1">
        <v>16</v>
      </c>
      <c r="I219" s="1" t="s">
        <v>38</v>
      </c>
      <c r="J219" s="1"/>
      <c r="K219" s="1" t="s">
        <v>1057</v>
      </c>
      <c r="L219" s="1" t="s">
        <v>1085</v>
      </c>
      <c r="M219" s="1" t="s">
        <v>1090</v>
      </c>
      <c r="N219" s="1" t="s">
        <v>139</v>
      </c>
      <c r="O219" s="1" t="s">
        <v>955</v>
      </c>
      <c r="P219" s="1" t="s">
        <v>71</v>
      </c>
      <c r="Q219" s="1" t="s">
        <v>44</v>
      </c>
      <c r="R219" s="1">
        <v>4</v>
      </c>
      <c r="S219" s="1">
        <v>12490</v>
      </c>
      <c r="T219" s="1">
        <v>3</v>
      </c>
      <c r="U219" s="1">
        <v>18</v>
      </c>
      <c r="V219" s="1" t="s">
        <v>1091</v>
      </c>
    </row>
    <row r="220" spans="1:25" ht="13">
      <c r="A220" s="1" t="s">
        <v>1092</v>
      </c>
      <c r="B220" s="1" t="s">
        <v>34</v>
      </c>
      <c r="C220" s="1" t="s">
        <v>35</v>
      </c>
      <c r="D220" s="1"/>
      <c r="E220" s="6">
        <v>20573</v>
      </c>
      <c r="F220" s="1" t="s">
        <v>84</v>
      </c>
      <c r="G220" s="1">
        <v>1996</v>
      </c>
      <c r="H220" s="1">
        <v>16</v>
      </c>
      <c r="I220" s="1" t="s">
        <v>38</v>
      </c>
      <c r="J220" s="1"/>
      <c r="K220" s="1" t="s">
        <v>90</v>
      </c>
      <c r="L220" s="1" t="s">
        <v>981</v>
      </c>
      <c r="M220" s="1" t="s">
        <v>1093</v>
      </c>
      <c r="N220" s="1" t="s">
        <v>272</v>
      </c>
      <c r="O220" s="1" t="s">
        <v>87</v>
      </c>
      <c r="P220" s="1" t="s">
        <v>49</v>
      </c>
      <c r="Q220" s="1" t="s">
        <v>50</v>
      </c>
      <c r="R220" s="1">
        <v>2</v>
      </c>
      <c r="S220" s="1">
        <v>663</v>
      </c>
      <c r="T220" s="1">
        <v>0</v>
      </c>
      <c r="U220" s="1">
        <v>0</v>
      </c>
      <c r="V220" s="1" t="s">
        <v>1094</v>
      </c>
    </row>
    <row r="221" spans="1:25" ht="13">
      <c r="A221" s="1" t="s">
        <v>1095</v>
      </c>
      <c r="B221" s="1" t="s">
        <v>34</v>
      </c>
      <c r="C221" s="1" t="s">
        <v>530</v>
      </c>
      <c r="D221" s="1"/>
      <c r="E221" s="6">
        <v>22106</v>
      </c>
      <c r="F221" s="1" t="s">
        <v>84</v>
      </c>
      <c r="G221" s="1">
        <v>1996</v>
      </c>
      <c r="H221" s="1">
        <v>16</v>
      </c>
      <c r="I221" s="1" t="s">
        <v>38</v>
      </c>
      <c r="J221" s="1"/>
      <c r="K221" s="1" t="s">
        <v>90</v>
      </c>
      <c r="L221" s="1" t="s">
        <v>1096</v>
      </c>
      <c r="M221" s="1" t="s">
        <v>1097</v>
      </c>
      <c r="N221" s="1" t="s">
        <v>55</v>
      </c>
      <c r="O221" s="1" t="s">
        <v>683</v>
      </c>
      <c r="P221" s="1" t="s">
        <v>49</v>
      </c>
      <c r="Q221" s="1" t="s">
        <v>56</v>
      </c>
      <c r="R221" s="1">
        <v>0</v>
      </c>
      <c r="S221" s="1">
        <v>0</v>
      </c>
      <c r="T221" s="1">
        <v>0</v>
      </c>
      <c r="U221" s="1">
        <v>0</v>
      </c>
      <c r="Y221" s="1" t="s">
        <v>1098</v>
      </c>
    </row>
    <row r="222" spans="1:25" ht="13">
      <c r="A222" s="1" t="s">
        <v>1104</v>
      </c>
      <c r="B222" s="1" t="s">
        <v>34</v>
      </c>
      <c r="C222" s="1" t="s">
        <v>35</v>
      </c>
      <c r="D222" s="1"/>
      <c r="E222" s="6">
        <v>22877</v>
      </c>
      <c r="F222" s="1" t="s">
        <v>124</v>
      </c>
      <c r="G222" s="1">
        <v>1996</v>
      </c>
      <c r="H222" s="1">
        <v>16</v>
      </c>
      <c r="I222" s="1" t="s">
        <v>38</v>
      </c>
      <c r="J222" s="1"/>
      <c r="K222" s="1" t="s">
        <v>521</v>
      </c>
      <c r="L222" s="1" t="s">
        <v>1105</v>
      </c>
      <c r="M222" s="1" t="s">
        <v>1106</v>
      </c>
      <c r="N222" s="1" t="s">
        <v>1107</v>
      </c>
      <c r="O222" s="1" t="s">
        <v>1108</v>
      </c>
      <c r="R222" s="1">
        <v>2</v>
      </c>
      <c r="S222" s="1">
        <v>571</v>
      </c>
      <c r="T222" s="1">
        <v>4</v>
      </c>
      <c r="U222" s="1">
        <v>30</v>
      </c>
      <c r="V222" s="1" t="s">
        <v>1109</v>
      </c>
    </row>
    <row r="223" spans="1:25" ht="13">
      <c r="A223" s="1" t="s">
        <v>1110</v>
      </c>
      <c r="B223" s="1" t="s">
        <v>34</v>
      </c>
      <c r="C223" s="1" t="s">
        <v>35</v>
      </c>
      <c r="D223" s="1"/>
      <c r="E223" s="6">
        <v>21957</v>
      </c>
      <c r="F223" s="1" t="s">
        <v>84</v>
      </c>
      <c r="G223" s="1">
        <v>1996</v>
      </c>
      <c r="H223" s="1">
        <v>16</v>
      </c>
      <c r="I223" s="1" t="s">
        <v>38</v>
      </c>
      <c r="J223" s="1"/>
      <c r="K223" s="1" t="s">
        <v>1057</v>
      </c>
      <c r="L223" s="1" t="s">
        <v>1112</v>
      </c>
      <c r="M223" s="1" t="s">
        <v>1113</v>
      </c>
      <c r="N223" s="1" t="s">
        <v>1114</v>
      </c>
      <c r="O223" s="1" t="s">
        <v>1115</v>
      </c>
      <c r="R223" s="1">
        <v>4</v>
      </c>
      <c r="S223" s="1">
        <v>5461</v>
      </c>
      <c r="T223" s="1">
        <v>9</v>
      </c>
      <c r="U223" s="1">
        <v>53</v>
      </c>
      <c r="V223" s="1" t="s">
        <v>1116</v>
      </c>
    </row>
    <row r="224" spans="1:25" ht="13">
      <c r="A224" s="1" t="s">
        <v>1117</v>
      </c>
      <c r="B224" s="1" t="s">
        <v>34</v>
      </c>
      <c r="C224" s="1" t="s">
        <v>35</v>
      </c>
      <c r="D224" s="1"/>
      <c r="E224" s="6">
        <v>22547</v>
      </c>
      <c r="F224" s="1" t="s">
        <v>84</v>
      </c>
      <c r="G224" s="1">
        <v>1996</v>
      </c>
      <c r="H224" s="1">
        <v>16</v>
      </c>
      <c r="I224" s="1" t="s">
        <v>38</v>
      </c>
      <c r="J224" s="1"/>
      <c r="K224" s="1" t="s">
        <v>39</v>
      </c>
      <c r="L224" s="1" t="s">
        <v>643</v>
      </c>
      <c r="M224" s="1" t="s">
        <v>1118</v>
      </c>
      <c r="N224" s="1" t="s">
        <v>70</v>
      </c>
      <c r="O224" s="1" t="s">
        <v>1119</v>
      </c>
      <c r="P224" s="1" t="s">
        <v>43</v>
      </c>
      <c r="Q224" s="1" t="s">
        <v>150</v>
      </c>
      <c r="R224" s="1">
        <v>1</v>
      </c>
      <c r="S224" s="1">
        <v>382</v>
      </c>
      <c r="T224" s="1">
        <v>0</v>
      </c>
      <c r="U224" s="1">
        <v>0</v>
      </c>
      <c r="V224" s="1" t="s">
        <v>952</v>
      </c>
      <c r="W224" s="6">
        <v>37653</v>
      </c>
      <c r="X224" s="1" t="s">
        <v>952</v>
      </c>
    </row>
    <row r="225" spans="1:22" ht="13">
      <c r="A225" s="1" t="s">
        <v>1120</v>
      </c>
      <c r="B225" s="1" t="s">
        <v>34</v>
      </c>
      <c r="C225" s="1" t="s">
        <v>35</v>
      </c>
      <c r="D225" s="1"/>
      <c r="E225" s="6">
        <v>19246</v>
      </c>
      <c r="F225" s="1" t="s">
        <v>124</v>
      </c>
      <c r="G225" s="1">
        <v>1996</v>
      </c>
      <c r="H225" s="1">
        <v>16</v>
      </c>
      <c r="I225" s="1" t="s">
        <v>38</v>
      </c>
      <c r="J225" s="1"/>
      <c r="K225" s="1" t="s">
        <v>521</v>
      </c>
      <c r="L225" s="1" t="s">
        <v>1121</v>
      </c>
      <c r="M225" s="1" t="s">
        <v>1122</v>
      </c>
      <c r="N225" s="1" t="s">
        <v>1123</v>
      </c>
      <c r="O225" s="1" t="s">
        <v>1124</v>
      </c>
      <c r="P225" s="1" t="s">
        <v>71</v>
      </c>
      <c r="Q225" s="1" t="s">
        <v>150</v>
      </c>
      <c r="R225" s="1">
        <v>1</v>
      </c>
      <c r="S225" s="1">
        <v>259</v>
      </c>
      <c r="T225" s="1">
        <v>2</v>
      </c>
      <c r="U225" s="1">
        <v>14</v>
      </c>
      <c r="V225" s="1" t="s">
        <v>1125</v>
      </c>
    </row>
    <row r="226" spans="1:22" ht="13">
      <c r="A226" s="1" t="s">
        <v>1129</v>
      </c>
      <c r="B226" s="1" t="s">
        <v>34</v>
      </c>
      <c r="C226" s="1" t="s">
        <v>35</v>
      </c>
      <c r="D226" s="1"/>
      <c r="E226" s="6">
        <v>20199</v>
      </c>
      <c r="F226" s="1" t="s">
        <v>124</v>
      </c>
      <c r="G226" s="1">
        <v>1996</v>
      </c>
      <c r="H226" s="1">
        <v>16</v>
      </c>
      <c r="I226" s="1" t="s">
        <v>38</v>
      </c>
      <c r="J226" s="1"/>
      <c r="K226" s="1" t="s">
        <v>1057</v>
      </c>
      <c r="L226" s="1" t="s">
        <v>1130</v>
      </c>
      <c r="M226" s="1" t="s">
        <v>1131</v>
      </c>
      <c r="N226" s="1" t="s">
        <v>579</v>
      </c>
      <c r="O226" s="1" t="s">
        <v>579</v>
      </c>
      <c r="R226" s="1">
        <v>3</v>
      </c>
      <c r="S226" s="1">
        <v>8872</v>
      </c>
      <c r="T226" s="1">
        <v>2</v>
      </c>
      <c r="U226" s="1">
        <v>13</v>
      </c>
      <c r="V226" s="1" t="s">
        <v>1132</v>
      </c>
    </row>
    <row r="227" spans="1:22" ht="13">
      <c r="A227" s="1" t="s">
        <v>1133</v>
      </c>
      <c r="B227" s="1" t="s">
        <v>34</v>
      </c>
      <c r="C227" s="1" t="s">
        <v>35</v>
      </c>
      <c r="D227" s="1"/>
      <c r="E227" s="6">
        <v>18733</v>
      </c>
      <c r="F227" s="1" t="s">
        <v>124</v>
      </c>
      <c r="G227" s="1">
        <v>1996</v>
      </c>
      <c r="H227" s="1">
        <v>16</v>
      </c>
      <c r="I227" s="1" t="s">
        <v>38</v>
      </c>
      <c r="J227" s="1"/>
      <c r="K227" s="1" t="s">
        <v>90</v>
      </c>
      <c r="L227" s="1" t="s">
        <v>1134</v>
      </c>
      <c r="M227" s="1" t="s">
        <v>1135</v>
      </c>
      <c r="N227" s="1" t="s">
        <v>1136</v>
      </c>
      <c r="O227" s="1" t="s">
        <v>1137</v>
      </c>
      <c r="P227" s="1" t="s">
        <v>71</v>
      </c>
      <c r="Q227" s="1" t="s">
        <v>1138</v>
      </c>
      <c r="R227" s="1">
        <v>3</v>
      </c>
      <c r="S227" s="1">
        <v>4880</v>
      </c>
      <c r="T227" s="1">
        <v>1</v>
      </c>
      <c r="U227" s="1">
        <v>5</v>
      </c>
      <c r="V227" s="1" t="s">
        <v>1139</v>
      </c>
    </row>
    <row r="228" spans="1:22" ht="13">
      <c r="A228" s="1" t="s">
        <v>1140</v>
      </c>
      <c r="B228" s="1" t="s">
        <v>34</v>
      </c>
      <c r="C228" s="1" t="s">
        <v>35</v>
      </c>
      <c r="D228" s="1"/>
      <c r="E228" s="6">
        <v>20608</v>
      </c>
      <c r="F228" s="1" t="s">
        <v>84</v>
      </c>
      <c r="G228" s="1">
        <v>1996</v>
      </c>
      <c r="H228" s="1">
        <v>16</v>
      </c>
      <c r="I228" s="1" t="s">
        <v>38</v>
      </c>
      <c r="J228" s="1"/>
      <c r="K228" s="1" t="s">
        <v>90</v>
      </c>
      <c r="L228" s="1" t="s">
        <v>1141</v>
      </c>
      <c r="M228" s="1" t="s">
        <v>61</v>
      </c>
      <c r="N228" s="1" t="s">
        <v>285</v>
      </c>
      <c r="O228" s="1" t="s">
        <v>285</v>
      </c>
      <c r="R228" s="1">
        <v>3</v>
      </c>
      <c r="S228" s="1">
        <v>995</v>
      </c>
      <c r="T228" s="1">
        <v>0</v>
      </c>
      <c r="U228" s="1">
        <v>0</v>
      </c>
      <c r="V228" s="1" t="s">
        <v>1142</v>
      </c>
    </row>
    <row r="229" spans="1:22" ht="13">
      <c r="A229" s="1" t="s">
        <v>1143</v>
      </c>
      <c r="B229" s="1" t="s">
        <v>34</v>
      </c>
      <c r="C229" s="1" t="s">
        <v>35</v>
      </c>
      <c r="D229" s="1"/>
      <c r="E229" s="6">
        <v>23517</v>
      </c>
      <c r="F229" s="1" t="s">
        <v>84</v>
      </c>
      <c r="G229" s="1">
        <v>1996</v>
      </c>
      <c r="H229" s="1">
        <v>16</v>
      </c>
      <c r="I229" s="1" t="s">
        <v>38</v>
      </c>
      <c r="J229" s="1"/>
      <c r="K229" s="1" t="s">
        <v>521</v>
      </c>
      <c r="L229" s="1" t="s">
        <v>1144</v>
      </c>
      <c r="M229" s="1" t="s">
        <v>1145</v>
      </c>
      <c r="N229" s="1" t="s">
        <v>62</v>
      </c>
      <c r="O229" s="1" t="s">
        <v>62</v>
      </c>
      <c r="R229" s="1">
        <v>1</v>
      </c>
      <c r="S229" s="1">
        <v>307</v>
      </c>
      <c r="T229" s="1">
        <v>1</v>
      </c>
      <c r="U229" s="1">
        <v>6</v>
      </c>
      <c r="V229" s="1" t="s">
        <v>1146</v>
      </c>
    </row>
    <row r="230" spans="1:22" ht="13">
      <c r="A230" s="1" t="s">
        <v>1147</v>
      </c>
      <c r="B230" s="1" t="s">
        <v>34</v>
      </c>
      <c r="C230" s="1" t="s">
        <v>35</v>
      </c>
      <c r="D230" s="1"/>
      <c r="E230" s="6">
        <v>20190</v>
      </c>
      <c r="F230" s="1" t="s">
        <v>124</v>
      </c>
      <c r="G230" s="1">
        <v>1996</v>
      </c>
      <c r="H230" s="1">
        <v>16</v>
      </c>
      <c r="I230" s="1" t="s">
        <v>38</v>
      </c>
      <c r="J230" s="1"/>
      <c r="K230" s="1" t="s">
        <v>521</v>
      </c>
      <c r="L230" s="1" t="s">
        <v>1148</v>
      </c>
      <c r="M230" s="1" t="s">
        <v>1149</v>
      </c>
      <c r="N230" s="1" t="s">
        <v>1150</v>
      </c>
      <c r="O230" s="1" t="s">
        <v>1151</v>
      </c>
      <c r="R230" s="1">
        <v>3</v>
      </c>
      <c r="S230" s="1">
        <v>839</v>
      </c>
      <c r="T230" s="1">
        <v>6</v>
      </c>
      <c r="U230" s="1">
        <v>41</v>
      </c>
      <c r="V230" s="1" t="s">
        <v>1152</v>
      </c>
    </row>
    <row r="231" spans="1:22" ht="13">
      <c r="A231" s="1" t="s">
        <v>1155</v>
      </c>
      <c r="B231" s="1" t="s">
        <v>34</v>
      </c>
      <c r="C231" s="1" t="s">
        <v>459</v>
      </c>
      <c r="D231" s="1" t="s">
        <v>460</v>
      </c>
      <c r="E231" s="6">
        <v>22313</v>
      </c>
      <c r="F231" s="1" t="s">
        <v>84</v>
      </c>
      <c r="G231" s="1">
        <v>1996</v>
      </c>
      <c r="H231" s="1">
        <v>16</v>
      </c>
      <c r="I231" s="1" t="s">
        <v>38</v>
      </c>
      <c r="J231" s="1"/>
      <c r="K231" s="1" t="s">
        <v>90</v>
      </c>
      <c r="L231" s="1" t="s">
        <v>1156</v>
      </c>
      <c r="M231" s="1" t="s">
        <v>174</v>
      </c>
      <c r="N231" s="1" t="s">
        <v>62</v>
      </c>
      <c r="O231" s="1" t="s">
        <v>62</v>
      </c>
      <c r="R231" s="1">
        <v>2</v>
      </c>
      <c r="S231" s="1">
        <v>3162</v>
      </c>
      <c r="T231" s="1">
        <v>6</v>
      </c>
      <c r="U231" s="1">
        <v>39</v>
      </c>
      <c r="V231" s="1" t="s">
        <v>1157</v>
      </c>
    </row>
    <row r="232" spans="1:22" ht="13">
      <c r="A232" s="1" t="s">
        <v>1158</v>
      </c>
      <c r="B232" s="1" t="s">
        <v>34</v>
      </c>
      <c r="C232" s="1" t="s">
        <v>35</v>
      </c>
      <c r="D232" s="1"/>
      <c r="E232" s="6">
        <v>22929</v>
      </c>
      <c r="F232" s="1" t="s">
        <v>84</v>
      </c>
      <c r="G232" s="1">
        <v>1996</v>
      </c>
      <c r="H232" s="1">
        <v>16</v>
      </c>
      <c r="I232" s="1" t="s">
        <v>38</v>
      </c>
      <c r="J232" s="1"/>
      <c r="K232" s="1" t="s">
        <v>1057</v>
      </c>
      <c r="L232" s="1" t="s">
        <v>1159</v>
      </c>
      <c r="M232" s="1" t="s">
        <v>1160</v>
      </c>
      <c r="N232" s="1" t="s">
        <v>62</v>
      </c>
      <c r="O232" s="1" t="s">
        <v>1107</v>
      </c>
      <c r="P232" s="1" t="s">
        <v>49</v>
      </c>
      <c r="Q232" s="1" t="s">
        <v>50</v>
      </c>
      <c r="R232" s="1">
        <v>3</v>
      </c>
      <c r="S232" s="1">
        <v>872</v>
      </c>
      <c r="T232" s="1">
        <v>5</v>
      </c>
      <c r="U232" s="1">
        <v>36</v>
      </c>
      <c r="V232" s="1" t="s">
        <v>1161</v>
      </c>
    </row>
    <row r="233" spans="1:22" ht="13">
      <c r="A233" s="1" t="s">
        <v>1167</v>
      </c>
      <c r="B233" s="1" t="s">
        <v>34</v>
      </c>
      <c r="C233" s="1" t="s">
        <v>35</v>
      </c>
      <c r="D233" s="1"/>
      <c r="E233" s="6">
        <v>21203</v>
      </c>
      <c r="F233" s="1" t="s">
        <v>36</v>
      </c>
      <c r="G233" s="1">
        <v>1996</v>
      </c>
      <c r="H233" s="1">
        <v>16</v>
      </c>
      <c r="I233" s="1" t="s">
        <v>38</v>
      </c>
      <c r="J233" s="1"/>
      <c r="K233" s="1" t="s">
        <v>1057</v>
      </c>
      <c r="L233" s="1" t="s">
        <v>1168</v>
      </c>
      <c r="M233" s="1" t="s">
        <v>1169</v>
      </c>
      <c r="N233" s="1" t="s">
        <v>821</v>
      </c>
      <c r="O233" s="1" t="s">
        <v>1170</v>
      </c>
      <c r="P233" s="1" t="s">
        <v>49</v>
      </c>
      <c r="Q233" s="1" t="s">
        <v>490</v>
      </c>
      <c r="R233" s="1">
        <v>4</v>
      </c>
      <c r="S233" s="1">
        <v>12818</v>
      </c>
      <c r="T233" s="1">
        <v>5</v>
      </c>
      <c r="U233" s="1">
        <v>32</v>
      </c>
      <c r="V233" s="1" t="s">
        <v>1171</v>
      </c>
    </row>
    <row r="234" spans="1:22" ht="13">
      <c r="A234" s="1" t="s">
        <v>1175</v>
      </c>
      <c r="B234" s="1" t="s">
        <v>34</v>
      </c>
      <c r="C234" s="1" t="s">
        <v>35</v>
      </c>
      <c r="D234" s="1"/>
      <c r="E234" s="6">
        <v>21604</v>
      </c>
      <c r="F234" s="1" t="s">
        <v>84</v>
      </c>
      <c r="G234" s="1">
        <v>1998</v>
      </c>
      <c r="H234" s="1">
        <v>17</v>
      </c>
      <c r="I234" s="1" t="s">
        <v>38</v>
      </c>
      <c r="J234" s="1"/>
      <c r="K234" s="1" t="s">
        <v>90</v>
      </c>
      <c r="L234" s="1" t="s">
        <v>1176</v>
      </c>
      <c r="M234" s="1" t="s">
        <v>1177</v>
      </c>
      <c r="N234" s="1" t="s">
        <v>158</v>
      </c>
      <c r="O234" s="1" t="s">
        <v>87</v>
      </c>
      <c r="R234" s="1">
        <v>2</v>
      </c>
      <c r="S234" s="1">
        <v>4005</v>
      </c>
      <c r="T234" s="1">
        <v>6</v>
      </c>
      <c r="U234" s="1">
        <v>38</v>
      </c>
      <c r="V234" s="1" t="s">
        <v>1178</v>
      </c>
    </row>
    <row r="235" spans="1:22" ht="13">
      <c r="A235" s="1" t="s">
        <v>1179</v>
      </c>
      <c r="B235" s="1" t="s">
        <v>34</v>
      </c>
      <c r="C235" s="1" t="s">
        <v>35</v>
      </c>
      <c r="D235" s="1"/>
      <c r="E235" s="6">
        <v>22153</v>
      </c>
      <c r="F235" s="1" t="s">
        <v>84</v>
      </c>
      <c r="G235" s="1">
        <v>1998</v>
      </c>
      <c r="H235" s="1">
        <v>17</v>
      </c>
      <c r="I235" s="1" t="s">
        <v>38</v>
      </c>
      <c r="J235" s="1"/>
      <c r="K235" s="1" t="s">
        <v>90</v>
      </c>
      <c r="L235" s="1" t="s">
        <v>198</v>
      </c>
      <c r="M235" s="1" t="s">
        <v>1180</v>
      </c>
      <c r="N235" s="1" t="s">
        <v>285</v>
      </c>
      <c r="O235" s="1" t="s">
        <v>285</v>
      </c>
      <c r="P235" s="1" t="s">
        <v>49</v>
      </c>
      <c r="Q235" s="1" t="s">
        <v>64</v>
      </c>
      <c r="R235" s="1">
        <v>2</v>
      </c>
      <c r="S235" s="1">
        <v>639</v>
      </c>
      <c r="T235" s="1">
        <v>0</v>
      </c>
      <c r="U235" s="1">
        <v>0</v>
      </c>
      <c r="V235" s="1" t="s">
        <v>1181</v>
      </c>
    </row>
    <row r="236" spans="1:22" ht="13">
      <c r="A236" s="1" t="s">
        <v>1185</v>
      </c>
      <c r="B236" s="1" t="s">
        <v>34</v>
      </c>
      <c r="C236" s="1" t="s">
        <v>35</v>
      </c>
      <c r="D236" s="1"/>
      <c r="E236" s="6">
        <v>22864</v>
      </c>
      <c r="F236" s="1" t="s">
        <v>124</v>
      </c>
      <c r="G236" s="1">
        <v>1998</v>
      </c>
      <c r="H236" s="1">
        <v>17</v>
      </c>
      <c r="I236" s="1" t="s">
        <v>38</v>
      </c>
      <c r="J236" s="1"/>
      <c r="K236" s="1" t="s">
        <v>1057</v>
      </c>
      <c r="L236" s="1" t="s">
        <v>1186</v>
      </c>
      <c r="M236" s="1" t="s">
        <v>1187</v>
      </c>
      <c r="N236" s="1" t="s">
        <v>139</v>
      </c>
      <c r="O236" s="1" t="s">
        <v>266</v>
      </c>
      <c r="R236" s="1">
        <v>2</v>
      </c>
      <c r="S236" s="1">
        <v>4770</v>
      </c>
      <c r="T236" s="1">
        <v>2</v>
      </c>
      <c r="U236" s="1">
        <v>13</v>
      </c>
      <c r="V236" s="1" t="s">
        <v>1188</v>
      </c>
    </row>
    <row r="237" spans="1:22" ht="13">
      <c r="A237" s="1" t="s">
        <v>1189</v>
      </c>
      <c r="B237" s="1" t="s">
        <v>34</v>
      </c>
      <c r="C237" s="1" t="s">
        <v>35</v>
      </c>
      <c r="D237" s="1"/>
      <c r="E237" s="6">
        <v>21869</v>
      </c>
      <c r="F237" s="1" t="s">
        <v>84</v>
      </c>
      <c r="G237" s="1">
        <v>1998</v>
      </c>
      <c r="H237" s="1">
        <v>17</v>
      </c>
      <c r="I237" s="1" t="s">
        <v>38</v>
      </c>
      <c r="J237" s="1"/>
      <c r="K237" s="1" t="s">
        <v>521</v>
      </c>
      <c r="L237" s="1" t="s">
        <v>1190</v>
      </c>
      <c r="M237" s="1" t="s">
        <v>1191</v>
      </c>
      <c r="N237" s="1" t="s">
        <v>170</v>
      </c>
      <c r="O237" s="1" t="s">
        <v>158</v>
      </c>
      <c r="P237" s="1" t="s">
        <v>49</v>
      </c>
      <c r="Q237" s="1" t="s">
        <v>490</v>
      </c>
      <c r="R237" s="1">
        <v>1</v>
      </c>
      <c r="S237" s="1">
        <v>3917</v>
      </c>
      <c r="T237" s="1">
        <v>0</v>
      </c>
      <c r="U237" s="1">
        <v>0</v>
      </c>
      <c r="V237" s="1" t="s">
        <v>1192</v>
      </c>
    </row>
    <row r="238" spans="1:22" ht="13">
      <c r="A238" s="1" t="s">
        <v>1193</v>
      </c>
      <c r="B238" s="1" t="s">
        <v>34</v>
      </c>
      <c r="C238" s="1" t="s">
        <v>35</v>
      </c>
      <c r="D238" s="1"/>
      <c r="E238" s="6">
        <v>22525</v>
      </c>
      <c r="F238" s="1" t="s">
        <v>84</v>
      </c>
      <c r="G238" s="1">
        <v>1998</v>
      </c>
      <c r="H238" s="1">
        <v>17</v>
      </c>
      <c r="I238" s="1" t="s">
        <v>38</v>
      </c>
      <c r="J238" s="1"/>
      <c r="K238" s="1" t="s">
        <v>90</v>
      </c>
      <c r="L238" s="1" t="s">
        <v>95</v>
      </c>
      <c r="M238" s="1" t="s">
        <v>1194</v>
      </c>
      <c r="N238" s="1" t="s">
        <v>62</v>
      </c>
      <c r="O238" s="1" t="s">
        <v>42</v>
      </c>
      <c r="P238" s="1" t="s">
        <v>71</v>
      </c>
      <c r="Q238" s="1" t="s">
        <v>44</v>
      </c>
      <c r="R238" s="1">
        <v>3</v>
      </c>
      <c r="S238" s="1">
        <v>970</v>
      </c>
      <c r="T238" s="1">
        <v>0</v>
      </c>
      <c r="U238" s="1">
        <v>0</v>
      </c>
      <c r="V238" s="1" t="s">
        <v>1195</v>
      </c>
    </row>
    <row r="239" spans="1:22" ht="13">
      <c r="A239" s="1" t="s">
        <v>1196</v>
      </c>
      <c r="B239" s="1" t="s">
        <v>34</v>
      </c>
      <c r="C239" s="1" t="s">
        <v>35</v>
      </c>
      <c r="D239" s="1"/>
      <c r="E239" s="6">
        <v>20908</v>
      </c>
      <c r="F239" s="1" t="s">
        <v>84</v>
      </c>
      <c r="G239" s="1">
        <v>1998</v>
      </c>
      <c r="H239" s="1">
        <v>17</v>
      </c>
      <c r="I239" s="1" t="s">
        <v>38</v>
      </c>
      <c r="J239" s="1"/>
      <c r="K239" s="1" t="s">
        <v>521</v>
      </c>
      <c r="L239" s="1" t="s">
        <v>162</v>
      </c>
      <c r="M239" s="1" t="s">
        <v>565</v>
      </c>
      <c r="N239" s="1" t="s">
        <v>87</v>
      </c>
      <c r="O239" s="1" t="s">
        <v>42</v>
      </c>
      <c r="P239" s="1" t="s">
        <v>71</v>
      </c>
      <c r="Q239" s="1" t="s">
        <v>44</v>
      </c>
      <c r="R239" s="1">
        <v>2</v>
      </c>
      <c r="S239" s="1">
        <v>637</v>
      </c>
      <c r="T239" s="1">
        <v>5</v>
      </c>
      <c r="U239" s="1">
        <v>32</v>
      </c>
      <c r="V239" s="1" t="s">
        <v>1197</v>
      </c>
    </row>
    <row r="240" spans="1:22" ht="13">
      <c r="A240" s="1" t="s">
        <v>1198</v>
      </c>
      <c r="B240" s="1" t="s">
        <v>34</v>
      </c>
      <c r="C240" s="1" t="s">
        <v>35</v>
      </c>
      <c r="D240" s="1"/>
      <c r="E240" s="6">
        <v>21173</v>
      </c>
      <c r="F240" s="1" t="s">
        <v>84</v>
      </c>
      <c r="G240" s="1">
        <v>1998</v>
      </c>
      <c r="H240" s="1">
        <v>17</v>
      </c>
      <c r="I240" s="1" t="s">
        <v>38</v>
      </c>
      <c r="J240" s="1"/>
      <c r="K240" s="1" t="s">
        <v>1057</v>
      </c>
      <c r="L240" s="1" t="s">
        <v>1199</v>
      </c>
      <c r="M240" s="1" t="s">
        <v>1200</v>
      </c>
      <c r="N240" s="1" t="s">
        <v>62</v>
      </c>
      <c r="O240" s="1" t="s">
        <v>1201</v>
      </c>
      <c r="Q240" s="1" t="s">
        <v>134</v>
      </c>
      <c r="R240" s="1">
        <v>3</v>
      </c>
      <c r="S240" s="1">
        <v>4651</v>
      </c>
      <c r="T240" s="1">
        <v>7</v>
      </c>
      <c r="U240" s="1">
        <v>48</v>
      </c>
      <c r="V240" s="1" t="s">
        <v>1202</v>
      </c>
    </row>
    <row r="241" spans="1:25" ht="13">
      <c r="A241" s="1" t="s">
        <v>1203</v>
      </c>
      <c r="B241" s="1" t="s">
        <v>34</v>
      </c>
      <c r="C241" s="1" t="s">
        <v>35</v>
      </c>
      <c r="D241" s="1"/>
      <c r="E241" s="6">
        <v>23723</v>
      </c>
      <c r="F241" s="1" t="s">
        <v>84</v>
      </c>
      <c r="G241" s="1">
        <v>1998</v>
      </c>
      <c r="H241" s="1">
        <v>17</v>
      </c>
      <c r="I241" s="1" t="s">
        <v>38</v>
      </c>
      <c r="J241" s="1"/>
      <c r="K241" s="1" t="s">
        <v>90</v>
      </c>
      <c r="L241" s="1" t="s">
        <v>1204</v>
      </c>
      <c r="M241" s="1" t="s">
        <v>565</v>
      </c>
      <c r="N241" s="1" t="s">
        <v>87</v>
      </c>
      <c r="O241" s="1" t="s">
        <v>42</v>
      </c>
      <c r="P241" s="1" t="s">
        <v>71</v>
      </c>
      <c r="Q241" s="1" t="s">
        <v>150</v>
      </c>
      <c r="R241" s="1">
        <v>2</v>
      </c>
      <c r="S241" s="1">
        <v>612</v>
      </c>
      <c r="T241" s="1">
        <v>0</v>
      </c>
      <c r="U241" s="1">
        <v>0</v>
      </c>
      <c r="V241" s="1" t="s">
        <v>1205</v>
      </c>
    </row>
    <row r="242" spans="1:25" ht="13">
      <c r="A242" s="1" t="s">
        <v>1206</v>
      </c>
      <c r="B242" s="1" t="s">
        <v>34</v>
      </c>
      <c r="C242" s="1" t="s">
        <v>35</v>
      </c>
      <c r="D242" s="1"/>
      <c r="E242" s="6">
        <v>19935</v>
      </c>
      <c r="F242" s="1" t="s">
        <v>36</v>
      </c>
      <c r="G242" s="1">
        <v>1998</v>
      </c>
      <c r="H242" s="1">
        <v>17</v>
      </c>
      <c r="I242" s="1" t="s">
        <v>38</v>
      </c>
      <c r="J242" s="1"/>
      <c r="K242" s="1" t="s">
        <v>521</v>
      </c>
      <c r="L242" s="1" t="s">
        <v>168</v>
      </c>
      <c r="M242" s="1" t="s">
        <v>169</v>
      </c>
      <c r="N242" s="1" t="s">
        <v>87</v>
      </c>
      <c r="P242" s="1" t="s">
        <v>71</v>
      </c>
      <c r="Q242" s="1" t="s">
        <v>44</v>
      </c>
      <c r="R242" s="1">
        <v>1</v>
      </c>
      <c r="S242" s="1">
        <v>309</v>
      </c>
      <c r="T242" s="1">
        <v>0</v>
      </c>
      <c r="U242" s="1">
        <v>0</v>
      </c>
      <c r="V242" s="1" t="s">
        <v>1207</v>
      </c>
    </row>
    <row r="243" spans="1:25" ht="13">
      <c r="A243" s="1" t="s">
        <v>1208</v>
      </c>
      <c r="B243" s="1" t="s">
        <v>34</v>
      </c>
      <c r="C243" s="1" t="s">
        <v>35</v>
      </c>
      <c r="D243" s="1"/>
      <c r="E243" s="6">
        <v>22778</v>
      </c>
      <c r="F243" s="1" t="s">
        <v>84</v>
      </c>
      <c r="G243" s="1">
        <v>1998</v>
      </c>
      <c r="H243" s="1">
        <v>17</v>
      </c>
      <c r="I243" s="1" t="s">
        <v>38</v>
      </c>
      <c r="J243" s="1"/>
      <c r="K243" s="1" t="s">
        <v>1057</v>
      </c>
      <c r="L243" s="1" t="s">
        <v>1209</v>
      </c>
      <c r="M243" s="1" t="s">
        <v>1210</v>
      </c>
      <c r="N243" s="1" t="s">
        <v>42</v>
      </c>
      <c r="O243" s="1" t="s">
        <v>1211</v>
      </c>
      <c r="P243" s="1" t="s">
        <v>49</v>
      </c>
      <c r="Q243" s="1" t="s">
        <v>50</v>
      </c>
      <c r="R243" s="1">
        <v>2</v>
      </c>
      <c r="S243" s="1">
        <v>755</v>
      </c>
      <c r="T243" s="1">
        <v>0</v>
      </c>
      <c r="U243" s="1">
        <v>0</v>
      </c>
      <c r="V243" s="1" t="s">
        <v>1212</v>
      </c>
    </row>
    <row r="244" spans="1:25" ht="13">
      <c r="A244" s="1" t="s">
        <v>1213</v>
      </c>
      <c r="B244" s="1" t="s">
        <v>34</v>
      </c>
      <c r="C244" s="1" t="s">
        <v>35</v>
      </c>
      <c r="D244" s="1"/>
      <c r="E244" s="6">
        <v>23901</v>
      </c>
      <c r="F244" s="1" t="s">
        <v>124</v>
      </c>
      <c r="G244" s="1">
        <v>1998</v>
      </c>
      <c r="H244" s="1">
        <v>17</v>
      </c>
      <c r="I244" s="1" t="s">
        <v>38</v>
      </c>
      <c r="J244" s="1"/>
      <c r="K244" s="1" t="s">
        <v>521</v>
      </c>
      <c r="L244" s="1" t="s">
        <v>643</v>
      </c>
      <c r="M244" s="1" t="s">
        <v>456</v>
      </c>
      <c r="N244" s="1" t="s">
        <v>158</v>
      </c>
      <c r="O244" s="1" t="s">
        <v>305</v>
      </c>
      <c r="R244" s="1">
        <v>1</v>
      </c>
      <c r="S244" s="1">
        <v>306</v>
      </c>
      <c r="T244" s="1">
        <v>2</v>
      </c>
      <c r="U244" s="1">
        <v>15</v>
      </c>
      <c r="V244" s="1" t="s">
        <v>1214</v>
      </c>
    </row>
    <row r="245" spans="1:25" ht="13">
      <c r="A245" s="1" t="s">
        <v>1215</v>
      </c>
      <c r="B245" s="1" t="s">
        <v>34</v>
      </c>
      <c r="C245" s="1" t="s">
        <v>361</v>
      </c>
      <c r="D245" s="1"/>
      <c r="E245" s="6">
        <v>23422</v>
      </c>
      <c r="F245" s="1" t="s">
        <v>84</v>
      </c>
      <c r="G245" s="1">
        <v>1998</v>
      </c>
      <c r="H245" s="1">
        <v>17</v>
      </c>
      <c r="I245" s="1" t="s">
        <v>38</v>
      </c>
      <c r="J245" s="1"/>
      <c r="K245" s="1" t="s">
        <v>521</v>
      </c>
      <c r="L245" s="1" t="s">
        <v>1216</v>
      </c>
      <c r="M245" s="1" t="s">
        <v>1217</v>
      </c>
      <c r="N245" s="1" t="s">
        <v>170</v>
      </c>
      <c r="O245" s="1" t="s">
        <v>1218</v>
      </c>
      <c r="R245" s="1">
        <v>2</v>
      </c>
      <c r="S245" s="1">
        <v>565</v>
      </c>
      <c r="T245" s="1">
        <v>0</v>
      </c>
      <c r="U245" s="1">
        <v>0</v>
      </c>
      <c r="V245" s="1" t="s">
        <v>1219</v>
      </c>
    </row>
    <row r="246" spans="1:25" ht="13">
      <c r="A246" s="1" t="s">
        <v>1223</v>
      </c>
      <c r="B246" s="1" t="s">
        <v>34</v>
      </c>
      <c r="C246" s="1" t="s">
        <v>35</v>
      </c>
      <c r="D246" s="1"/>
      <c r="E246" s="6">
        <v>23830</v>
      </c>
      <c r="F246" s="1" t="s">
        <v>84</v>
      </c>
      <c r="G246" s="1">
        <v>1998</v>
      </c>
      <c r="H246" s="1">
        <v>17</v>
      </c>
      <c r="I246" s="1" t="s">
        <v>38</v>
      </c>
      <c r="J246" s="1"/>
      <c r="K246" s="1" t="s">
        <v>90</v>
      </c>
      <c r="L246" s="1" t="s">
        <v>1134</v>
      </c>
      <c r="M246" s="1" t="s">
        <v>1224</v>
      </c>
      <c r="N246" s="1" t="s">
        <v>139</v>
      </c>
      <c r="O246" s="1" t="s">
        <v>955</v>
      </c>
      <c r="P246" s="1" t="s">
        <v>43</v>
      </c>
      <c r="Q246" s="1" t="s">
        <v>44</v>
      </c>
      <c r="R246" s="1">
        <v>1</v>
      </c>
      <c r="S246" s="1">
        <v>308</v>
      </c>
      <c r="T246" s="1">
        <v>0</v>
      </c>
      <c r="U246" s="1">
        <v>0</v>
      </c>
      <c r="V246" s="1" t="s">
        <v>1076</v>
      </c>
    </row>
    <row r="247" spans="1:25" ht="13">
      <c r="A247" s="1" t="s">
        <v>1225</v>
      </c>
      <c r="B247" s="1" t="s">
        <v>34</v>
      </c>
      <c r="C247" s="1" t="s">
        <v>530</v>
      </c>
      <c r="D247" s="1" t="s">
        <v>827</v>
      </c>
      <c r="E247" s="6">
        <v>24252</v>
      </c>
      <c r="F247" s="1" t="s">
        <v>124</v>
      </c>
      <c r="G247" s="1">
        <v>1998</v>
      </c>
      <c r="H247" s="1">
        <v>17</v>
      </c>
      <c r="I247" s="1" t="s">
        <v>38</v>
      </c>
      <c r="J247" s="1"/>
      <c r="K247" s="1" t="s">
        <v>90</v>
      </c>
      <c r="L247" s="1" t="s">
        <v>1226</v>
      </c>
      <c r="M247" s="1" t="s">
        <v>1227</v>
      </c>
      <c r="N247" s="1" t="s">
        <v>62</v>
      </c>
      <c r="O247" s="1" t="s">
        <v>1228</v>
      </c>
      <c r="R247" s="1">
        <v>2</v>
      </c>
      <c r="S247" s="1">
        <v>665</v>
      </c>
      <c r="T247" s="1">
        <v>5</v>
      </c>
      <c r="U247" s="1">
        <v>34</v>
      </c>
      <c r="V247" s="1" t="s">
        <v>1229</v>
      </c>
    </row>
    <row r="248" spans="1:25" ht="13">
      <c r="A248" s="1" t="s">
        <v>1230</v>
      </c>
      <c r="B248" s="1" t="s">
        <v>34</v>
      </c>
      <c r="C248" s="1" t="s">
        <v>35</v>
      </c>
      <c r="D248" s="1"/>
      <c r="E248" s="6">
        <v>23458</v>
      </c>
      <c r="F248" s="1" t="s">
        <v>124</v>
      </c>
      <c r="G248" s="1">
        <v>1998</v>
      </c>
      <c r="H248" s="1">
        <v>17</v>
      </c>
      <c r="I248" s="1" t="s">
        <v>38</v>
      </c>
      <c r="J248" s="1"/>
      <c r="K248" s="1" t="s">
        <v>90</v>
      </c>
      <c r="L248" s="1" t="s">
        <v>1231</v>
      </c>
      <c r="M248" s="1" t="s">
        <v>1232</v>
      </c>
      <c r="N248" s="1" t="s">
        <v>55</v>
      </c>
      <c r="O248" s="1" t="s">
        <v>1233</v>
      </c>
      <c r="R248" s="1">
        <v>2</v>
      </c>
      <c r="S248" s="1">
        <v>638</v>
      </c>
      <c r="T248" s="1">
        <v>3</v>
      </c>
      <c r="U248" s="1">
        <v>18</v>
      </c>
      <c r="V248" s="1" t="s">
        <v>1234</v>
      </c>
    </row>
    <row r="249" spans="1:25" ht="13">
      <c r="A249" s="1" t="s">
        <v>1235</v>
      </c>
      <c r="B249" s="1" t="s">
        <v>34</v>
      </c>
      <c r="C249" s="1" t="s">
        <v>35</v>
      </c>
      <c r="D249" s="1"/>
      <c r="E249" s="6">
        <v>22590</v>
      </c>
      <c r="F249" s="1" t="s">
        <v>84</v>
      </c>
      <c r="G249" s="1">
        <v>1998</v>
      </c>
      <c r="H249" s="1">
        <v>17</v>
      </c>
      <c r="I249" s="1" t="s">
        <v>38</v>
      </c>
      <c r="J249" s="1"/>
      <c r="K249" s="1" t="s">
        <v>39</v>
      </c>
      <c r="L249" s="1" t="s">
        <v>1236</v>
      </c>
      <c r="M249" s="1" t="s">
        <v>1237</v>
      </c>
      <c r="N249" s="1" t="s">
        <v>87</v>
      </c>
      <c r="O249" s="1" t="s">
        <v>42</v>
      </c>
      <c r="P249" s="1" t="s">
        <v>71</v>
      </c>
      <c r="Q249" s="1" t="s">
        <v>150</v>
      </c>
      <c r="R249" s="1">
        <v>2</v>
      </c>
      <c r="S249" s="1">
        <v>669</v>
      </c>
      <c r="T249" s="1">
        <v>0</v>
      </c>
      <c r="U249" s="1">
        <v>0</v>
      </c>
      <c r="V249" s="1" t="s">
        <v>1238</v>
      </c>
      <c r="W249" s="6">
        <v>41091</v>
      </c>
    </row>
    <row r="250" spans="1:25" ht="13">
      <c r="A250" s="1" t="s">
        <v>1239</v>
      </c>
      <c r="B250" s="1" t="s">
        <v>34</v>
      </c>
      <c r="C250" s="1" t="s">
        <v>35</v>
      </c>
      <c r="D250" s="1"/>
      <c r="E250" s="6">
        <v>24878</v>
      </c>
      <c r="F250" s="1" t="s">
        <v>124</v>
      </c>
      <c r="G250" s="1">
        <v>1998</v>
      </c>
      <c r="H250" s="1">
        <v>17</v>
      </c>
      <c r="I250" s="1" t="s">
        <v>38</v>
      </c>
      <c r="J250" s="1"/>
      <c r="K250" s="1" t="s">
        <v>90</v>
      </c>
      <c r="L250" s="1" t="s">
        <v>1240</v>
      </c>
      <c r="M250" s="1" t="s">
        <v>1241</v>
      </c>
      <c r="N250" s="1" t="s">
        <v>1242</v>
      </c>
      <c r="O250" s="1" t="s">
        <v>452</v>
      </c>
      <c r="R250" s="1">
        <v>2</v>
      </c>
      <c r="S250" s="1">
        <v>2571</v>
      </c>
      <c r="T250" s="1">
        <v>3</v>
      </c>
      <c r="U250" s="1">
        <v>21</v>
      </c>
      <c r="V250" s="1" t="s">
        <v>1243</v>
      </c>
    </row>
    <row r="251" spans="1:25" ht="13">
      <c r="A251" s="1" t="s">
        <v>1247</v>
      </c>
      <c r="B251" s="1" t="s">
        <v>34</v>
      </c>
      <c r="C251" s="1" t="s">
        <v>35</v>
      </c>
      <c r="D251" s="1"/>
      <c r="E251" s="6">
        <v>22253</v>
      </c>
      <c r="F251" s="1" t="s">
        <v>124</v>
      </c>
      <c r="G251" s="1">
        <v>1998</v>
      </c>
      <c r="H251" s="1">
        <v>17</v>
      </c>
      <c r="I251" s="1" t="s">
        <v>38</v>
      </c>
      <c r="J251" s="1"/>
      <c r="K251" s="1" t="s">
        <v>1057</v>
      </c>
      <c r="L251" s="1" t="s">
        <v>1248</v>
      </c>
      <c r="M251" s="1" t="s">
        <v>1249</v>
      </c>
      <c r="N251" s="1" t="s">
        <v>400</v>
      </c>
      <c r="O251" s="1" t="s">
        <v>1250</v>
      </c>
      <c r="R251" s="1">
        <v>3</v>
      </c>
      <c r="S251" s="1">
        <v>4700</v>
      </c>
      <c r="T251" s="1">
        <v>5</v>
      </c>
      <c r="U251" s="1">
        <v>28</v>
      </c>
      <c r="V251" s="1" t="s">
        <v>1251</v>
      </c>
    </row>
    <row r="252" spans="1:25" ht="13">
      <c r="A252" s="1" t="s">
        <v>1252</v>
      </c>
      <c r="B252" s="1" t="s">
        <v>34</v>
      </c>
      <c r="C252" s="1" t="s">
        <v>35</v>
      </c>
      <c r="D252" s="1"/>
      <c r="E252" s="6">
        <v>22041</v>
      </c>
      <c r="F252" s="1" t="s">
        <v>84</v>
      </c>
      <c r="G252" s="1">
        <v>1998</v>
      </c>
      <c r="H252" s="1">
        <v>17</v>
      </c>
      <c r="I252" s="1" t="s">
        <v>38</v>
      </c>
      <c r="J252" s="1"/>
      <c r="K252" s="1" t="s">
        <v>1057</v>
      </c>
      <c r="L252" s="1" t="s">
        <v>1253</v>
      </c>
      <c r="M252" s="1" t="s">
        <v>779</v>
      </c>
      <c r="N252" s="1" t="s">
        <v>821</v>
      </c>
      <c r="O252" s="1" t="s">
        <v>87</v>
      </c>
      <c r="P252" s="1" t="s">
        <v>49</v>
      </c>
      <c r="Q252" s="1" t="s">
        <v>674</v>
      </c>
      <c r="R252" s="1">
        <v>2</v>
      </c>
      <c r="S252" s="1">
        <v>4281</v>
      </c>
      <c r="T252" s="1">
        <v>6</v>
      </c>
      <c r="U252" s="1">
        <v>43</v>
      </c>
      <c r="V252" s="1" t="s">
        <v>1254</v>
      </c>
    </row>
    <row r="253" spans="1:25" ht="13">
      <c r="A253" s="1" t="s">
        <v>1259</v>
      </c>
      <c r="B253" s="1" t="s">
        <v>34</v>
      </c>
      <c r="C253" s="1" t="s">
        <v>35</v>
      </c>
      <c r="D253" s="1"/>
      <c r="E253" s="6">
        <v>22853</v>
      </c>
      <c r="F253" s="1" t="s">
        <v>84</v>
      </c>
      <c r="G253" s="1">
        <v>1998</v>
      </c>
      <c r="H253" s="1">
        <v>17</v>
      </c>
      <c r="I253" s="1" t="s">
        <v>38</v>
      </c>
      <c r="J253" s="1"/>
      <c r="K253" s="1" t="s">
        <v>90</v>
      </c>
      <c r="L253" s="1" t="s">
        <v>102</v>
      </c>
      <c r="M253" s="1" t="s">
        <v>1260</v>
      </c>
      <c r="N253" s="1" t="s">
        <v>158</v>
      </c>
      <c r="O253" s="1" t="s">
        <v>1261</v>
      </c>
      <c r="P253" s="1" t="s">
        <v>43</v>
      </c>
      <c r="Q253" s="1" t="s">
        <v>150</v>
      </c>
      <c r="R253" s="1">
        <v>0</v>
      </c>
      <c r="S253" s="1">
        <v>0</v>
      </c>
      <c r="T253" s="1">
        <v>0</v>
      </c>
      <c r="U253" s="1">
        <v>0</v>
      </c>
      <c r="Y253" s="1" t="s">
        <v>1592</v>
      </c>
    </row>
    <row r="254" spans="1:25" ht="13">
      <c r="A254" s="1" t="s">
        <v>1263</v>
      </c>
      <c r="B254" s="1" t="s">
        <v>34</v>
      </c>
      <c r="C254" s="1" t="s">
        <v>530</v>
      </c>
      <c r="D254" s="1" t="s">
        <v>1264</v>
      </c>
      <c r="E254" s="6">
        <v>22826</v>
      </c>
      <c r="F254" s="1" t="s">
        <v>84</v>
      </c>
      <c r="G254" s="1">
        <v>1998</v>
      </c>
      <c r="H254" s="1">
        <v>17</v>
      </c>
      <c r="I254" s="1" t="s">
        <v>38</v>
      </c>
      <c r="J254" s="1"/>
      <c r="K254" s="1" t="s">
        <v>90</v>
      </c>
      <c r="L254" s="1" t="s">
        <v>1265</v>
      </c>
      <c r="M254" s="1" t="s">
        <v>1257</v>
      </c>
      <c r="N254" s="1" t="s">
        <v>272</v>
      </c>
      <c r="O254" s="1" t="s">
        <v>654</v>
      </c>
      <c r="P254" s="1" t="s">
        <v>49</v>
      </c>
      <c r="Q254" s="1" t="s">
        <v>56</v>
      </c>
      <c r="R254" s="1">
        <v>2</v>
      </c>
      <c r="S254" s="1">
        <v>692</v>
      </c>
      <c r="T254" s="1">
        <v>0</v>
      </c>
      <c r="U254" s="1">
        <v>0</v>
      </c>
      <c r="V254" s="1" t="s">
        <v>1266</v>
      </c>
    </row>
    <row r="255" spans="1:25" ht="13">
      <c r="A255" s="1" t="s">
        <v>1267</v>
      </c>
      <c r="B255" s="1" t="s">
        <v>34</v>
      </c>
      <c r="C255" s="1" t="s">
        <v>35</v>
      </c>
      <c r="D255" s="1"/>
      <c r="E255" s="6">
        <v>24707</v>
      </c>
      <c r="F255" s="1" t="s">
        <v>84</v>
      </c>
      <c r="G255" s="1">
        <v>2000</v>
      </c>
      <c r="H255" s="1">
        <v>18</v>
      </c>
      <c r="I255" s="1" t="s">
        <v>38</v>
      </c>
      <c r="J255" s="1"/>
      <c r="K255" s="1" t="s">
        <v>1057</v>
      </c>
      <c r="L255" s="1" t="s">
        <v>1268</v>
      </c>
      <c r="M255" s="1" t="s">
        <v>1269</v>
      </c>
      <c r="N255" s="1" t="s">
        <v>175</v>
      </c>
      <c r="O255" s="1" t="s">
        <v>175</v>
      </c>
      <c r="P255" s="1" t="s">
        <v>43</v>
      </c>
      <c r="Q255" s="1" t="s">
        <v>150</v>
      </c>
      <c r="R255" s="1">
        <v>2</v>
      </c>
      <c r="S255" s="1">
        <v>579</v>
      </c>
      <c r="T255" s="1">
        <v>0</v>
      </c>
      <c r="U255" s="1">
        <v>0</v>
      </c>
      <c r="V255" s="1" t="s">
        <v>1270</v>
      </c>
    </row>
    <row r="256" spans="1:25" ht="13">
      <c r="A256" s="1" t="s">
        <v>1271</v>
      </c>
      <c r="B256" s="1" t="s">
        <v>34</v>
      </c>
      <c r="C256" s="1" t="s">
        <v>35</v>
      </c>
      <c r="D256" s="1"/>
      <c r="E256" s="6">
        <v>21656</v>
      </c>
      <c r="F256" s="1" t="s">
        <v>124</v>
      </c>
      <c r="G256" s="1">
        <v>2000</v>
      </c>
      <c r="H256" s="1">
        <v>18</v>
      </c>
      <c r="I256" s="1" t="s">
        <v>38</v>
      </c>
      <c r="J256" s="1"/>
      <c r="K256" s="1" t="s">
        <v>1057</v>
      </c>
      <c r="L256" s="1" t="s">
        <v>1272</v>
      </c>
      <c r="M256" s="1" t="s">
        <v>1273</v>
      </c>
      <c r="N256" s="1" t="s">
        <v>1054</v>
      </c>
      <c r="O256" s="1" t="s">
        <v>1274</v>
      </c>
      <c r="R256" s="1">
        <v>2</v>
      </c>
      <c r="S256" s="1">
        <v>5075</v>
      </c>
      <c r="T256" s="1">
        <v>1</v>
      </c>
      <c r="U256" s="1">
        <v>5</v>
      </c>
      <c r="V256" s="1" t="s">
        <v>1275</v>
      </c>
    </row>
    <row r="257" spans="1:22" ht="13">
      <c r="A257" s="1" t="s">
        <v>1276</v>
      </c>
      <c r="B257" s="1" t="s">
        <v>34</v>
      </c>
      <c r="C257" s="1" t="s">
        <v>35</v>
      </c>
      <c r="D257" s="1"/>
      <c r="E257" s="6">
        <v>25777</v>
      </c>
      <c r="F257" s="1" t="s">
        <v>84</v>
      </c>
      <c r="G257" s="1">
        <v>2000</v>
      </c>
      <c r="H257" s="1">
        <v>18</v>
      </c>
      <c r="I257" s="1" t="s">
        <v>38</v>
      </c>
      <c r="J257" s="1"/>
      <c r="K257" s="1" t="s">
        <v>1057</v>
      </c>
      <c r="L257" s="1" t="s">
        <v>1277</v>
      </c>
      <c r="M257" s="1" t="s">
        <v>1278</v>
      </c>
      <c r="N257" s="1" t="s">
        <v>1279</v>
      </c>
      <c r="O257" s="1" t="s">
        <v>62</v>
      </c>
      <c r="P257" s="1" t="s">
        <v>49</v>
      </c>
      <c r="Q257" s="1" t="s">
        <v>64</v>
      </c>
      <c r="R257" s="1">
        <v>2</v>
      </c>
      <c r="S257" s="1">
        <v>708</v>
      </c>
      <c r="T257" s="1">
        <v>6</v>
      </c>
      <c r="U257" s="1">
        <v>37</v>
      </c>
      <c r="V257" s="1" t="s">
        <v>1593</v>
      </c>
    </row>
    <row r="258" spans="1:22" ht="13">
      <c r="A258" s="1" t="s">
        <v>1283</v>
      </c>
      <c r="B258" s="1" t="s">
        <v>34</v>
      </c>
      <c r="C258" s="1" t="s">
        <v>35</v>
      </c>
      <c r="D258" s="1"/>
      <c r="E258" s="6">
        <v>23651</v>
      </c>
      <c r="F258" s="1" t="s">
        <v>84</v>
      </c>
      <c r="G258" s="1">
        <v>2000</v>
      </c>
      <c r="H258" s="1">
        <v>18</v>
      </c>
      <c r="I258" s="1" t="s">
        <v>38</v>
      </c>
      <c r="J258" s="1"/>
      <c r="K258" s="1" t="s">
        <v>1057</v>
      </c>
      <c r="L258" s="1" t="s">
        <v>311</v>
      </c>
      <c r="M258" s="1" t="s">
        <v>628</v>
      </c>
      <c r="N258" s="1" t="s">
        <v>42</v>
      </c>
      <c r="O258" s="1" t="s">
        <v>139</v>
      </c>
      <c r="P258" s="1" t="s">
        <v>49</v>
      </c>
      <c r="Q258" s="1" t="s">
        <v>64</v>
      </c>
      <c r="R258" s="1">
        <v>2</v>
      </c>
      <c r="S258" s="1">
        <v>687</v>
      </c>
      <c r="T258" s="1">
        <v>0</v>
      </c>
      <c r="U258" s="1">
        <v>0</v>
      </c>
      <c r="V258" s="1" t="s">
        <v>1284</v>
      </c>
    </row>
    <row r="259" spans="1:22" ht="13">
      <c r="A259" s="1" t="s">
        <v>1285</v>
      </c>
      <c r="B259" s="1" t="s">
        <v>34</v>
      </c>
      <c r="C259" s="1" t="s">
        <v>35</v>
      </c>
      <c r="D259" s="1"/>
      <c r="E259" s="6">
        <v>23420</v>
      </c>
      <c r="F259" s="1" t="s">
        <v>84</v>
      </c>
      <c r="G259" s="1">
        <v>2000</v>
      </c>
      <c r="H259" s="1">
        <v>18</v>
      </c>
      <c r="I259" s="1" t="s">
        <v>38</v>
      </c>
      <c r="J259" s="1"/>
      <c r="K259" s="1" t="s">
        <v>1057</v>
      </c>
      <c r="L259" s="1" t="s">
        <v>1286</v>
      </c>
      <c r="M259" s="1" t="s">
        <v>227</v>
      </c>
      <c r="N259" s="1" t="s">
        <v>139</v>
      </c>
      <c r="O259" s="1" t="s">
        <v>900</v>
      </c>
      <c r="P259" s="1" t="s">
        <v>71</v>
      </c>
      <c r="Q259" s="1" t="s">
        <v>150</v>
      </c>
      <c r="R259" s="1">
        <v>3</v>
      </c>
      <c r="S259" s="1">
        <v>970</v>
      </c>
      <c r="T259" s="1">
        <v>7</v>
      </c>
      <c r="U259" s="1">
        <v>47</v>
      </c>
      <c r="V259" s="1" t="s">
        <v>1287</v>
      </c>
    </row>
    <row r="260" spans="1:22" ht="13">
      <c r="A260" s="1" t="s">
        <v>1288</v>
      </c>
      <c r="B260" s="1" t="s">
        <v>34</v>
      </c>
      <c r="C260" s="1" t="s">
        <v>361</v>
      </c>
      <c r="D260" s="1"/>
      <c r="E260" s="6">
        <v>22955</v>
      </c>
      <c r="F260" s="1" t="s">
        <v>84</v>
      </c>
      <c r="G260" s="1">
        <v>2000</v>
      </c>
      <c r="H260" s="1">
        <v>18</v>
      </c>
      <c r="I260" s="1" t="s">
        <v>38</v>
      </c>
      <c r="J260" s="1"/>
      <c r="K260" s="1" t="s">
        <v>1057</v>
      </c>
      <c r="L260" s="1" t="s">
        <v>407</v>
      </c>
      <c r="M260" s="1" t="s">
        <v>1289</v>
      </c>
      <c r="N260" s="1" t="s">
        <v>1290</v>
      </c>
      <c r="O260" s="1" t="s">
        <v>1291</v>
      </c>
      <c r="P260" s="1" t="s">
        <v>49</v>
      </c>
      <c r="Q260" s="1" t="s">
        <v>64</v>
      </c>
      <c r="R260" s="1">
        <v>2</v>
      </c>
      <c r="S260" s="1">
        <v>613</v>
      </c>
      <c r="T260" s="1">
        <v>2</v>
      </c>
      <c r="U260" s="1">
        <v>13</v>
      </c>
      <c r="V260" s="1" t="s">
        <v>1292</v>
      </c>
    </row>
    <row r="261" spans="1:22" ht="13">
      <c r="A261" s="1" t="s">
        <v>1293</v>
      </c>
      <c r="B261" s="1" t="s">
        <v>34</v>
      </c>
      <c r="C261" s="1" t="s">
        <v>35</v>
      </c>
      <c r="D261" s="1"/>
      <c r="E261" s="6">
        <v>23979</v>
      </c>
      <c r="F261" s="1" t="s">
        <v>124</v>
      </c>
      <c r="G261" s="1">
        <v>2000</v>
      </c>
      <c r="H261" s="1">
        <v>18</v>
      </c>
      <c r="I261" s="1" t="s">
        <v>38</v>
      </c>
      <c r="J261" s="1"/>
      <c r="K261" s="1" t="s">
        <v>1057</v>
      </c>
      <c r="L261" s="1" t="s">
        <v>1294</v>
      </c>
      <c r="M261" s="1" t="s">
        <v>1295</v>
      </c>
      <c r="N261" s="1" t="s">
        <v>1296</v>
      </c>
      <c r="O261" s="1" t="s">
        <v>1297</v>
      </c>
      <c r="R261" s="1">
        <v>2</v>
      </c>
      <c r="S261" s="1">
        <v>687</v>
      </c>
      <c r="T261" s="1">
        <v>6</v>
      </c>
      <c r="U261" s="1">
        <v>42</v>
      </c>
      <c r="V261" s="1" t="s">
        <v>1594</v>
      </c>
    </row>
    <row r="262" spans="1:22" ht="13">
      <c r="A262" s="1" t="s">
        <v>1301</v>
      </c>
      <c r="B262" s="1" t="s">
        <v>34</v>
      </c>
      <c r="C262" s="1" t="s">
        <v>35</v>
      </c>
      <c r="D262" s="1"/>
      <c r="E262" s="6">
        <v>22104</v>
      </c>
      <c r="F262" s="1" t="s">
        <v>124</v>
      </c>
      <c r="G262" s="1">
        <v>2000</v>
      </c>
      <c r="H262" s="1">
        <v>18</v>
      </c>
      <c r="I262" s="1" t="s">
        <v>38</v>
      </c>
      <c r="J262" s="1"/>
      <c r="K262" s="1" t="s">
        <v>1057</v>
      </c>
      <c r="L262" s="1" t="s">
        <v>1302</v>
      </c>
      <c r="M262" s="1" t="s">
        <v>1303</v>
      </c>
      <c r="N262" s="1" t="s">
        <v>87</v>
      </c>
      <c r="O262" s="1" t="s">
        <v>1304</v>
      </c>
      <c r="P262" s="1" t="s">
        <v>49</v>
      </c>
      <c r="Q262" s="1" t="s">
        <v>50</v>
      </c>
      <c r="R262" s="1">
        <v>2</v>
      </c>
      <c r="S262" s="1">
        <v>3781</v>
      </c>
      <c r="T262" s="1">
        <v>0</v>
      </c>
      <c r="U262" s="1">
        <v>0</v>
      </c>
      <c r="V262" s="1" t="s">
        <v>1305</v>
      </c>
    </row>
    <row r="263" spans="1:22" ht="13">
      <c r="A263" s="1" t="s">
        <v>1306</v>
      </c>
      <c r="B263" s="1" t="s">
        <v>34</v>
      </c>
      <c r="C263" s="1" t="s">
        <v>35</v>
      </c>
      <c r="D263" s="1"/>
      <c r="E263" s="6">
        <v>22574</v>
      </c>
      <c r="F263" s="1" t="s">
        <v>84</v>
      </c>
      <c r="G263" s="1">
        <v>2000</v>
      </c>
      <c r="H263" s="1">
        <v>18</v>
      </c>
      <c r="I263" s="1" t="s">
        <v>38</v>
      </c>
      <c r="J263" s="1"/>
      <c r="K263" s="1" t="s">
        <v>521</v>
      </c>
      <c r="L263" s="1" t="s">
        <v>1307</v>
      </c>
      <c r="M263" s="1" t="s">
        <v>1308</v>
      </c>
      <c r="N263" s="1" t="s">
        <v>1309</v>
      </c>
      <c r="O263" s="1" t="s">
        <v>1310</v>
      </c>
      <c r="P263" s="1" t="s">
        <v>49</v>
      </c>
      <c r="Q263" s="1" t="s">
        <v>50</v>
      </c>
      <c r="R263" s="1">
        <v>2</v>
      </c>
      <c r="S263" s="1">
        <v>4271</v>
      </c>
      <c r="T263" s="1">
        <v>4</v>
      </c>
      <c r="U263" s="1">
        <v>27</v>
      </c>
      <c r="V263" s="1" t="s">
        <v>1311</v>
      </c>
    </row>
    <row r="264" spans="1:22" ht="13">
      <c r="A264" s="1" t="s">
        <v>1312</v>
      </c>
      <c r="B264" s="1" t="s">
        <v>34</v>
      </c>
      <c r="C264" s="1" t="s">
        <v>35</v>
      </c>
      <c r="D264" s="1"/>
      <c r="E264" s="6">
        <v>22932</v>
      </c>
      <c r="F264" s="1" t="s">
        <v>84</v>
      </c>
      <c r="G264" s="1">
        <v>2000</v>
      </c>
      <c r="H264" s="1">
        <v>18</v>
      </c>
      <c r="I264" s="1" t="s">
        <v>38</v>
      </c>
      <c r="J264" s="1"/>
      <c r="K264" s="1" t="s">
        <v>521</v>
      </c>
      <c r="L264" s="1" t="s">
        <v>1313</v>
      </c>
      <c r="M264" s="1" t="s">
        <v>658</v>
      </c>
      <c r="N264" s="1" t="s">
        <v>87</v>
      </c>
      <c r="O264" s="1" t="s">
        <v>87</v>
      </c>
      <c r="P264" s="1" t="s">
        <v>49</v>
      </c>
      <c r="Q264" s="1" t="s">
        <v>50</v>
      </c>
      <c r="R264" s="1">
        <v>2</v>
      </c>
      <c r="S264" s="1">
        <v>592</v>
      </c>
      <c r="T264" s="1">
        <v>4</v>
      </c>
      <c r="U264" s="1">
        <v>30</v>
      </c>
      <c r="V264" s="1" t="s">
        <v>1314</v>
      </c>
    </row>
    <row r="265" spans="1:22" ht="13">
      <c r="A265" s="1" t="s">
        <v>1315</v>
      </c>
      <c r="B265" s="1" t="s">
        <v>34</v>
      </c>
      <c r="C265" s="1" t="s">
        <v>35</v>
      </c>
      <c r="D265" s="1"/>
      <c r="E265" s="6">
        <v>24401</v>
      </c>
      <c r="F265" s="1" t="s">
        <v>36</v>
      </c>
      <c r="G265" s="1">
        <v>2000</v>
      </c>
      <c r="H265" s="1">
        <v>18</v>
      </c>
      <c r="I265" s="1" t="s">
        <v>38</v>
      </c>
      <c r="J265" s="1"/>
      <c r="K265" s="1" t="s">
        <v>1057</v>
      </c>
      <c r="L265" s="1" t="s">
        <v>1316</v>
      </c>
      <c r="M265" s="1" t="s">
        <v>1317</v>
      </c>
      <c r="N265" s="1" t="s">
        <v>506</v>
      </c>
      <c r="P265" s="1" t="s">
        <v>49</v>
      </c>
      <c r="Q265" s="1" t="s">
        <v>182</v>
      </c>
      <c r="R265" s="1">
        <v>2</v>
      </c>
      <c r="S265" s="1">
        <v>683</v>
      </c>
      <c r="T265" s="1">
        <v>0</v>
      </c>
      <c r="U265" s="1">
        <v>0</v>
      </c>
      <c r="V265" s="1" t="s">
        <v>1318</v>
      </c>
    </row>
    <row r="266" spans="1:22" ht="13">
      <c r="A266" s="1" t="s">
        <v>1319</v>
      </c>
      <c r="B266" s="1" t="s">
        <v>34</v>
      </c>
      <c r="C266" s="1" t="s">
        <v>35</v>
      </c>
      <c r="D266" s="1"/>
      <c r="E266" s="6">
        <v>23110</v>
      </c>
      <c r="F266" s="1" t="s">
        <v>84</v>
      </c>
      <c r="G266" s="1">
        <v>2000</v>
      </c>
      <c r="H266" s="1">
        <v>18</v>
      </c>
      <c r="I266" s="1" t="s">
        <v>38</v>
      </c>
      <c r="J266" s="1"/>
      <c r="K266" s="1" t="s">
        <v>1057</v>
      </c>
      <c r="L266" s="1" t="s">
        <v>782</v>
      </c>
      <c r="M266" s="1" t="s">
        <v>1320</v>
      </c>
      <c r="N266" s="1" t="s">
        <v>1008</v>
      </c>
      <c r="O266" s="1" t="s">
        <v>1321</v>
      </c>
      <c r="P266" s="1" t="s">
        <v>49</v>
      </c>
      <c r="Q266" s="1" t="s">
        <v>490</v>
      </c>
      <c r="R266" s="1">
        <v>2</v>
      </c>
      <c r="S266" s="1">
        <v>5857</v>
      </c>
      <c r="T266" s="1">
        <v>3</v>
      </c>
      <c r="U266" s="1">
        <v>13</v>
      </c>
      <c r="V266" s="1" t="s">
        <v>1322</v>
      </c>
    </row>
    <row r="267" spans="1:22" ht="13">
      <c r="A267" s="1" t="s">
        <v>1337</v>
      </c>
      <c r="B267" s="1" t="s">
        <v>34</v>
      </c>
      <c r="C267" s="1" t="s">
        <v>35</v>
      </c>
      <c r="D267" s="1"/>
      <c r="E267" s="6">
        <v>24807</v>
      </c>
      <c r="F267" s="1" t="s">
        <v>84</v>
      </c>
      <c r="G267" s="1">
        <v>2000</v>
      </c>
      <c r="H267" s="1">
        <v>18</v>
      </c>
      <c r="I267" s="1" t="s">
        <v>38</v>
      </c>
      <c r="J267" s="1"/>
      <c r="K267" s="1" t="s">
        <v>1057</v>
      </c>
      <c r="L267" s="1" t="s">
        <v>631</v>
      </c>
      <c r="M267" s="1" t="s">
        <v>1289</v>
      </c>
      <c r="N267" s="1" t="s">
        <v>272</v>
      </c>
      <c r="O267" s="1" t="s">
        <v>228</v>
      </c>
      <c r="P267" s="1" t="s">
        <v>49</v>
      </c>
      <c r="Q267" s="1" t="s">
        <v>64</v>
      </c>
      <c r="R267" s="1">
        <v>2</v>
      </c>
      <c r="S267" s="1">
        <v>5122</v>
      </c>
      <c r="T267" s="1">
        <v>3</v>
      </c>
      <c r="U267" s="1">
        <v>18</v>
      </c>
      <c r="V267" s="1" t="s">
        <v>1338</v>
      </c>
    </row>
    <row r="268" spans="1:22" ht="13">
      <c r="A268" s="1" t="s">
        <v>1339</v>
      </c>
      <c r="B268" s="1" t="s">
        <v>34</v>
      </c>
      <c r="C268" s="1" t="s">
        <v>35</v>
      </c>
      <c r="D268" s="1"/>
      <c r="E268" s="6">
        <v>23009</v>
      </c>
      <c r="F268" s="1" t="s">
        <v>84</v>
      </c>
      <c r="G268" s="1">
        <v>2000</v>
      </c>
      <c r="H268" s="1">
        <v>18</v>
      </c>
      <c r="I268" s="1" t="s">
        <v>38</v>
      </c>
      <c r="J268" s="1"/>
      <c r="K268" s="1" t="s">
        <v>1057</v>
      </c>
      <c r="L268" s="1" t="s">
        <v>477</v>
      </c>
      <c r="M268" s="1" t="s">
        <v>1340</v>
      </c>
      <c r="N268" s="1" t="s">
        <v>139</v>
      </c>
      <c r="O268" s="1" t="s">
        <v>1341</v>
      </c>
      <c r="P268" s="1" t="s">
        <v>71</v>
      </c>
      <c r="Q268" s="1" t="s">
        <v>150</v>
      </c>
      <c r="R268" s="1">
        <v>2</v>
      </c>
      <c r="S268" s="1">
        <v>4272</v>
      </c>
      <c r="T268" s="1">
        <v>4</v>
      </c>
      <c r="U268" s="1">
        <v>25</v>
      </c>
      <c r="V268" s="1" t="s">
        <v>1342</v>
      </c>
    </row>
    <row r="269" spans="1:22" ht="13">
      <c r="A269" s="1" t="s">
        <v>1343</v>
      </c>
      <c r="B269" s="1" t="s">
        <v>34</v>
      </c>
      <c r="C269" s="1" t="s">
        <v>530</v>
      </c>
      <c r="D269" s="1" t="s">
        <v>1344</v>
      </c>
      <c r="E269" s="6">
        <v>24609</v>
      </c>
      <c r="F269" s="1" t="s">
        <v>84</v>
      </c>
      <c r="G269" s="1">
        <v>2004</v>
      </c>
      <c r="H269" s="1">
        <v>19</v>
      </c>
      <c r="I269" s="1" t="s">
        <v>38</v>
      </c>
      <c r="J269" s="1"/>
      <c r="K269" s="1" t="s">
        <v>1057</v>
      </c>
      <c r="L269" s="1" t="s">
        <v>1345</v>
      </c>
      <c r="M269" s="1" t="s">
        <v>1346</v>
      </c>
      <c r="N269" s="1" t="s">
        <v>210</v>
      </c>
      <c r="O269" s="1" t="s">
        <v>210</v>
      </c>
      <c r="R269" s="1">
        <v>2</v>
      </c>
      <c r="S269" s="1">
        <v>3307</v>
      </c>
      <c r="T269" s="1">
        <v>2</v>
      </c>
      <c r="U269" s="1">
        <v>13</v>
      </c>
      <c r="V269" s="1" t="s">
        <v>1595</v>
      </c>
    </row>
    <row r="270" spans="1:22" ht="13">
      <c r="A270" s="1" t="s">
        <v>1350</v>
      </c>
      <c r="B270" s="1" t="s">
        <v>34</v>
      </c>
      <c r="C270" s="1" t="s">
        <v>35</v>
      </c>
      <c r="D270" s="1"/>
      <c r="E270" s="6">
        <v>23341</v>
      </c>
      <c r="F270" s="1" t="s">
        <v>84</v>
      </c>
      <c r="G270" s="1">
        <v>2004</v>
      </c>
      <c r="H270" s="1">
        <v>19</v>
      </c>
      <c r="I270" s="1" t="s">
        <v>38</v>
      </c>
      <c r="J270" s="1"/>
      <c r="K270" s="1" t="s">
        <v>1057</v>
      </c>
      <c r="L270" s="1" t="s">
        <v>1351</v>
      </c>
      <c r="M270" s="1" t="s">
        <v>1352</v>
      </c>
      <c r="N270" s="1" t="s">
        <v>1353</v>
      </c>
      <c r="O270" s="1" t="s">
        <v>1354</v>
      </c>
      <c r="R270" s="1">
        <v>1</v>
      </c>
      <c r="S270" s="1">
        <v>307</v>
      </c>
      <c r="T270" s="1">
        <v>2</v>
      </c>
      <c r="U270" s="1">
        <v>12</v>
      </c>
      <c r="V270" s="1" t="s">
        <v>1596</v>
      </c>
    </row>
    <row r="271" spans="1:22" ht="13">
      <c r="A271" s="1" t="s">
        <v>1358</v>
      </c>
      <c r="B271" s="1" t="s">
        <v>34</v>
      </c>
      <c r="C271" s="1" t="s">
        <v>35</v>
      </c>
      <c r="D271" s="1"/>
      <c r="E271" s="6">
        <v>24726</v>
      </c>
      <c r="F271" s="1" t="s">
        <v>84</v>
      </c>
      <c r="G271" s="1">
        <v>2004</v>
      </c>
      <c r="H271" s="1">
        <v>19</v>
      </c>
      <c r="I271" s="1" t="s">
        <v>38</v>
      </c>
      <c r="J271" s="1"/>
      <c r="K271" s="1" t="s">
        <v>1057</v>
      </c>
      <c r="L271" s="1" t="s">
        <v>1359</v>
      </c>
      <c r="M271" s="1" t="s">
        <v>1360</v>
      </c>
      <c r="N271" s="1" t="s">
        <v>272</v>
      </c>
      <c r="O271" s="1" t="s">
        <v>955</v>
      </c>
      <c r="P271" s="1" t="s">
        <v>49</v>
      </c>
      <c r="Q271" s="1" t="s">
        <v>182</v>
      </c>
      <c r="R271" s="1">
        <v>1</v>
      </c>
      <c r="S271" s="1">
        <v>259</v>
      </c>
      <c r="T271" s="1">
        <v>2</v>
      </c>
      <c r="U271" s="1">
        <v>12</v>
      </c>
      <c r="V271" s="1" t="s">
        <v>1397</v>
      </c>
    </row>
    <row r="272" spans="1:22" ht="13">
      <c r="A272" s="1" t="s">
        <v>1364</v>
      </c>
      <c r="B272" s="1" t="s">
        <v>34</v>
      </c>
      <c r="C272" s="1" t="s">
        <v>35</v>
      </c>
      <c r="D272" s="1"/>
      <c r="E272" s="6">
        <v>25572</v>
      </c>
      <c r="F272" s="1" t="s">
        <v>84</v>
      </c>
      <c r="G272" s="1">
        <v>2004</v>
      </c>
      <c r="H272" s="1">
        <v>19</v>
      </c>
      <c r="I272" s="1" t="s">
        <v>38</v>
      </c>
      <c r="J272" s="1"/>
      <c r="K272" s="1" t="s">
        <v>1057</v>
      </c>
      <c r="L272" s="1" t="s">
        <v>1365</v>
      </c>
      <c r="M272" s="1" t="s">
        <v>227</v>
      </c>
      <c r="N272" s="1" t="s">
        <v>272</v>
      </c>
      <c r="O272" s="1" t="s">
        <v>900</v>
      </c>
      <c r="P272" s="1" t="s">
        <v>43</v>
      </c>
      <c r="Q272" s="1" t="s">
        <v>150</v>
      </c>
      <c r="R272" s="1">
        <v>1</v>
      </c>
      <c r="S272" s="1">
        <v>4376</v>
      </c>
      <c r="T272" s="1">
        <v>6</v>
      </c>
      <c r="U272" s="1">
        <v>31</v>
      </c>
      <c r="V272" s="1" t="s">
        <v>1597</v>
      </c>
    </row>
    <row r="273" spans="1:22" ht="13">
      <c r="A273" s="1" t="s">
        <v>1369</v>
      </c>
      <c r="B273" s="1" t="s">
        <v>34</v>
      </c>
      <c r="C273" s="1" t="s">
        <v>35</v>
      </c>
      <c r="D273" s="1"/>
      <c r="E273" s="6">
        <v>25162</v>
      </c>
      <c r="F273" s="1" t="s">
        <v>84</v>
      </c>
      <c r="G273" s="1">
        <v>2004</v>
      </c>
      <c r="H273" s="1">
        <v>19</v>
      </c>
      <c r="I273" s="1" t="s">
        <v>38</v>
      </c>
      <c r="J273" s="1"/>
      <c r="K273" s="1" t="s">
        <v>521</v>
      </c>
      <c r="L273" s="1" t="s">
        <v>1370</v>
      </c>
      <c r="M273" s="1" t="s">
        <v>1371</v>
      </c>
      <c r="N273" s="1" t="s">
        <v>104</v>
      </c>
      <c r="O273" s="1" t="s">
        <v>175</v>
      </c>
      <c r="P273" s="1" t="s">
        <v>49</v>
      </c>
      <c r="Q273" s="1" t="s">
        <v>64</v>
      </c>
      <c r="R273" s="1">
        <v>1</v>
      </c>
      <c r="S273" s="1">
        <v>362</v>
      </c>
      <c r="T273" s="1">
        <v>0</v>
      </c>
      <c r="U273" s="1">
        <v>0</v>
      </c>
      <c r="V273" s="1" t="s">
        <v>1372</v>
      </c>
    </row>
    <row r="274" spans="1:22" ht="13">
      <c r="A274" s="1" t="s">
        <v>1373</v>
      </c>
      <c r="B274" s="1" t="s">
        <v>34</v>
      </c>
      <c r="C274" s="1" t="s">
        <v>530</v>
      </c>
      <c r="D274" s="1" t="s">
        <v>827</v>
      </c>
      <c r="E274" s="6">
        <v>22865</v>
      </c>
      <c r="F274" s="1" t="s">
        <v>84</v>
      </c>
      <c r="G274" s="1">
        <v>2004</v>
      </c>
      <c r="H274" s="1">
        <v>19</v>
      </c>
      <c r="I274" s="1" t="s">
        <v>38</v>
      </c>
      <c r="J274" s="1"/>
      <c r="K274" s="1" t="s">
        <v>90</v>
      </c>
      <c r="L274" s="1" t="s">
        <v>1374</v>
      </c>
      <c r="M274" s="1" t="s">
        <v>1375</v>
      </c>
      <c r="N274" s="1" t="s">
        <v>139</v>
      </c>
      <c r="O274" s="1" t="s">
        <v>1376</v>
      </c>
      <c r="R274" s="1">
        <v>1</v>
      </c>
      <c r="S274" s="1">
        <v>332</v>
      </c>
      <c r="T274" s="1">
        <v>0</v>
      </c>
      <c r="U274" s="1">
        <v>0</v>
      </c>
      <c r="V274" s="1" t="s">
        <v>1377</v>
      </c>
    </row>
    <row r="275" spans="1:22" ht="13">
      <c r="A275" s="1" t="s">
        <v>1378</v>
      </c>
      <c r="B275" s="1" t="s">
        <v>34</v>
      </c>
      <c r="C275" s="1" t="s">
        <v>35</v>
      </c>
      <c r="D275" s="1"/>
      <c r="E275" s="6">
        <v>24627</v>
      </c>
      <c r="F275" s="1" t="s">
        <v>84</v>
      </c>
      <c r="G275" s="1">
        <v>2004</v>
      </c>
      <c r="H275" s="1">
        <v>19</v>
      </c>
      <c r="I275" s="1" t="s">
        <v>38</v>
      </c>
      <c r="J275" s="1"/>
      <c r="K275" s="1" t="s">
        <v>1057</v>
      </c>
      <c r="L275" s="1" t="s">
        <v>1379</v>
      </c>
      <c r="M275" s="1" t="s">
        <v>779</v>
      </c>
      <c r="N275" s="1" t="s">
        <v>87</v>
      </c>
      <c r="O275" s="1" t="s">
        <v>592</v>
      </c>
      <c r="P275" s="1" t="s">
        <v>49</v>
      </c>
      <c r="Q275" s="1" t="s">
        <v>674</v>
      </c>
      <c r="R275" s="1">
        <v>3</v>
      </c>
      <c r="S275" s="1">
        <v>3720</v>
      </c>
      <c r="T275" s="1">
        <v>4</v>
      </c>
      <c r="U275" s="1">
        <v>25</v>
      </c>
      <c r="V275" s="1" t="s">
        <v>1598</v>
      </c>
    </row>
    <row r="276" spans="1:22" ht="13">
      <c r="A276" s="1" t="s">
        <v>1383</v>
      </c>
      <c r="B276" s="1" t="s">
        <v>34</v>
      </c>
      <c r="C276" s="1" t="s">
        <v>35</v>
      </c>
      <c r="D276" s="1"/>
      <c r="E276" s="6">
        <v>22157</v>
      </c>
      <c r="F276" s="1" t="s">
        <v>124</v>
      </c>
      <c r="G276" s="1">
        <v>2004</v>
      </c>
      <c r="H276" s="1">
        <v>19</v>
      </c>
      <c r="I276" s="1" t="s">
        <v>38</v>
      </c>
      <c r="J276" s="1"/>
      <c r="K276" s="1" t="s">
        <v>1057</v>
      </c>
      <c r="L276" s="1" t="s">
        <v>1384</v>
      </c>
      <c r="M276" s="1" t="s">
        <v>1385</v>
      </c>
      <c r="N276" s="1" t="s">
        <v>158</v>
      </c>
      <c r="O276" s="1" t="s">
        <v>1386</v>
      </c>
      <c r="R276" s="1">
        <v>2</v>
      </c>
      <c r="S276" s="1">
        <v>3871</v>
      </c>
      <c r="T276" s="1">
        <v>4</v>
      </c>
      <c r="U276" s="1">
        <v>24</v>
      </c>
      <c r="V276" s="1" t="s">
        <v>1388</v>
      </c>
    </row>
    <row r="277" spans="1:22" ht="13">
      <c r="A277" s="1" t="s">
        <v>1393</v>
      </c>
      <c r="B277" s="1" t="s">
        <v>34</v>
      </c>
      <c r="C277" s="1" t="s">
        <v>361</v>
      </c>
      <c r="D277" s="1"/>
      <c r="E277" s="6">
        <v>24007</v>
      </c>
      <c r="F277" s="1" t="s">
        <v>124</v>
      </c>
      <c r="G277" s="1">
        <v>2004</v>
      </c>
      <c r="H277" s="1">
        <v>19</v>
      </c>
      <c r="I277" s="1" t="s">
        <v>38</v>
      </c>
      <c r="J277" s="1"/>
      <c r="K277" s="1" t="s">
        <v>90</v>
      </c>
      <c r="L277" s="1" t="s">
        <v>1394</v>
      </c>
      <c r="M277" s="1" t="s">
        <v>1395</v>
      </c>
      <c r="N277" s="1" t="s">
        <v>579</v>
      </c>
      <c r="O277" s="1" t="s">
        <v>1396</v>
      </c>
      <c r="R277" s="1">
        <v>1</v>
      </c>
      <c r="S277" s="1">
        <v>259</v>
      </c>
      <c r="T277" s="1">
        <v>2</v>
      </c>
      <c r="U277" s="1">
        <v>12</v>
      </c>
      <c r="V277" s="1" t="s">
        <v>1397</v>
      </c>
    </row>
    <row r="278" spans="1:22" ht="13">
      <c r="A278" s="1" t="s">
        <v>1412</v>
      </c>
      <c r="B278" s="1" t="s">
        <v>34</v>
      </c>
      <c r="C278" s="1" t="s">
        <v>35</v>
      </c>
      <c r="D278" s="1"/>
      <c r="E278" s="6">
        <v>27052</v>
      </c>
      <c r="F278" s="1" t="s">
        <v>84</v>
      </c>
      <c r="G278" s="1">
        <v>2009</v>
      </c>
      <c r="H278" s="1">
        <v>20</v>
      </c>
      <c r="I278" s="1" t="s">
        <v>38</v>
      </c>
      <c r="J278" s="1"/>
      <c r="K278" s="1" t="s">
        <v>90</v>
      </c>
      <c r="L278" s="1" t="s">
        <v>1413</v>
      </c>
      <c r="M278" s="1" t="s">
        <v>635</v>
      </c>
      <c r="N278" s="1" t="s">
        <v>104</v>
      </c>
      <c r="O278" s="1" t="s">
        <v>175</v>
      </c>
      <c r="R278" s="1">
        <v>1</v>
      </c>
      <c r="S278" s="1" t="s">
        <v>1414</v>
      </c>
      <c r="T278" s="1">
        <v>0</v>
      </c>
      <c r="U278" s="1">
        <v>0</v>
      </c>
      <c r="V278" s="1" t="s">
        <v>1415</v>
      </c>
    </row>
    <row r="279" spans="1:22" ht="13">
      <c r="A279" s="1" t="s">
        <v>1416</v>
      </c>
      <c r="B279" s="1" t="s">
        <v>34</v>
      </c>
      <c r="C279" s="1" t="s">
        <v>35</v>
      </c>
      <c r="D279" s="1"/>
      <c r="E279" s="6">
        <v>25200</v>
      </c>
      <c r="F279" s="1" t="s">
        <v>84</v>
      </c>
      <c r="G279" s="1">
        <v>2009</v>
      </c>
      <c r="H279" s="1">
        <v>20</v>
      </c>
      <c r="I279" s="1" t="s">
        <v>38</v>
      </c>
      <c r="J279" s="1"/>
      <c r="K279" s="1" t="s">
        <v>1057</v>
      </c>
      <c r="L279" s="1" t="s">
        <v>1417</v>
      </c>
      <c r="M279" s="1" t="s">
        <v>1418</v>
      </c>
      <c r="N279" s="1" t="s">
        <v>87</v>
      </c>
      <c r="O279" s="1" t="s">
        <v>87</v>
      </c>
      <c r="P279" s="1" t="s">
        <v>49</v>
      </c>
      <c r="Q279" s="1" t="s">
        <v>64</v>
      </c>
      <c r="R279" s="1">
        <v>1</v>
      </c>
      <c r="S279" s="1">
        <v>3990</v>
      </c>
      <c r="T279" s="1">
        <v>2</v>
      </c>
      <c r="U279" s="1">
        <v>13</v>
      </c>
      <c r="V279" s="1" t="s">
        <v>1599</v>
      </c>
    </row>
    <row r="280" spans="1:22" ht="13">
      <c r="A280" s="1" t="s">
        <v>1422</v>
      </c>
      <c r="B280" s="1" t="s">
        <v>34</v>
      </c>
      <c r="C280" s="1" t="s">
        <v>459</v>
      </c>
      <c r="D280" s="1" t="s">
        <v>1423</v>
      </c>
      <c r="E280" s="6">
        <v>26687</v>
      </c>
      <c r="F280" s="1" t="s">
        <v>124</v>
      </c>
      <c r="G280" s="1">
        <v>2009</v>
      </c>
      <c r="H280" s="1">
        <v>20</v>
      </c>
      <c r="I280" s="1" t="s">
        <v>38</v>
      </c>
      <c r="J280" s="1"/>
      <c r="K280" s="1" t="s">
        <v>1057</v>
      </c>
      <c r="L280" s="1" t="s">
        <v>1424</v>
      </c>
      <c r="M280" s="1" t="s">
        <v>1425</v>
      </c>
      <c r="N280" s="1" t="s">
        <v>810</v>
      </c>
      <c r="O280" s="1" t="s">
        <v>1426</v>
      </c>
      <c r="R280" s="1">
        <v>1</v>
      </c>
      <c r="S280" s="1">
        <v>3400</v>
      </c>
      <c r="T280" s="1">
        <v>2</v>
      </c>
      <c r="U280" s="1">
        <v>15</v>
      </c>
      <c r="V280" s="1" t="s">
        <v>1427</v>
      </c>
    </row>
    <row r="281" spans="1:22" ht="13">
      <c r="A281" s="1" t="s">
        <v>1436</v>
      </c>
      <c r="B281" s="1" t="s">
        <v>34</v>
      </c>
      <c r="C281" s="1" t="s">
        <v>35</v>
      </c>
      <c r="D281" s="1"/>
      <c r="E281" s="6">
        <v>23942</v>
      </c>
      <c r="F281" s="1" t="s">
        <v>84</v>
      </c>
      <c r="G281" s="1">
        <v>2009</v>
      </c>
      <c r="H281" s="1">
        <v>20</v>
      </c>
      <c r="I281" s="1" t="s">
        <v>38</v>
      </c>
      <c r="J281" s="1"/>
      <c r="K281" s="1" t="s">
        <v>1057</v>
      </c>
      <c r="L281" s="1" t="s">
        <v>1437</v>
      </c>
      <c r="M281" s="1" t="s">
        <v>1438</v>
      </c>
      <c r="N281" s="1" t="s">
        <v>62</v>
      </c>
      <c r="O281" s="1" t="s">
        <v>62</v>
      </c>
      <c r="P281" s="1" t="s">
        <v>43</v>
      </c>
      <c r="Q281" s="1" t="s">
        <v>150</v>
      </c>
      <c r="R281" s="1">
        <v>1</v>
      </c>
      <c r="S281" s="1" t="s">
        <v>1439</v>
      </c>
      <c r="T281" s="1">
        <v>1</v>
      </c>
      <c r="U281" s="24" t="s">
        <v>1440</v>
      </c>
      <c r="V281" s="1" t="s">
        <v>1441</v>
      </c>
    </row>
    <row r="282" spans="1:22" ht="13">
      <c r="A282" s="1" t="s">
        <v>1442</v>
      </c>
      <c r="B282" s="1" t="s">
        <v>34</v>
      </c>
      <c r="C282" s="1" t="s">
        <v>35</v>
      </c>
      <c r="D282" s="1"/>
      <c r="E282" s="6">
        <v>24421</v>
      </c>
      <c r="F282" s="1" t="s">
        <v>84</v>
      </c>
      <c r="G282" s="1">
        <v>2009</v>
      </c>
      <c r="H282" s="1">
        <v>20</v>
      </c>
      <c r="I282" s="1" t="s">
        <v>38</v>
      </c>
      <c r="J282" s="1"/>
      <c r="K282" s="1" t="s">
        <v>1057</v>
      </c>
      <c r="L282" s="1" t="s">
        <v>1443</v>
      </c>
      <c r="M282" s="1" t="s">
        <v>1444</v>
      </c>
      <c r="N282" s="1" t="s">
        <v>158</v>
      </c>
      <c r="O282" s="1" t="s">
        <v>863</v>
      </c>
      <c r="P282" s="1" t="s">
        <v>49</v>
      </c>
      <c r="Q282" s="1" t="s">
        <v>674</v>
      </c>
      <c r="R282" s="1">
        <v>2</v>
      </c>
      <c r="S282" s="1">
        <v>0</v>
      </c>
      <c r="T282" s="1">
        <v>4</v>
      </c>
      <c r="U282" s="1" t="s">
        <v>1445</v>
      </c>
      <c r="V282" s="1" t="s">
        <v>1600</v>
      </c>
    </row>
    <row r="283" spans="1:22" ht="13">
      <c r="A283" s="1" t="s">
        <v>1447</v>
      </c>
      <c r="B283" s="1" t="s">
        <v>34</v>
      </c>
      <c r="C283" s="1" t="s">
        <v>35</v>
      </c>
      <c r="D283" s="1"/>
      <c r="E283" s="6">
        <v>27709</v>
      </c>
      <c r="F283" s="1" t="s">
        <v>84</v>
      </c>
      <c r="G283" s="1">
        <v>2009</v>
      </c>
      <c r="H283" s="1">
        <v>20</v>
      </c>
      <c r="I283" s="1" t="s">
        <v>38</v>
      </c>
      <c r="J283" s="1"/>
      <c r="K283" s="1" t="s">
        <v>1057</v>
      </c>
      <c r="L283" s="1" t="s">
        <v>631</v>
      </c>
      <c r="M283" s="1" t="s">
        <v>1448</v>
      </c>
      <c r="N283" s="1" t="s">
        <v>1449</v>
      </c>
      <c r="O283" s="1" t="s">
        <v>917</v>
      </c>
      <c r="P283" s="1" t="s">
        <v>43</v>
      </c>
      <c r="Q283" s="1" t="s">
        <v>150</v>
      </c>
      <c r="R283" s="1">
        <v>1</v>
      </c>
      <c r="S283" s="1">
        <v>3968</v>
      </c>
      <c r="T283" s="1">
        <v>2</v>
      </c>
      <c r="U283" s="1">
        <v>13</v>
      </c>
      <c r="V283" s="1" t="s">
        <v>1450</v>
      </c>
    </row>
    <row r="284" spans="1:22" ht="13">
      <c r="A284" s="1" t="s">
        <v>1451</v>
      </c>
      <c r="B284" s="1" t="s">
        <v>34</v>
      </c>
      <c r="C284" s="1" t="s">
        <v>35</v>
      </c>
      <c r="D284" s="1"/>
      <c r="E284" s="6">
        <v>26863</v>
      </c>
      <c r="F284" s="1" t="s">
        <v>124</v>
      </c>
      <c r="G284" s="1">
        <v>2013</v>
      </c>
      <c r="H284" s="1">
        <v>21</v>
      </c>
      <c r="I284" s="1" t="s">
        <v>38</v>
      </c>
      <c r="J284" s="1"/>
      <c r="K284" s="1" t="s">
        <v>1057</v>
      </c>
      <c r="L284" s="1" t="s">
        <v>643</v>
      </c>
      <c r="M284" s="1" t="s">
        <v>1452</v>
      </c>
      <c r="N284" s="1" t="s">
        <v>158</v>
      </c>
      <c r="O284" s="1" t="s">
        <v>1453</v>
      </c>
      <c r="P284" s="1" t="s">
        <v>43</v>
      </c>
      <c r="Q284" s="1" t="s">
        <v>150</v>
      </c>
      <c r="R284" s="1">
        <v>0</v>
      </c>
      <c r="S284" s="1">
        <v>0</v>
      </c>
      <c r="T284" s="1">
        <v>0</v>
      </c>
      <c r="U284" s="1">
        <v>0</v>
      </c>
      <c r="V284" s="1"/>
    </row>
    <row r="285" spans="1:22" ht="13">
      <c r="A285" s="1" t="s">
        <v>1454</v>
      </c>
      <c r="B285" s="1" t="s">
        <v>34</v>
      </c>
      <c r="C285" s="1" t="s">
        <v>361</v>
      </c>
      <c r="D285" s="1"/>
      <c r="E285" s="6">
        <v>27880</v>
      </c>
      <c r="F285" s="1" t="s">
        <v>84</v>
      </c>
      <c r="G285" s="1">
        <v>2013</v>
      </c>
      <c r="H285" s="1">
        <v>21</v>
      </c>
      <c r="I285" s="1" t="s">
        <v>38</v>
      </c>
      <c r="J285" s="1"/>
      <c r="K285" s="1" t="s">
        <v>1057</v>
      </c>
      <c r="L285" s="1"/>
      <c r="M285" s="1"/>
      <c r="N285" s="1"/>
      <c r="O285" s="1"/>
      <c r="P285" s="1"/>
      <c r="Q285" s="1"/>
      <c r="R285" s="1">
        <v>1</v>
      </c>
      <c r="S285" s="1"/>
      <c r="T285" s="1">
        <v>4</v>
      </c>
      <c r="U285" s="1" t="s">
        <v>1457</v>
      </c>
      <c r="V285" s="1" t="s">
        <v>1458</v>
      </c>
    </row>
    <row r="286" spans="1:22" ht="13">
      <c r="A286" s="1" t="s">
        <v>1459</v>
      </c>
      <c r="B286" s="1" t="s">
        <v>34</v>
      </c>
      <c r="C286" s="1" t="s">
        <v>35</v>
      </c>
      <c r="D286" s="1"/>
      <c r="E286" s="6">
        <v>27661</v>
      </c>
      <c r="F286" s="1" t="s">
        <v>84</v>
      </c>
      <c r="G286" s="1">
        <v>2013</v>
      </c>
      <c r="H286" s="1">
        <v>21</v>
      </c>
      <c r="I286" s="1" t="s">
        <v>38</v>
      </c>
      <c r="J286" s="1"/>
      <c r="K286" s="1" t="s">
        <v>1057</v>
      </c>
      <c r="L286" s="1"/>
      <c r="M286" s="1"/>
      <c r="N286" s="1"/>
      <c r="O286" s="1"/>
      <c r="P286" s="1"/>
      <c r="Q286" s="1"/>
      <c r="R286" s="1">
        <v>2</v>
      </c>
      <c r="S286" s="24" t="s">
        <v>1461</v>
      </c>
      <c r="T286" s="1">
        <v>3</v>
      </c>
      <c r="U286" s="1" t="s">
        <v>1462</v>
      </c>
      <c r="V286" s="1" t="s">
        <v>1463</v>
      </c>
    </row>
    <row r="287" spans="1:22" ht="13">
      <c r="A287" s="1" t="s">
        <v>1481</v>
      </c>
      <c r="B287" s="1" t="s">
        <v>34</v>
      </c>
      <c r="C287" s="1" t="s">
        <v>35</v>
      </c>
      <c r="D287" s="1"/>
      <c r="E287" s="6">
        <v>27795</v>
      </c>
      <c r="F287" s="1" t="s">
        <v>124</v>
      </c>
      <c r="G287" s="1">
        <v>2013</v>
      </c>
      <c r="H287" s="1">
        <v>21</v>
      </c>
      <c r="I287" s="1" t="s">
        <v>38</v>
      </c>
      <c r="J287" s="1"/>
      <c r="K287" s="1" t="s">
        <v>1057</v>
      </c>
      <c r="L287" s="1"/>
      <c r="M287" s="1"/>
      <c r="N287" s="1"/>
      <c r="O287" s="1"/>
      <c r="P287" s="1"/>
      <c r="Q287" s="1"/>
      <c r="R287" s="1">
        <v>2</v>
      </c>
      <c r="S287" s="1" t="s">
        <v>1483</v>
      </c>
      <c r="T287" s="1">
        <v>7</v>
      </c>
      <c r="U287" s="1" t="s">
        <v>1484</v>
      </c>
      <c r="V287" s="1" t="s">
        <v>1601</v>
      </c>
    </row>
    <row r="288" spans="1:22" ht="13">
      <c r="A288" s="1" t="s">
        <v>1492</v>
      </c>
      <c r="B288" s="1" t="s">
        <v>34</v>
      </c>
      <c r="C288" s="1" t="s">
        <v>459</v>
      </c>
      <c r="D288" s="1" t="s">
        <v>961</v>
      </c>
      <c r="E288" s="6"/>
      <c r="F288" s="1" t="s">
        <v>84</v>
      </c>
      <c r="G288" s="1">
        <v>2017</v>
      </c>
      <c r="H288" s="1">
        <v>22</v>
      </c>
      <c r="I288" s="1" t="s">
        <v>38</v>
      </c>
      <c r="J288" s="1"/>
      <c r="K288" s="1" t="s">
        <v>1057</v>
      </c>
      <c r="L288" s="1"/>
      <c r="M288" s="1"/>
      <c r="N288" s="1"/>
      <c r="O288" s="1"/>
      <c r="P288" s="1"/>
      <c r="Q288" s="1"/>
      <c r="R288" s="1">
        <v>1</v>
      </c>
      <c r="S288" s="1"/>
      <c r="T288" s="1">
        <v>0</v>
      </c>
      <c r="U288" s="1"/>
      <c r="V288" s="1" t="s">
        <v>1489</v>
      </c>
    </row>
    <row r="289" spans="1:25" ht="13">
      <c r="A289" s="1" t="s">
        <v>1493</v>
      </c>
      <c r="B289" s="1" t="s">
        <v>34</v>
      </c>
      <c r="C289" s="1" t="s">
        <v>35</v>
      </c>
      <c r="D289" s="1"/>
      <c r="E289" s="6"/>
      <c r="F289" s="1" t="s">
        <v>84</v>
      </c>
      <c r="G289" s="1">
        <v>2017</v>
      </c>
      <c r="H289" s="1">
        <v>22</v>
      </c>
      <c r="I289" s="1" t="s">
        <v>38</v>
      </c>
      <c r="J289" s="1"/>
      <c r="K289" s="1" t="s">
        <v>1057</v>
      </c>
      <c r="L289" s="1"/>
      <c r="M289" s="1"/>
      <c r="N289" s="1"/>
      <c r="O289" s="1"/>
      <c r="P289" s="1"/>
      <c r="Q289" s="1"/>
      <c r="R289" s="1">
        <v>0</v>
      </c>
      <c r="S289" s="1">
        <v>0</v>
      </c>
      <c r="T289" s="1">
        <v>0</v>
      </c>
      <c r="U289" s="1">
        <v>0</v>
      </c>
      <c r="V289" s="1"/>
    </row>
    <row r="290" spans="1:25" ht="13">
      <c r="A290" s="1" t="s">
        <v>1495</v>
      </c>
      <c r="B290" s="1" t="s">
        <v>34</v>
      </c>
      <c r="C290" s="1" t="s">
        <v>35</v>
      </c>
      <c r="D290" s="1"/>
      <c r="E290" s="6"/>
      <c r="F290" s="1" t="s">
        <v>84</v>
      </c>
      <c r="G290" s="1">
        <v>2017</v>
      </c>
      <c r="H290" s="1">
        <v>22</v>
      </c>
      <c r="I290" s="1" t="s">
        <v>38</v>
      </c>
      <c r="J290" s="1"/>
      <c r="K290" s="1" t="s">
        <v>1057</v>
      </c>
      <c r="L290" s="1"/>
      <c r="M290" s="1"/>
      <c r="N290" s="1"/>
      <c r="O290" s="1"/>
      <c r="P290" s="1"/>
      <c r="Q290" s="1"/>
      <c r="R290" s="1">
        <v>0</v>
      </c>
      <c r="S290" s="1">
        <v>0</v>
      </c>
      <c r="T290" s="1">
        <v>0</v>
      </c>
      <c r="U290" s="1">
        <v>0</v>
      </c>
      <c r="V290" s="1"/>
    </row>
    <row r="291" spans="1:25" ht="13">
      <c r="A291" s="1" t="s">
        <v>1497</v>
      </c>
      <c r="B291" s="1" t="s">
        <v>34</v>
      </c>
      <c r="C291" s="1" t="s">
        <v>35</v>
      </c>
      <c r="D291" s="1"/>
      <c r="E291" s="6"/>
      <c r="F291" s="1" t="s">
        <v>124</v>
      </c>
      <c r="G291" s="1">
        <v>2017</v>
      </c>
      <c r="H291" s="1">
        <v>22</v>
      </c>
      <c r="I291" s="1" t="s">
        <v>38</v>
      </c>
      <c r="J291" s="1"/>
      <c r="K291" s="1" t="s">
        <v>1057</v>
      </c>
      <c r="L291" s="1"/>
      <c r="M291" s="1"/>
      <c r="N291" s="1"/>
      <c r="O291" s="1"/>
      <c r="P291" s="1"/>
      <c r="Q291" s="1"/>
      <c r="R291" s="1">
        <v>0</v>
      </c>
      <c r="S291" s="1">
        <v>0</v>
      </c>
      <c r="T291" s="1">
        <v>0</v>
      </c>
      <c r="U291" s="1">
        <v>0</v>
      </c>
      <c r="V291" s="1"/>
    </row>
    <row r="292" spans="1:25" ht="13">
      <c r="A292" s="1" t="s">
        <v>1498</v>
      </c>
      <c r="B292" s="1" t="s">
        <v>34</v>
      </c>
      <c r="C292" s="1" t="s">
        <v>459</v>
      </c>
      <c r="D292" s="1" t="s">
        <v>1499</v>
      </c>
      <c r="E292" s="6"/>
      <c r="F292" s="1" t="s">
        <v>124</v>
      </c>
      <c r="G292" s="1">
        <v>2017</v>
      </c>
      <c r="H292" s="1">
        <v>22</v>
      </c>
      <c r="I292" s="1" t="s">
        <v>38</v>
      </c>
      <c r="J292" s="1"/>
      <c r="K292" s="1" t="s">
        <v>1057</v>
      </c>
      <c r="L292" s="1"/>
      <c r="M292" s="1"/>
      <c r="N292" s="1"/>
      <c r="O292" s="1"/>
      <c r="P292" s="1"/>
      <c r="Q292" s="1"/>
      <c r="R292" s="1">
        <v>0</v>
      </c>
      <c r="S292" s="1">
        <v>0</v>
      </c>
      <c r="T292" s="1">
        <v>0</v>
      </c>
      <c r="U292" s="1">
        <v>0</v>
      </c>
      <c r="V292" s="1"/>
    </row>
    <row r="293" spans="1:25" ht="13">
      <c r="A293" s="1" t="s">
        <v>1500</v>
      </c>
      <c r="B293" s="1" t="s">
        <v>34</v>
      </c>
      <c r="C293" s="1" t="s">
        <v>35</v>
      </c>
      <c r="D293" s="1"/>
      <c r="E293" s="6"/>
      <c r="F293" s="1" t="s">
        <v>124</v>
      </c>
      <c r="G293" s="1">
        <v>2017</v>
      </c>
      <c r="H293" s="1">
        <v>22</v>
      </c>
      <c r="I293" s="1" t="s">
        <v>38</v>
      </c>
      <c r="J293" s="1"/>
      <c r="K293" s="1" t="s">
        <v>1057</v>
      </c>
      <c r="L293" s="1"/>
      <c r="M293" s="1"/>
      <c r="N293" s="1"/>
      <c r="O293" s="1"/>
      <c r="P293" s="1"/>
      <c r="Q293" s="1"/>
      <c r="R293" s="1">
        <v>0</v>
      </c>
      <c r="S293" s="1">
        <v>0</v>
      </c>
      <c r="T293" s="1">
        <v>0</v>
      </c>
      <c r="U293" s="1">
        <v>0</v>
      </c>
      <c r="V293" s="1"/>
      <c r="Y293" s="1" t="s">
        <v>324</v>
      </c>
    </row>
    <row r="294" spans="1:25" ht="13">
      <c r="A294" s="1" t="s">
        <v>1507</v>
      </c>
      <c r="B294" s="1" t="s">
        <v>34</v>
      </c>
      <c r="C294" s="1" t="s">
        <v>530</v>
      </c>
      <c r="D294" s="1" t="s">
        <v>1508</v>
      </c>
      <c r="E294" s="6"/>
      <c r="F294" s="1" t="s">
        <v>124</v>
      </c>
      <c r="G294" s="1">
        <v>2017</v>
      </c>
      <c r="H294" s="1">
        <v>22</v>
      </c>
      <c r="I294" s="1" t="s">
        <v>38</v>
      </c>
      <c r="J294" s="1"/>
      <c r="K294" s="1" t="s">
        <v>1057</v>
      </c>
      <c r="L294" s="1"/>
      <c r="M294" s="1"/>
      <c r="N294" s="1"/>
      <c r="O294" s="1"/>
      <c r="P294" s="1"/>
      <c r="Q294" s="1"/>
      <c r="R294" s="1">
        <v>0</v>
      </c>
      <c r="S294" s="1">
        <v>0</v>
      </c>
      <c r="T294" s="1">
        <v>0</v>
      </c>
      <c r="U294" s="1">
        <v>0</v>
      </c>
      <c r="V294" s="1"/>
    </row>
    <row r="295" spans="1:25" ht="13">
      <c r="A295" s="1" t="s">
        <v>1516</v>
      </c>
      <c r="B295" s="1" t="s">
        <v>34</v>
      </c>
      <c r="C295" s="1" t="s">
        <v>530</v>
      </c>
      <c r="D295" s="1" t="s">
        <v>1344</v>
      </c>
      <c r="E295" s="1">
        <v>1984</v>
      </c>
      <c r="F295" s="1" t="s">
        <v>124</v>
      </c>
      <c r="G295" s="1">
        <v>2021</v>
      </c>
      <c r="H295" s="1">
        <v>23</v>
      </c>
      <c r="I295" s="1" t="s">
        <v>38</v>
      </c>
      <c r="J295" s="1"/>
      <c r="K295" s="1" t="s">
        <v>1057</v>
      </c>
      <c r="L295" s="1" t="s">
        <v>1517</v>
      </c>
      <c r="M295" s="1" t="s">
        <v>1518</v>
      </c>
      <c r="N295" s="1" t="s">
        <v>62</v>
      </c>
      <c r="O295" s="1" t="s">
        <v>1519</v>
      </c>
      <c r="P295" s="1" t="s">
        <v>80</v>
      </c>
      <c r="Q295" s="1" t="s">
        <v>64</v>
      </c>
      <c r="R295" s="1">
        <v>0</v>
      </c>
      <c r="S295" s="1">
        <v>0</v>
      </c>
      <c r="T295" s="1"/>
      <c r="U295" s="1">
        <v>0</v>
      </c>
      <c r="V295" s="1"/>
    </row>
    <row r="296" spans="1:25" ht="13">
      <c r="A296" s="1" t="s">
        <v>1529</v>
      </c>
      <c r="B296" s="1" t="s">
        <v>34</v>
      </c>
      <c r="C296" s="1" t="s">
        <v>35</v>
      </c>
      <c r="D296" s="1"/>
      <c r="E296" s="1">
        <v>1979</v>
      </c>
      <c r="F296" s="1" t="s">
        <v>84</v>
      </c>
      <c r="G296" s="1">
        <v>2021</v>
      </c>
      <c r="H296" s="1">
        <v>23</v>
      </c>
      <c r="I296" s="1" t="s">
        <v>38</v>
      </c>
      <c r="J296" s="1"/>
      <c r="K296" s="1" t="s">
        <v>1057</v>
      </c>
      <c r="L296" s="1" t="s">
        <v>311</v>
      </c>
      <c r="M296" s="1" t="s">
        <v>1530</v>
      </c>
      <c r="N296" s="1" t="s">
        <v>62</v>
      </c>
      <c r="O296" s="1" t="s">
        <v>87</v>
      </c>
      <c r="P296" s="1" t="s">
        <v>80</v>
      </c>
      <c r="Q296" s="1" t="s">
        <v>182</v>
      </c>
      <c r="R296" s="1">
        <v>0</v>
      </c>
      <c r="S296" s="1">
        <v>0</v>
      </c>
      <c r="T296" s="1"/>
      <c r="U296" s="1">
        <v>0</v>
      </c>
      <c r="V296" s="1"/>
    </row>
    <row r="297" spans="1:25" ht="13">
      <c r="A297" s="1" t="s">
        <v>1531</v>
      </c>
      <c r="B297" s="1" t="s">
        <v>34</v>
      </c>
      <c r="C297" s="1" t="s">
        <v>361</v>
      </c>
      <c r="D297" s="1"/>
      <c r="E297" s="1">
        <v>1986</v>
      </c>
      <c r="F297" s="1" t="s">
        <v>124</v>
      </c>
      <c r="G297" s="1">
        <v>2021</v>
      </c>
      <c r="H297" s="1">
        <v>23</v>
      </c>
      <c r="I297" s="1" t="s">
        <v>38</v>
      </c>
      <c r="J297" s="1"/>
      <c r="K297" s="1" t="s">
        <v>1057</v>
      </c>
      <c r="L297" s="1" t="s">
        <v>311</v>
      </c>
      <c r="M297" s="1" t="s">
        <v>1532</v>
      </c>
      <c r="N297" s="1" t="s">
        <v>62</v>
      </c>
      <c r="O297" s="1" t="s">
        <v>1533</v>
      </c>
      <c r="P297" s="1"/>
      <c r="Q297" s="1"/>
      <c r="R297" s="1">
        <v>0</v>
      </c>
      <c r="S297" s="1">
        <v>0</v>
      </c>
      <c r="T297" s="1"/>
      <c r="U297" s="1">
        <v>0</v>
      </c>
      <c r="V297" s="1"/>
    </row>
    <row r="298" spans="1:25" ht="13">
      <c r="A298" s="1" t="s">
        <v>1534</v>
      </c>
      <c r="B298" s="1" t="s">
        <v>34</v>
      </c>
      <c r="C298" s="1" t="s">
        <v>35</v>
      </c>
      <c r="D298" s="1"/>
      <c r="E298" s="1">
        <v>1982</v>
      </c>
      <c r="F298" s="1" t="s">
        <v>84</v>
      </c>
      <c r="G298" s="1">
        <v>2021</v>
      </c>
      <c r="H298" s="1">
        <v>23</v>
      </c>
      <c r="I298" s="1" t="s">
        <v>38</v>
      </c>
      <c r="J298" s="1"/>
      <c r="K298" s="1" t="s">
        <v>1057</v>
      </c>
      <c r="L298" s="1" t="s">
        <v>1535</v>
      </c>
      <c r="M298" s="1" t="s">
        <v>1536</v>
      </c>
      <c r="N298" s="1" t="s">
        <v>158</v>
      </c>
      <c r="O298" s="1" t="s">
        <v>1537</v>
      </c>
      <c r="P298" s="1" t="s">
        <v>43</v>
      </c>
      <c r="Q298" s="1" t="s">
        <v>150</v>
      </c>
      <c r="R298" s="1">
        <v>0</v>
      </c>
      <c r="S298" s="1">
        <v>0</v>
      </c>
      <c r="T298" s="1"/>
      <c r="U298" s="1">
        <v>0</v>
      </c>
      <c r="V298" s="1"/>
    </row>
    <row r="299" spans="1:25" ht="13">
      <c r="A299" s="1" t="s">
        <v>1538</v>
      </c>
      <c r="B299" s="1" t="s">
        <v>34</v>
      </c>
      <c r="C299" s="1" t="s">
        <v>459</v>
      </c>
      <c r="D299" s="1" t="s">
        <v>961</v>
      </c>
      <c r="E299" s="1">
        <v>1976</v>
      </c>
      <c r="F299" s="1" t="s">
        <v>124</v>
      </c>
      <c r="G299" s="1">
        <v>2021</v>
      </c>
      <c r="H299" s="1">
        <v>23</v>
      </c>
      <c r="I299" s="1" t="s">
        <v>38</v>
      </c>
      <c r="J299" s="1"/>
      <c r="K299" s="1" t="s">
        <v>1057</v>
      </c>
      <c r="L299" s="1" t="s">
        <v>668</v>
      </c>
      <c r="M299" s="1" t="s">
        <v>1539</v>
      </c>
      <c r="N299" s="1" t="s">
        <v>1540</v>
      </c>
      <c r="O299" s="1" t="s">
        <v>201</v>
      </c>
      <c r="P299" s="1"/>
      <c r="Q299" s="1"/>
      <c r="R299" s="1">
        <v>0</v>
      </c>
      <c r="S299" s="1">
        <v>0</v>
      </c>
      <c r="T299" s="1"/>
      <c r="U299" s="1">
        <v>0</v>
      </c>
      <c r="V299" s="1"/>
    </row>
    <row r="300" spans="1:25" ht="13">
      <c r="A300" s="1" t="s">
        <v>1541</v>
      </c>
      <c r="B300" s="1" t="s">
        <v>34</v>
      </c>
      <c r="C300" s="1" t="s">
        <v>361</v>
      </c>
      <c r="D300" s="1"/>
      <c r="E300" s="1">
        <v>1983</v>
      </c>
      <c r="F300" s="1" t="s">
        <v>124</v>
      </c>
      <c r="G300" s="1">
        <v>2021</v>
      </c>
      <c r="H300" s="1">
        <v>23</v>
      </c>
      <c r="I300" s="1" t="s">
        <v>38</v>
      </c>
      <c r="J300" s="1"/>
      <c r="K300" s="1" t="s">
        <v>1057</v>
      </c>
      <c r="L300" s="1" t="s">
        <v>1542</v>
      </c>
      <c r="M300" s="1" t="s">
        <v>1543</v>
      </c>
      <c r="N300" s="1" t="s">
        <v>158</v>
      </c>
      <c r="O300" s="1" t="s">
        <v>158</v>
      </c>
      <c r="P300" s="1"/>
      <c r="Q300" s="1"/>
      <c r="R300" s="1">
        <v>0</v>
      </c>
      <c r="S300" s="1">
        <v>0</v>
      </c>
      <c r="T300" s="1"/>
      <c r="U300" s="1">
        <v>0</v>
      </c>
      <c r="V300" s="1"/>
    </row>
    <row r="301" spans="1:25" ht="13">
      <c r="C301" s="6"/>
      <c r="D301" s="6"/>
      <c r="E301" s="6"/>
    </row>
    <row r="333" ht="1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astronauts</vt:lpstr>
      <vt:lpstr>demographics</vt:lpstr>
      <vt:lpstr>POC</vt:lpstr>
      <vt:lpstr>white</vt:lpstr>
      <vt:lpstr>education</vt:lpstr>
      <vt:lpstr>women</vt:lpstr>
      <vt:lpstr>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2022-02-14T14:26:27Z</dcterms:created>
  <dcterms:modified xsi:type="dcterms:W3CDTF">2022-02-14T14:26:27Z</dcterms:modified>
</cp:coreProperties>
</file>