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Users\SARA\Downloads\"/>
    </mc:Choice>
  </mc:AlternateContent>
  <xr:revisionPtr revIDLastSave="0" documentId="13_ncr:1_{5B921337-F42F-45CB-9225-4E467422580A}" xr6:coauthVersionLast="47" xr6:coauthVersionMax="47" xr10:uidLastSave="{00000000-0000-0000-0000-000000000000}"/>
  <bookViews>
    <workbookView xWindow="-108" yWindow="-108" windowWidth="23256" windowHeight="12456" tabRatio="0" activeTab="3" xr2:uid="{00000000-000D-0000-FFFF-FFFF00000000}"/>
  </bookViews>
  <sheets>
    <sheet name="apoio" sheetId="12" r:id="rId1"/>
    <sheet name="dadosBase" sheetId="13" r:id="rId2"/>
    <sheet name="tabDin" sheetId="10" r:id="rId3"/>
    <sheet name="dashExecutado$" sheetId="11" r:id="rId4"/>
    <sheet name="dashMetas" sheetId="15" r:id="rId5"/>
  </sheets>
  <definedNames>
    <definedName name="_xlnm._FilterDatabase" localSheetId="1" hidden="1">dadosBase!#REF!</definedName>
    <definedName name="SegmentaçãodeDados_ano">#N/A</definedName>
    <definedName name="SegmentaçãodeDados_mês">#N/A</definedName>
    <definedName name="SegmentaçãodeDados_semestre">#N/A</definedName>
  </definedNames>
  <calcPr calcId="191029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3" i="10" l="1"/>
  <c r="AO14" i="10"/>
  <c r="AP13" i="10" l="1"/>
  <c r="AP14" i="10" s="1"/>
  <c r="V3" i="10"/>
  <c r="Q9" i="10"/>
  <c r="AO5" i="10" l="1"/>
  <c r="AO6" i="10" s="1"/>
  <c r="AO8" i="10"/>
  <c r="AO9" i="10" s="1"/>
  <c r="AO2" i="10"/>
  <c r="AO3" i="10" s="1"/>
  <c r="T4" i="13" l="1"/>
  <c r="AG4" i="13" s="1"/>
  <c r="T5" i="13"/>
  <c r="AG5" i="13" s="1"/>
  <c r="T6" i="13"/>
  <c r="AG6" i="13" s="1"/>
  <c r="T7" i="13"/>
  <c r="AG7" i="13" s="1"/>
  <c r="T8" i="13"/>
  <c r="AG8" i="13" s="1"/>
  <c r="T9" i="13"/>
  <c r="AG9" i="13" s="1"/>
  <c r="T10" i="13"/>
  <c r="AG10" i="13" s="1"/>
  <c r="T3" i="13"/>
  <c r="AG3" i="13" s="1"/>
  <c r="F4" i="13" l="1"/>
  <c r="F5" i="13"/>
  <c r="F6" i="13"/>
  <c r="F7" i="13"/>
  <c r="F8" i="13"/>
  <c r="F9" i="13"/>
  <c r="F10" i="13"/>
  <c r="F3" i="13"/>
  <c r="E4" i="13"/>
  <c r="E5" i="13"/>
  <c r="E6" i="13"/>
  <c r="E7" i="13"/>
  <c r="E8" i="13"/>
  <c r="E9" i="13"/>
  <c r="E10" i="13"/>
  <c r="E3" i="13"/>
  <c r="Q3" i="10" l="1"/>
  <c r="N4" i="13"/>
  <c r="P4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3" i="13"/>
  <c r="P3" i="13" s="1"/>
  <c r="A3" i="13"/>
  <c r="A4" i="13" s="1"/>
  <c r="A5" i="13" s="1"/>
  <c r="A6" i="13" s="1"/>
  <c r="A7" i="13" s="1"/>
  <c r="A8" i="13" s="1"/>
  <c r="A9" i="13" s="1"/>
  <c r="A10" i="13" s="1"/>
  <c r="M4" i="13"/>
  <c r="M5" i="13"/>
  <c r="M6" i="13"/>
  <c r="M7" i="13"/>
  <c r="M8" i="13"/>
  <c r="M9" i="13"/>
  <c r="M10" i="13"/>
  <c r="M3" i="13"/>
  <c r="I5" i="12" l="1"/>
  <c r="I10" i="13" l="1"/>
  <c r="Y10" i="13"/>
  <c r="AA10" i="13" s="1"/>
  <c r="AH10" i="13" l="1"/>
  <c r="AJ10" i="13" s="1"/>
  <c r="I7" i="12" l="1"/>
  <c r="R9" i="10" s="1"/>
  <c r="AI10" i="13" l="1"/>
  <c r="AK10" i="13" s="1"/>
  <c r="AI9" i="13"/>
  <c r="AI6" i="13"/>
  <c r="AI4" i="13"/>
  <c r="AI5" i="13"/>
  <c r="AI7" i="13"/>
  <c r="AI8" i="13"/>
  <c r="AI3" i="13"/>
  <c r="Y9" i="13"/>
  <c r="AA9" i="13" s="1"/>
  <c r="AH9" i="13"/>
  <c r="AJ9" i="13" s="1"/>
  <c r="I9" i="13"/>
  <c r="Y8" i="13"/>
  <c r="AA8" i="13" s="1"/>
  <c r="AH8" i="13"/>
  <c r="AJ8" i="13" s="1"/>
  <c r="I8" i="13"/>
  <c r="Y7" i="13"/>
  <c r="AA7" i="13" s="1"/>
  <c r="AH7" i="13"/>
  <c r="AJ7" i="13" s="1"/>
  <c r="I7" i="13"/>
  <c r="Y6" i="13"/>
  <c r="AA6" i="13" s="1"/>
  <c r="AH6" i="13"/>
  <c r="AJ6" i="13" s="1"/>
  <c r="I6" i="13"/>
  <c r="Y5" i="13"/>
  <c r="AA5" i="13" s="1"/>
  <c r="AH5" i="13"/>
  <c r="AJ5" i="13" s="1"/>
  <c r="I5" i="13"/>
  <c r="Y4" i="13"/>
  <c r="AA4" i="13" s="1"/>
  <c r="AH4" i="13"/>
  <c r="AJ4" i="13" s="1"/>
  <c r="I4" i="13"/>
  <c r="Y3" i="13"/>
  <c r="AA3" i="13" s="1"/>
  <c r="AB3" i="13" s="1"/>
  <c r="AH3" i="13"/>
  <c r="AJ3" i="13" s="1"/>
  <c r="I3" i="13"/>
  <c r="J3" i="13" s="1"/>
  <c r="H3" i="13"/>
  <c r="H4" i="13" l="1"/>
  <c r="H5" i="13" s="1"/>
  <c r="AF3" i="13"/>
  <c r="AC3" i="13"/>
  <c r="AD3" i="13"/>
  <c r="AK5" i="13"/>
  <c r="AK9" i="13"/>
  <c r="AK7" i="13"/>
  <c r="AK4" i="13"/>
  <c r="AK6" i="13"/>
  <c r="AK8" i="13"/>
  <c r="J4" i="13"/>
  <c r="J5" i="13" s="1"/>
  <c r="J6" i="13" s="1"/>
  <c r="J7" i="13" s="1"/>
  <c r="J8" i="13" s="1"/>
  <c r="J9" i="13" s="1"/>
  <c r="J10" i="13" s="1"/>
  <c r="AB4" i="13"/>
  <c r="AB5" i="13" s="1"/>
  <c r="AB6" i="13" s="1"/>
  <c r="AB7" i="13" s="1"/>
  <c r="AB8" i="13" s="1"/>
  <c r="AB9" i="13" s="1"/>
  <c r="AB10" i="13" s="1"/>
  <c r="Z3" i="13"/>
  <c r="Z4" i="13" s="1"/>
  <c r="Z5" i="13" s="1"/>
  <c r="Z6" i="13" s="1"/>
  <c r="Z7" i="13" s="1"/>
  <c r="Z8" i="13" s="1"/>
  <c r="Z9" i="13" s="1"/>
  <c r="Z10" i="13" s="1"/>
  <c r="AE3" i="13"/>
  <c r="AF5" i="13" l="1"/>
  <c r="AD5" i="13"/>
  <c r="AC5" i="13"/>
  <c r="AF4" i="13"/>
  <c r="AC4" i="13"/>
  <c r="AD4" i="13"/>
  <c r="AK3" i="13"/>
  <c r="AE4" i="13"/>
  <c r="H6" i="13"/>
  <c r="AE5" i="13"/>
  <c r="AC6" i="13" l="1"/>
  <c r="AF6" i="13"/>
  <c r="AD6" i="13"/>
  <c r="H7" i="13"/>
  <c r="AE6" i="13"/>
  <c r="D11" i="12"/>
  <c r="D13" i="12"/>
  <c r="D14" i="12"/>
  <c r="D12" i="12"/>
  <c r="E11" i="12"/>
  <c r="E12" i="12"/>
  <c r="E13" i="12"/>
  <c r="E14" i="12"/>
  <c r="AC7" i="13" l="1"/>
  <c r="AF7" i="13"/>
  <c r="AD7" i="13"/>
  <c r="H8" i="13"/>
  <c r="AE7" i="13"/>
  <c r="C4" i="12"/>
  <c r="AF8" i="13" l="1"/>
  <c r="AD8" i="13"/>
  <c r="AC8" i="13"/>
  <c r="H9" i="13"/>
  <c r="AE8" i="13"/>
  <c r="H10" i="13" l="1"/>
  <c r="AF9" i="13"/>
  <c r="AD9" i="13"/>
  <c r="AC9" i="13"/>
  <c r="AE10" i="13"/>
  <c r="AE9" i="13"/>
  <c r="AC10" i="13" l="1"/>
  <c r="AF10" i="13"/>
  <c r="AD10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_dadosBase" description="Conexão com a consulta 'tab_dadosBase' na pasta de trabalho." type="5" refreshedVersion="6" background="1">
    <dbPr connection="Provider=Microsoft.Mashup.OleDb.1;Data Source=$Workbook$;Location=tab_dadosBase;Extended Properties=&quot;&quot;" command="SELECT * FROM [tab_dadosBase]"/>
  </connection>
</connections>
</file>

<file path=xl/sharedStrings.xml><?xml version="1.0" encoding="utf-8"?>
<sst xmlns="http://schemas.openxmlformats.org/spreadsheetml/2006/main" count="150" uniqueCount="116">
  <si>
    <t>ano</t>
  </si>
  <si>
    <t>mês</t>
  </si>
  <si>
    <t>custo</t>
  </si>
  <si>
    <t>glosa</t>
  </si>
  <si>
    <t>resultado</t>
  </si>
  <si>
    <t>salários e ordenados</t>
  </si>
  <si>
    <t>mês_ano</t>
  </si>
  <si>
    <t>id_tab</t>
  </si>
  <si>
    <t>período</t>
  </si>
  <si>
    <t>ums</t>
  </si>
  <si>
    <t>teto execução anual</t>
  </si>
  <si>
    <t>valor ums</t>
  </si>
  <si>
    <t>executado (ums)</t>
  </si>
  <si>
    <t>receita (fat)</t>
  </si>
  <si>
    <t>meta ums</t>
  </si>
  <si>
    <t>meta faturamento</t>
  </si>
  <si>
    <t>estimativa média mensal</t>
  </si>
  <si>
    <t>despesa total</t>
  </si>
  <si>
    <t>ENTRADA</t>
  </si>
  <si>
    <t>SAÍDA (dados do BI)</t>
  </si>
  <si>
    <t>EXECUÇÃO</t>
  </si>
  <si>
    <t>Rótulos de Linha</t>
  </si>
  <si>
    <t>executado</t>
  </si>
  <si>
    <t>meta fat acumulado</t>
  </si>
  <si>
    <t>meta fat (ums)</t>
  </si>
  <si>
    <t>meta fat (ums) acum</t>
  </si>
  <si>
    <t>exec (ums) acumulado</t>
  </si>
  <si>
    <t>executado acumulado</t>
  </si>
  <si>
    <t>meta fat (ums) acima</t>
  </si>
  <si>
    <t>meta fat (ums) abaixo</t>
  </si>
  <si>
    <t>META FATURAMENTO</t>
  </si>
  <si>
    <t>meta fat acumulada</t>
  </si>
  <si>
    <t>razão</t>
  </si>
  <si>
    <t>meta redução</t>
  </si>
  <si>
    <t>meta final</t>
  </si>
  <si>
    <t>RAZÃO RECEITA / DESPESA</t>
  </si>
  <si>
    <t>meta fat acima</t>
  </si>
  <si>
    <t>meta fat abaixo</t>
  </si>
  <si>
    <t>meta receita/desp</t>
  </si>
  <si>
    <t>meta razão abaixo</t>
  </si>
  <si>
    <t>ENTRADA / SAÍDA</t>
  </si>
  <si>
    <t>SAÍDA</t>
  </si>
  <si>
    <t>RAZÃO DESPESA x RECEITA MENSAL</t>
  </si>
  <si>
    <t>emissão nf</t>
  </si>
  <si>
    <t>recebimento</t>
  </si>
  <si>
    <t>RECEBIMENTO</t>
  </si>
  <si>
    <t>dias corridos p/ recebimento</t>
  </si>
  <si>
    <t>juros</t>
  </si>
  <si>
    <t>imposto</t>
  </si>
  <si>
    <t>despesa</t>
  </si>
  <si>
    <t>custo + despesa + imposto</t>
  </si>
  <si>
    <t>transferência recebida</t>
  </si>
  <si>
    <t>faturamento + transf recebida</t>
  </si>
  <si>
    <t>linha de base</t>
  </si>
  <si>
    <t>receita</t>
  </si>
  <si>
    <t>CONTRATO</t>
  </si>
  <si>
    <t>tab_despesa</t>
  </si>
  <si>
    <t>tab_receita</t>
  </si>
  <si>
    <t>tab_resultado</t>
  </si>
  <si>
    <t>tab_salarioOrd</t>
  </si>
  <si>
    <t>tab_glosa</t>
  </si>
  <si>
    <t>tab_receitaMes</t>
  </si>
  <si>
    <t>tab_despesaMes</t>
  </si>
  <si>
    <t>tab_resultadoMes</t>
  </si>
  <si>
    <t>tab_meta</t>
  </si>
  <si>
    <t>tab_metaExec</t>
  </si>
  <si>
    <t>tab_metaAbaixo</t>
  </si>
  <si>
    <t>tab_metaFat</t>
  </si>
  <si>
    <t>tab_executadoFat</t>
  </si>
  <si>
    <t>DESPESA TOTAL POR TIPO</t>
  </si>
  <si>
    <t>Soma de salários e ordenados</t>
  </si>
  <si>
    <t>Soma de despesa total</t>
  </si>
  <si>
    <t>custo + despesa</t>
  </si>
  <si>
    <t>Soma de custo + despesa</t>
  </si>
  <si>
    <t>tab_diasReceb</t>
  </si>
  <si>
    <t>tab_custoDesp</t>
  </si>
  <si>
    <t>tab_despesaTotal</t>
  </si>
  <si>
    <t>tab_juros</t>
  </si>
  <si>
    <t>tab_custo</t>
  </si>
  <si>
    <t>custo / despesaTotal</t>
  </si>
  <si>
    <t>diferença</t>
  </si>
  <si>
    <t>salarioOrd / despesaTotal</t>
  </si>
  <si>
    <t>custo + despesa / despesaTotal</t>
  </si>
  <si>
    <t>ANÁLISE PERCENTUAL POR TIPO DE DESPESA</t>
  </si>
  <si>
    <t>Soma de meta fat (ums) acima</t>
  </si>
  <si>
    <t>Soma de meta fat (ums) abaixo</t>
  </si>
  <si>
    <t>META ACUMULADA DE FATURAMENTO MENSAL</t>
  </si>
  <si>
    <t>Soma de meta fat (ums) acum2</t>
  </si>
  <si>
    <t>Meta acumulada</t>
  </si>
  <si>
    <t>Exec acumulado</t>
  </si>
  <si>
    <t>Soma de meta fat acima</t>
  </si>
  <si>
    <t>Soma de meta fat abaixo</t>
  </si>
  <si>
    <t>1º sem</t>
  </si>
  <si>
    <t>2º sem</t>
  </si>
  <si>
    <t>semestre</t>
  </si>
  <si>
    <t>3º sem</t>
  </si>
  <si>
    <t>4º sem</t>
  </si>
  <si>
    <t>APOIO</t>
  </si>
  <si>
    <t>META DE FATURAMENTO (ACIMA E ABAIXO)</t>
  </si>
  <si>
    <t>Soma de meta faturamento</t>
  </si>
  <si>
    <t>Soma de executado</t>
  </si>
  <si>
    <t>META FAT ACUMULADO (UMS)</t>
  </si>
  <si>
    <t>META FAT ACUMULADO (%)</t>
  </si>
  <si>
    <t>Soma de custo + despesa + imposto</t>
  </si>
  <si>
    <t>Soma de faturamento + transf recebida</t>
  </si>
  <si>
    <t>META CORRELAÇÃO DESPESA E RECEITA</t>
  </si>
  <si>
    <t>Razão</t>
  </si>
  <si>
    <t>Dif</t>
  </si>
  <si>
    <t>total executado</t>
  </si>
  <si>
    <t>ANÁLISE EXECUÇÃO ANUAL UMS</t>
  </si>
  <si>
    <t>Soma de resultado</t>
  </si>
  <si>
    <t>MAIOR VALOR DE RECEITA E RESULTADO</t>
  </si>
  <si>
    <t>tab_maiorReceita</t>
  </si>
  <si>
    <t>RECEITA X CUSTO + IMPOSTO + DESPESAS</t>
  </si>
  <si>
    <t>histórico 2017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</si>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</sst>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-* #,##0.00_-;\-* #,##0.00_-;_-* &quot;-&quot;??_-;_-@_-"/>
    <numFmt numFmtId="164" formatCode="&quot;R$&quot;\ #,##0.00"/>
    <numFmt numFmtId="165" formatCode="&quot;R$&quot;\ #,##0"/>
    <numFmt numFmtId="166" formatCode="[$-416]mmm\-yy;@"/>
    <numFmt numFmtId="167" formatCode="mmm"/>
    <numFmt numFmtId="168" formatCode="yyyy"/>
    <numFmt numFmtId="169" formatCode="0.0%"/>
    <numFmt numFmtId="170" formatCode="0.000000%"/>
    <numFmt numFmtId="171" formatCode="#,000;;"/>
    <numFmt numFmtId="172" formatCode="0%;\-0%;"/>
    <numFmt numFmtId="173" formatCode="0.000%"/>
    <numFmt numFmtId="174" formatCode="\(\+0%\);\(\-0%\)"/>
    <numFmt numFmtId="175" formatCode="0%;\-0%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name val="Arial"/>
      <family val="2"/>
    </font>
    <font>
      <sz val="18"/>
      <color theme="8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9.5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</font>
    <font>
      <sz val="10"/>
      <name val="Calibri Light"/>
      <family val="2"/>
      <scheme val="major"/>
    </font>
    <font>
      <b/>
      <sz val="10"/>
      <color rgb="FF4472C4"/>
      <name val="Calibri Light"/>
      <family val="2"/>
      <scheme val="major"/>
    </font>
    <font>
      <sz val="10"/>
      <color rgb="FF4472C4"/>
      <name val="Calibri Light"/>
      <family val="2"/>
      <scheme val="major"/>
    </font>
    <font>
      <sz val="10"/>
      <color rgb="FFFFC000"/>
      <name val="Calibri Light"/>
      <family val="2"/>
      <scheme val="major"/>
    </font>
    <font>
      <sz val="10"/>
      <color theme="1"/>
      <name val="Century Gothic"/>
      <family val="2"/>
    </font>
    <font>
      <sz val="10"/>
      <color theme="1"/>
      <name val="Calibri Light"/>
      <scheme val="major"/>
    </font>
    <font>
      <b/>
      <sz val="10"/>
      <color theme="1"/>
      <name val="Calibri Light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52BF8A"/>
        <bgColor indexed="64"/>
      </patternFill>
    </fill>
    <fill>
      <patternFill patternType="solid">
        <fgColor rgb="FFE45F5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9BB27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BDB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9" fontId="1" fillId="0" borderId="0" xfId="2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67" fontId="2" fillId="0" borderId="4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0" fillId="8" borderId="0" xfId="0" applyFill="1"/>
    <xf numFmtId="165" fontId="1" fillId="0" borderId="0" xfId="0" applyNumberFormat="1" applyFont="1" applyAlignment="1">
      <alignment horizontal="center" vertical="center"/>
    </xf>
    <xf numFmtId="169" fontId="0" fillId="0" borderId="0" xfId="2" applyNumberFormat="1" applyFont="1"/>
    <xf numFmtId="169" fontId="2" fillId="0" borderId="3" xfId="2" applyNumberFormat="1" applyFont="1" applyBorder="1" applyAlignment="1">
      <alignment horizontal="center" vertical="center" wrapText="1"/>
    </xf>
    <xf numFmtId="9" fontId="0" fillId="0" borderId="0" xfId="2" applyFont="1"/>
    <xf numFmtId="3" fontId="1" fillId="0" borderId="0" xfId="2" applyNumberFormat="1" applyFont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7" fontId="1" fillId="8" borderId="2" xfId="0" applyNumberFormat="1" applyFont="1" applyFill="1" applyBorder="1" applyAlignment="1">
      <alignment horizontal="center" vertical="center"/>
    </xf>
    <xf numFmtId="168" fontId="1" fillId="8" borderId="2" xfId="0" applyNumberFormat="1" applyFont="1" applyFill="1" applyBorder="1" applyAlignment="1">
      <alignment horizontal="center" vertical="center"/>
    </xf>
    <xf numFmtId="169" fontId="1" fillId="8" borderId="1" xfId="2" applyNumberFormat="1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9" fontId="2" fillId="0" borderId="9" xfId="2" applyNumberFormat="1" applyFont="1" applyBorder="1" applyAlignment="1">
      <alignment horizontal="center" vertical="center" wrapText="1"/>
    </xf>
    <xf numFmtId="3" fontId="8" fillId="0" borderId="9" xfId="2" applyNumberFormat="1" applyFont="1" applyBorder="1" applyAlignment="1">
      <alignment horizontal="center" vertical="center" wrapText="1"/>
    </xf>
    <xf numFmtId="3" fontId="7" fillId="8" borderId="7" xfId="2" applyNumberFormat="1" applyFont="1" applyFill="1" applyBorder="1" applyAlignment="1">
      <alignment horizontal="center" vertical="center"/>
    </xf>
    <xf numFmtId="169" fontId="1" fillId="8" borderId="7" xfId="2" applyNumberFormat="1" applyFont="1" applyFill="1" applyBorder="1" applyAlignment="1">
      <alignment horizontal="center" vertical="center"/>
    </xf>
    <xf numFmtId="3" fontId="8" fillId="0" borderId="5" xfId="2" applyNumberFormat="1" applyFont="1" applyBorder="1" applyAlignment="1">
      <alignment horizontal="center" vertical="center" wrapText="1"/>
    </xf>
    <xf numFmtId="3" fontId="1" fillId="8" borderId="1" xfId="0" applyNumberFormat="1" applyFont="1" applyFill="1" applyBorder="1" applyAlignment="1">
      <alignment horizontal="center" vertical="center"/>
    </xf>
    <xf numFmtId="3" fontId="0" fillId="0" borderId="0" xfId="2" applyNumberFormat="1" applyFont="1"/>
    <xf numFmtId="3" fontId="9" fillId="0" borderId="5" xfId="2" applyNumberFormat="1" applyFont="1" applyBorder="1" applyAlignment="1">
      <alignment horizontal="center" vertical="center" wrapText="1"/>
    </xf>
    <xf numFmtId="9" fontId="1" fillId="0" borderId="0" xfId="2" applyFont="1" applyAlignment="1">
      <alignment horizontal="center" vertical="center"/>
    </xf>
    <xf numFmtId="9" fontId="9" fillId="0" borderId="5" xfId="2" applyFont="1" applyBorder="1" applyAlignment="1">
      <alignment horizontal="center" vertical="center" wrapText="1"/>
    </xf>
    <xf numFmtId="9" fontId="11" fillId="8" borderId="14" xfId="2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18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164" fontId="1" fillId="0" borderId="19" xfId="0" applyNumberFormat="1" applyFont="1" applyBorder="1" applyAlignment="1">
      <alignment horizontal="center" vertical="center"/>
    </xf>
    <xf numFmtId="9" fontId="1" fillId="0" borderId="19" xfId="2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9" fontId="1" fillId="0" borderId="17" xfId="2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9" fontId="1" fillId="0" borderId="19" xfId="2" applyNumberFormat="1" applyFont="1" applyBorder="1" applyAlignment="1">
      <alignment horizontal="center" vertical="center"/>
    </xf>
    <xf numFmtId="9" fontId="1" fillId="8" borderId="19" xfId="2" applyFont="1" applyFill="1" applyBorder="1" applyAlignment="1">
      <alignment horizontal="center" vertical="center"/>
    </xf>
    <xf numFmtId="9" fontId="1" fillId="8" borderId="19" xfId="0" applyNumberFormat="1" applyFont="1" applyFill="1" applyBorder="1" applyAlignment="1">
      <alignment horizontal="center" vertical="center"/>
    </xf>
    <xf numFmtId="3" fontId="1" fillId="8" borderId="18" xfId="0" applyNumberFormat="1" applyFont="1" applyFill="1" applyBorder="1" applyAlignment="1">
      <alignment horizontal="center" vertical="center"/>
    </xf>
    <xf numFmtId="9" fontId="1" fillId="8" borderId="17" xfId="2" applyFont="1" applyFill="1" applyBorder="1" applyAlignment="1">
      <alignment horizontal="center" vertical="center"/>
    </xf>
    <xf numFmtId="3" fontId="1" fillId="8" borderId="17" xfId="0" applyNumberFormat="1" applyFont="1" applyFill="1" applyBorder="1" applyAlignment="1">
      <alignment horizontal="center" vertical="center"/>
    </xf>
    <xf numFmtId="3" fontId="1" fillId="8" borderId="19" xfId="0" applyNumberFormat="1" applyFont="1" applyFill="1" applyBorder="1" applyAlignment="1">
      <alignment horizontal="center" vertical="center"/>
    </xf>
    <xf numFmtId="169" fontId="1" fillId="8" borderId="19" xfId="2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9" fontId="1" fillId="8" borderId="20" xfId="2" applyNumberFormat="1" applyFont="1" applyFill="1" applyBorder="1" applyAlignment="1">
      <alignment horizontal="center" vertical="center"/>
    </xf>
    <xf numFmtId="165" fontId="10" fillId="0" borderId="20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9" fontId="1" fillId="8" borderId="21" xfId="2" applyNumberFormat="1" applyFont="1" applyFill="1" applyBorder="1" applyAlignment="1">
      <alignment horizontal="center" vertical="center"/>
    </xf>
    <xf numFmtId="3" fontId="7" fillId="8" borderId="21" xfId="2" applyNumberFormat="1" applyFont="1" applyFill="1" applyBorder="1" applyAlignment="1">
      <alignment horizontal="center" vertical="center"/>
    </xf>
    <xf numFmtId="9" fontId="11" fillId="8" borderId="23" xfId="2" applyFont="1" applyFill="1" applyBorder="1" applyAlignment="1">
      <alignment horizontal="center" vertical="center"/>
    </xf>
    <xf numFmtId="2" fontId="0" fillId="0" borderId="0" xfId="2" applyNumberFormat="1" applyFont="1"/>
    <xf numFmtId="1" fontId="1" fillId="8" borderId="1" xfId="2" applyNumberFormat="1" applyFont="1" applyFill="1" applyBorder="1" applyAlignment="1">
      <alignment horizontal="center" vertical="center"/>
    </xf>
    <xf numFmtId="170" fontId="1" fillId="0" borderId="0" xfId="2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0" fontId="1" fillId="8" borderId="0" xfId="2" applyNumberFormat="1" applyFont="1" applyFill="1" applyAlignment="1">
      <alignment horizontal="center" vertical="center"/>
    </xf>
    <xf numFmtId="165" fontId="1" fillId="8" borderId="8" xfId="0" applyNumberFormat="1" applyFont="1" applyFill="1" applyBorder="1" applyAlignment="1">
      <alignment horizontal="center" vertical="center"/>
    </xf>
    <xf numFmtId="9" fontId="11" fillId="8" borderId="24" xfId="2" applyFont="1" applyFill="1" applyBorder="1" applyAlignment="1">
      <alignment horizontal="center" vertical="center"/>
    </xf>
    <xf numFmtId="9" fontId="11" fillId="8" borderId="25" xfId="2" applyFont="1" applyFill="1" applyBorder="1" applyAlignment="1">
      <alignment horizontal="center" vertical="center"/>
    </xf>
    <xf numFmtId="165" fontId="1" fillId="8" borderId="7" xfId="0" applyNumberFormat="1" applyFont="1" applyFill="1" applyBorder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9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" fillId="0" borderId="28" xfId="0" applyFont="1" applyBorder="1" applyAlignment="1">
      <alignment horizontal="right" vertical="center"/>
    </xf>
    <xf numFmtId="3" fontId="1" fillId="0" borderId="28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10" borderId="26" xfId="0" applyFont="1" applyFill="1" applyBorder="1" applyAlignment="1">
      <alignment horizontal="center"/>
    </xf>
    <xf numFmtId="0" fontId="0" fillId="0" borderId="0" xfId="0" pivotButton="1"/>
    <xf numFmtId="165" fontId="1" fillId="0" borderId="0" xfId="0" pivotButton="1" applyNumberFormat="1" applyFont="1" applyAlignment="1">
      <alignment horizontal="center" vertical="center"/>
    </xf>
    <xf numFmtId="0" fontId="1" fillId="0" borderId="0" xfId="0" pivotButton="1" applyFont="1" applyAlignment="1">
      <alignment vertical="center"/>
    </xf>
    <xf numFmtId="169" fontId="15" fillId="8" borderId="7" xfId="2" applyNumberFormat="1" applyFont="1" applyFill="1" applyBorder="1" applyAlignment="1">
      <alignment horizontal="center" vertical="center"/>
    </xf>
    <xf numFmtId="171" fontId="2" fillId="0" borderId="5" xfId="2" applyNumberFormat="1" applyFont="1" applyBorder="1" applyAlignment="1">
      <alignment horizontal="center" vertical="center" wrapText="1"/>
    </xf>
    <xf numFmtId="171" fontId="9" fillId="0" borderId="5" xfId="2" applyNumberFormat="1" applyFont="1" applyBorder="1" applyAlignment="1">
      <alignment horizontal="center" vertical="center" wrapText="1"/>
    </xf>
    <xf numFmtId="171" fontId="7" fillId="8" borderId="7" xfId="2" applyNumberFormat="1" applyFont="1" applyFill="1" applyBorder="1" applyAlignment="1">
      <alignment horizontal="center" vertical="center"/>
    </xf>
    <xf numFmtId="171" fontId="12" fillId="8" borderId="21" xfId="2" applyNumberFormat="1" applyFont="1" applyFill="1" applyBorder="1" applyAlignment="1">
      <alignment horizontal="center" vertical="center"/>
    </xf>
    <xf numFmtId="171" fontId="0" fillId="0" borderId="0" xfId="2" applyNumberFormat="1" applyFont="1"/>
    <xf numFmtId="171" fontId="1" fillId="0" borderId="0" xfId="2" applyNumberFormat="1" applyFont="1" applyAlignment="1">
      <alignment horizontal="center" vertical="center"/>
    </xf>
    <xf numFmtId="171" fontId="7" fillId="0" borderId="0" xfId="2" applyNumberFormat="1" applyFont="1" applyAlignment="1">
      <alignment horizontal="center" vertical="center"/>
    </xf>
    <xf numFmtId="172" fontId="9" fillId="0" borderId="5" xfId="2" applyNumberFormat="1" applyFont="1" applyBorder="1" applyAlignment="1">
      <alignment horizontal="center" vertical="center" wrapText="1"/>
    </xf>
    <xf numFmtId="172" fontId="7" fillId="8" borderId="13" xfId="2" applyNumberFormat="1" applyFont="1" applyFill="1" applyBorder="1" applyAlignment="1">
      <alignment horizontal="center" vertical="center"/>
    </xf>
    <xf numFmtId="172" fontId="7" fillId="8" borderId="15" xfId="2" applyNumberFormat="1" applyFont="1" applyFill="1" applyBorder="1" applyAlignment="1">
      <alignment horizontal="center" vertical="center"/>
    </xf>
    <xf numFmtId="172" fontId="12" fillId="8" borderId="22" xfId="2" applyNumberFormat="1" applyFont="1" applyFill="1" applyBorder="1" applyAlignment="1">
      <alignment horizontal="center" vertical="center"/>
    </xf>
    <xf numFmtId="172" fontId="0" fillId="0" borderId="0" xfId="2" applyNumberFormat="1" applyFont="1"/>
    <xf numFmtId="172" fontId="7" fillId="0" borderId="0" xfId="2" applyNumberFormat="1" applyFont="1" applyAlignment="1">
      <alignment horizontal="center" vertical="center"/>
    </xf>
    <xf numFmtId="3" fontId="1" fillId="0" borderId="0" xfId="3" applyNumberFormat="1" applyFont="1" applyAlignment="1">
      <alignment vertical="center"/>
    </xf>
    <xf numFmtId="171" fontId="1" fillId="0" borderId="0" xfId="0" applyNumberFormat="1" applyFont="1" applyAlignment="1">
      <alignment vertical="center"/>
    </xf>
    <xf numFmtId="172" fontId="1" fillId="0" borderId="0" xfId="0" applyNumberFormat="1" applyFont="1" applyAlignment="1">
      <alignment vertical="center"/>
    </xf>
    <xf numFmtId="172" fontId="1" fillId="0" borderId="0" xfId="2" applyNumberFormat="1" applyFont="1" applyAlignment="1">
      <alignment vertical="center"/>
    </xf>
    <xf numFmtId="9" fontId="1" fillId="0" borderId="0" xfId="2" applyFont="1" applyAlignment="1">
      <alignment vertical="center"/>
    </xf>
    <xf numFmtId="173" fontId="1" fillId="0" borderId="0" xfId="2" applyNumberFormat="1" applyFont="1" applyAlignment="1">
      <alignment vertical="center"/>
    </xf>
    <xf numFmtId="174" fontId="7" fillId="0" borderId="0" xfId="2" applyNumberFormat="1" applyFont="1" applyAlignment="1">
      <alignment horizontal="center" vertical="center"/>
    </xf>
    <xf numFmtId="0" fontId="2" fillId="10" borderId="0" xfId="0" applyFont="1" applyFill="1" applyAlignment="1">
      <alignment horizontal="center"/>
    </xf>
    <xf numFmtId="174" fontId="16" fillId="0" borderId="0" xfId="0" applyNumberFormat="1" applyFont="1" applyAlignment="1">
      <alignment horizontal="center"/>
    </xf>
    <xf numFmtId="175" fontId="16" fillId="0" borderId="0" xfId="0" applyNumberFormat="1" applyFont="1" applyAlignment="1">
      <alignment horizontal="center"/>
    </xf>
    <xf numFmtId="175" fontId="16" fillId="0" borderId="0" xfId="0" applyNumberFormat="1" applyFont="1" applyAlignment="1">
      <alignment horizontal="right"/>
    </xf>
    <xf numFmtId="0" fontId="2" fillId="8" borderId="0" xfId="0" applyFont="1" applyFill="1" applyAlignment="1">
      <alignment horizontal="center"/>
    </xf>
    <xf numFmtId="169" fontId="7" fillId="0" borderId="0" xfId="2" applyNumberFormat="1" applyFont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0" fillId="11" borderId="0" xfId="0" applyFill="1"/>
    <xf numFmtId="0" fontId="4" fillId="11" borderId="0" xfId="0" applyFont="1" applyFill="1" applyAlignment="1">
      <alignment vertical="center"/>
    </xf>
    <xf numFmtId="0" fontId="13" fillId="0" borderId="27" xfId="0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6" xfId="2" applyFont="1" applyFill="1" applyBorder="1" applyAlignment="1">
      <alignment horizontal="center" vertical="center"/>
    </xf>
    <xf numFmtId="9" fontId="2" fillId="9" borderId="0" xfId="2" applyFont="1" applyFill="1" applyBorder="1" applyAlignment="1">
      <alignment horizontal="center" vertical="center"/>
    </xf>
    <xf numFmtId="169" fontId="2" fillId="9" borderId="6" xfId="2" applyNumberFormat="1" applyFont="1" applyFill="1" applyBorder="1" applyAlignment="1">
      <alignment horizontal="center" vertical="center"/>
    </xf>
    <xf numFmtId="169" fontId="2" fillId="9" borderId="0" xfId="2" applyNumberFormat="1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9" fontId="13" fillId="9" borderId="0" xfId="2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8" borderId="0" xfId="0" applyFont="1" applyFill="1" applyAlignment="1">
      <alignment horizontal="center"/>
    </xf>
    <xf numFmtId="166" fontId="17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65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left"/>
    </xf>
    <xf numFmtId="166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9" fontId="17" fillId="0" borderId="0" xfId="0" applyNumberFormat="1" applyFont="1" applyAlignment="1">
      <alignment horizontal="center" vertical="center"/>
    </xf>
    <xf numFmtId="172" fontId="17" fillId="0" borderId="0" xfId="0" applyNumberFormat="1" applyFont="1" applyAlignment="1">
      <alignment horizontal="center" vertical="center"/>
    </xf>
    <xf numFmtId="172" fontId="17" fillId="8" borderId="0" xfId="0" applyNumberFormat="1" applyFont="1" applyFill="1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171" fontId="17" fillId="0" borderId="0" xfId="0" applyNumberFormat="1" applyFont="1" applyAlignment="1">
      <alignment horizontal="center" vertical="center"/>
    </xf>
    <xf numFmtId="171" fontId="17" fillId="8" borderId="0" xfId="0" applyNumberFormat="1" applyFont="1" applyFill="1" applyAlignment="1">
      <alignment horizontal="center" vertical="center"/>
    </xf>
    <xf numFmtId="0" fontId="18" fillId="10" borderId="0" xfId="0" applyFont="1" applyFill="1" applyAlignment="1">
      <alignment horizontal="center"/>
    </xf>
    <xf numFmtId="169" fontId="17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Porcentagem" xfId="2" builtinId="5"/>
    <cellStyle name="Vírgula" xfId="3" builtinId="3"/>
  </cellStyles>
  <dxfs count="768"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numFmt numFmtId="169" formatCode="0.0%"/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171" formatCode="#,000;;"/>
    </dxf>
    <dxf>
      <numFmt numFmtId="171" formatCode="#,000;;"/>
    </dxf>
    <dxf>
      <font>
        <sz val="10"/>
      </font>
    </dxf>
    <dxf>
      <font>
        <name val="Calibri Light"/>
        <scheme val="major"/>
      </font>
    </dxf>
    <dxf>
      <alignment horizont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vertical="center"/>
    </dxf>
    <dxf>
      <numFmt numFmtId="13" formatCode="0%"/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font>
        <sz val="10"/>
      </font>
    </dxf>
    <dxf>
      <font>
        <name val="Calibri Light"/>
        <scheme val="major"/>
      </font>
    </dxf>
    <dxf>
      <alignment horizontal="center"/>
    </dxf>
    <dxf>
      <numFmt numFmtId="172" formatCode="0%;\-0%;"/>
    </dxf>
    <dxf>
      <numFmt numFmtId="172" formatCode="0%;\-0%;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numFmt numFmtId="165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5" formatCode="&quot;R$&quot;\ #,##0"/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color rgb="FF52BF8A"/>
      </font>
    </dxf>
    <dxf>
      <font>
        <color rgb="FFE45F56"/>
      </font>
    </dxf>
    <dxf>
      <font>
        <color rgb="FF52BF8A"/>
      </font>
    </dxf>
    <dxf>
      <font>
        <color rgb="FFE45F56"/>
      </font>
    </dxf>
    <dxf>
      <font>
        <color rgb="FF52BF8A"/>
      </font>
    </dxf>
    <dxf>
      <font>
        <color rgb="FFE45F56"/>
      </font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" formatCode="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R$&quot;\ #,##0"/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" formatCode="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" formatCode="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numFmt numFmtId="3" formatCode="#,##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numFmt numFmtId="172" formatCode="0%;\-0%;"/>
    </dxf>
    <dxf>
      <numFmt numFmtId="172" formatCode="0%;\-0%;"/>
    </dxf>
    <dxf>
      <alignment horizontal="center"/>
    </dxf>
    <dxf>
      <font>
        <name val="Calibri Light"/>
        <scheme val="major"/>
      </font>
    </dxf>
    <dxf>
      <font>
        <sz val="10"/>
      </font>
    </dxf>
    <dxf>
      <numFmt numFmtId="3" formatCode="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numFmt numFmtId="13" formatCode="0%"/>
    </dxf>
    <dxf>
      <alignment vertical="center"/>
    </dxf>
    <dxf>
      <alignment horizontal="center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" formatCode="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R$&quot;\ #,##0"/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>
          <bgColor theme="0" tint="-4.9989318521683403E-2"/>
        </patternFill>
      </fill>
    </dxf>
    <dxf>
      <numFmt numFmtId="3" formatCode="#,##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fgColor indexed="64"/>
          <bgColor theme="0" tint="-4.9989318521683403E-2"/>
        </patternFill>
      </fill>
      <alignment vertical="center"/>
    </dxf>
    <dxf>
      <fill>
        <patternFill patternType="solid">
          <fgColor indexed="64"/>
          <bgColor theme="0" tint="-4.9989318521683403E-2"/>
        </patternFill>
      </fill>
      <alignment vertical="center"/>
    </dxf>
    <dxf>
      <alignment horizontal="center"/>
    </dxf>
    <dxf>
      <font>
        <name val="Calibri Light"/>
        <scheme val="major"/>
      </font>
    </dxf>
    <dxf>
      <font>
        <sz val="10"/>
      </font>
    </dxf>
    <dxf>
      <numFmt numFmtId="171" formatCode="#,000;;"/>
    </dxf>
    <dxf>
      <numFmt numFmtId="171" formatCode="#,000;;"/>
    </dxf>
    <dxf>
      <numFmt numFmtId="3" formatCode="#,##0"/>
    </dxf>
    <dxf>
      <numFmt numFmtId="3" formatCode="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numFmt numFmtId="13" formatCode="0%"/>
    </dxf>
    <dxf>
      <alignment vertical="center"/>
    </dxf>
    <dxf>
      <alignment horizontal="center"/>
    </dxf>
    <dxf>
      <numFmt numFmtId="169" formatCode="0.0%"/>
    </dxf>
    <dxf>
      <numFmt numFmtId="13" formatCode="0%"/>
    </dxf>
    <dxf>
      <font>
        <b/>
      </font>
      <fill>
        <patternFill patternType="solid">
          <fgColor theme="4" tint="0.79998168889431442"/>
          <bgColor theme="0" tint="-4.9989318521683403E-2"/>
        </patternFill>
      </fill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numFmt numFmtId="1" formatCode="0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&quot;R$&quot;\ #,##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3" formatCode="0%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8764000366222"/>
        </left>
        <right style="thin">
          <color theme="0" tint="-0.1498764000366222"/>
        </right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8764000366222"/>
        </left>
        <right style="thin">
          <color theme="0" tint="-0.1498764000366222"/>
        </right>
        <top style="thin">
          <color theme="0" tint="-0.1498764000366222"/>
        </top>
        <bottom style="thin">
          <color theme="0" tint="-0.1498764000366222"/>
        </bottom>
        <vertical/>
        <horizontal style="thin">
          <color theme="0" tint="-0.14987640003662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8764000366222"/>
        </right>
        <top style="thin">
          <color theme="0" tint="-0.1498764000366222"/>
        </top>
        <bottom style="thin">
          <color theme="0" tint="-0.14987640003662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165" formatCode="&quot;R$&quot;\ 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172" formatCode="0%;\-0%;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 style="thin">
          <color theme="0" tint="-0.14996795556505021"/>
        </right>
        <top style="thin">
          <color theme="0" tint="-0.14990691854609822"/>
        </top>
        <bottom style="thin">
          <color theme="0" tint="-0.149906918546098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172" formatCode="0%;\-0%;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06918546098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171" formatCode="#,000;;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171" formatCode="#,000;;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9" formatCode="0.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9" formatCode="0.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4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5" formatCode="&quot;R$&quot;\ 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9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9" formatCode="0.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9" formatCode="0.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8" formatCode="yyyy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7" formatCode="mmm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4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border outline="0">
        <top style="thin">
          <color rgb="FFD9D9D9"/>
        </top>
      </border>
    </dxf>
    <dxf>
      <border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13" formatCode="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border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72C4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i val="0"/>
        <sz val="10"/>
        <color theme="0"/>
      </font>
      <fill>
        <patternFill>
          <bgColor theme="1"/>
        </patternFill>
      </fill>
    </dxf>
    <dxf>
      <font>
        <b/>
        <i/>
        <sz val="9"/>
        <color theme="0"/>
      </font>
      <fill>
        <patternFill>
          <bgColor theme="1" tint="4.9989318521683403E-2"/>
        </patternFill>
      </fill>
    </dxf>
    <dxf>
      <font>
        <b/>
        <i val="0"/>
        <sz val="9"/>
        <name val="Century Gothic"/>
        <scheme val="none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z val="10"/>
        <color theme="0" tint="-0.499984740745262"/>
        <name val="Century Gothic"/>
        <scheme val="none"/>
      </font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3" defaultTableStyle="TableStyleMedium2" defaultPivotStyle="PivotStyleLight16">
    <tableStyle name="Dashboard" pivot="0" table="0" count="9" xr9:uid="{00000000-0011-0000-FFFF-FFFF00000000}">
      <tableStyleElement type="wholeTable" dxfId="767"/>
      <tableStyleElement type="headerRow" dxfId="766"/>
    </tableStyle>
    <tableStyle name="Estilo de Segmentação de Dados 1" pivot="0" table="0" count="2" xr9:uid="{00000000-0011-0000-FFFF-FFFF01000000}">
      <tableStyleElement type="wholeTable" dxfId="765"/>
    </tableStyle>
    <tableStyle name="Estilo de Segmentação de Dados 2" pivot="0" table="0" count="2" xr9:uid="{00000000-0011-0000-FFFF-FFFF02000000}">
      <tableStyleElement type="wholeTable" dxfId="764"/>
    </tableStyle>
  </tableStyles>
  <colors>
    <mruColors>
      <color rgb="FFFBDBD7"/>
      <color rgb="FF5B9BD5"/>
      <color rgb="FF00639C"/>
      <color rgb="FF52BF8A"/>
      <color rgb="FFE45F56"/>
      <color rgb="FFF7D0CD"/>
      <color rgb="FFC5E9D8"/>
      <color rgb="FF4472C4"/>
      <color rgb="FFFF9999"/>
      <color rgb="FFC00000"/>
    </mruColors>
  </colors>
  <extLst>
    <ext xmlns:x14="http://schemas.microsoft.com/office/spreadsheetml/2009/9/main" uri="{46F421CA-312F-682f-3DD2-61675219B42D}">
      <x14:dxfs count="9">
        <dxf>
          <font>
            <b/>
            <i val="0"/>
            <sz val="10"/>
          </font>
          <fill>
            <patternFill>
              <bgColor theme="5"/>
            </patternFill>
          </fill>
        </dxf>
        <dxf>
          <font>
            <b/>
            <i val="0"/>
            <sz val="10"/>
            <color theme="0"/>
          </font>
          <fill>
            <patternFill>
              <bgColor rgb="FF0070C0"/>
            </patternFill>
          </fill>
        </dxf>
        <dxf>
          <font>
            <b val="0"/>
            <i val="0"/>
            <sz val="10"/>
            <name val="Century Gothic"/>
            <scheme val="none"/>
          </font>
          <fill>
            <patternFill>
              <bgColor rgb="FF00639C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ont>
            <b val="0"/>
            <i val="0"/>
            <sz val="10"/>
            <name val="Century Gothic"/>
            <scheme val="none"/>
          </font>
          <fill>
            <patternFill>
              <bgColor rgb="FF00639C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ont>
            <b/>
            <i val="0"/>
            <sz val="10"/>
            <color theme="0"/>
            <name val="Century Gothic"/>
            <scheme val="none"/>
          </font>
          <fill>
            <patternFill>
              <bgColor rgb="FF00639C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ont>
            <b/>
            <i val="0"/>
            <sz val="10"/>
            <color theme="0"/>
            <name val="Century Gothic"/>
            <scheme val="none"/>
          </font>
          <fill>
            <patternFill>
              <bgColor rgb="FF00639C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ont>
            <b val="0"/>
            <i val="0"/>
            <sz val="10"/>
            <name val="Century Gothic"/>
            <scheme val="none"/>
          </font>
          <fill>
            <patternFill>
              <bgColor theme="0" tint="-4.9989318521683403E-2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ont>
            <b val="0"/>
            <i val="0"/>
            <sz val="10"/>
            <color theme="0" tint="-0.499984740745262"/>
            <name val="Century Gothic"/>
            <scheme val="none"/>
          </font>
          <fill>
            <patternFill>
              <bgColor theme="0" tint="-0.14996795556505021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 dxfId="8"/>
            <x14:slicerStyleElement type="selectedItemWithData" dxfId="7"/>
            <x14:slicerStyleElement type="selectedItemWithNoData" dxfId="6"/>
            <x14:slicerStyleElement type="hoveredUnselectedItemWithData" dxfId="5"/>
            <x14:slicerStyleElement type="hoveredSelectedItemWithData" dxfId="4"/>
            <x14:slicerStyleElement type="hoveredUnselectedItemWithNoData" dxfId="3"/>
            <x14:slicerStyleElement type="hoveredSelectedItemWithNoData" dxfId="2"/>
          </x14:slicerStyleElements>
        </x14:slicerStyle>
        <x14:slicerStyle name="Estilo de Segmentação de Dados 1">
          <x14:slicerStyleElements>
            <x14:slicerStyleElement type="selectedItemWithData" dxfId="1"/>
          </x14:slicerStyleElements>
        </x14:slicerStyle>
        <x14:slicerStyle name="Estilo de Segmentação de Dados 2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 (1).xlsx]tabDin!tab_entradaSaida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BDBD7">
                  <a:shade val="30000"/>
                  <a:satMod val="115000"/>
                </a:srgbClr>
              </a:gs>
              <a:gs pos="50000">
                <a:srgbClr val="FBDBD7">
                  <a:shade val="67500"/>
                  <a:satMod val="115000"/>
                </a:srgbClr>
              </a:gs>
              <a:gs pos="100000">
                <a:srgbClr val="FBDBD7">
                  <a:shade val="100000"/>
                  <a:satMod val="115000"/>
                </a:srgbClr>
              </a:gs>
            </a:gsLst>
            <a:lin ang="5400000" scaled="1"/>
            <a:tileRect/>
          </a:gra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numFmt formatCode="0,&quot;k&quot;" sourceLinked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731553044211212E-2"/>
          <c:y val="6.2500085052952833E-2"/>
          <c:w val="0.9564700227359465"/>
          <c:h val="0.82273711524695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tabDin!$F$2</c:f>
              <c:strCache>
                <c:ptCount val="1"/>
                <c:pt idx="0">
                  <c:v>tab_receitaMes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tabDin!$E$3:$E$10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tabDin!$F$3:$F$10</c:f>
              <c:numCache>
                <c:formatCode>"R$"\ #,##0</c:formatCode>
                <c:ptCount val="8"/>
                <c:pt idx="0">
                  <c:v>188316.17</c:v>
                </c:pt>
                <c:pt idx="1">
                  <c:v>396029.97900000005</c:v>
                </c:pt>
                <c:pt idx="2">
                  <c:v>426360.95100000006</c:v>
                </c:pt>
                <c:pt idx="3">
                  <c:v>368758.45350000006</c:v>
                </c:pt>
                <c:pt idx="4">
                  <c:v>404403.20100000006</c:v>
                </c:pt>
                <c:pt idx="5">
                  <c:v>409702.33800000005</c:v>
                </c:pt>
                <c:pt idx="6">
                  <c:v>411195.46500000003</c:v>
                </c:pt>
                <c:pt idx="7">
                  <c:v>403765.54794000002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2-42E2-85A6-DD08F3BD8442}"/>
            </c:ext>
          </c:extLst>
        </c:ser>
        <c:ser>
          <c:idx val="1"/>
          <c:order val="1"/>
          <c:tx>
            <c:strRef>
              <c:f>tabDin!$G$2</c:f>
              <c:strCache>
                <c:ptCount val="1"/>
                <c:pt idx="0">
                  <c:v>tab_despesaMes</c:v>
                </c:pt>
              </c:strCache>
            </c:strRef>
          </c:tx>
          <c:spPr>
            <a:gradFill flip="none" rotWithShape="1">
              <a:gsLst>
                <a:gs pos="0">
                  <a:srgbClr val="FBDBD7">
                    <a:shade val="30000"/>
                    <a:satMod val="115000"/>
                  </a:srgbClr>
                </a:gs>
                <a:gs pos="50000">
                  <a:srgbClr val="FBDBD7">
                    <a:shade val="67500"/>
                    <a:satMod val="115000"/>
                  </a:srgbClr>
                </a:gs>
                <a:gs pos="100000">
                  <a:srgbClr val="FBDBD7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 w="25400">
              <a:noFill/>
            </a:ln>
            <a:effectLst/>
          </c:spPr>
          <c:invertIfNegative val="0"/>
          <c:cat>
            <c:strRef>
              <c:f>tabDin!$E$3:$E$10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tabDin!$G$3:$G$10</c:f>
              <c:numCache>
                <c:formatCode>"R$"\ #,##0</c:formatCode>
                <c:ptCount val="8"/>
                <c:pt idx="0">
                  <c:v>73798.8</c:v>
                </c:pt>
                <c:pt idx="1">
                  <c:v>339104.24</c:v>
                </c:pt>
                <c:pt idx="2">
                  <c:v>323215.96000000002</c:v>
                </c:pt>
                <c:pt idx="3">
                  <c:v>285826.17</c:v>
                </c:pt>
                <c:pt idx="4">
                  <c:v>318686.75</c:v>
                </c:pt>
                <c:pt idx="5">
                  <c:v>325788.95</c:v>
                </c:pt>
                <c:pt idx="6">
                  <c:v>309929.15000000002</c:v>
                </c:pt>
                <c:pt idx="7">
                  <c:v>329443.28999999998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2-42E2-85A6-DD08F3BD8442}"/>
            </c:ext>
          </c:extLst>
        </c:ser>
        <c:ser>
          <c:idx val="2"/>
          <c:order val="2"/>
          <c:tx>
            <c:strRef>
              <c:f>tabDin!$H$2</c:f>
              <c:strCache>
                <c:ptCount val="1"/>
                <c:pt idx="0">
                  <c:v>tab_resultadoMes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Lbls>
            <c:numFmt formatCode="0,&quot;k&quot;" sourceLinked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tabDin!$E$3:$E$10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tabDin!$H$3:$H$10</c:f>
              <c:numCache>
                <c:formatCode>"R$"\ #,##0</c:formatCode>
                <c:ptCount val="8"/>
                <c:pt idx="0">
                  <c:v>114517.37000000001</c:v>
                </c:pt>
                <c:pt idx="1">
                  <c:v>56925.73900000006</c:v>
                </c:pt>
                <c:pt idx="2">
                  <c:v>103144.99100000004</c:v>
                </c:pt>
                <c:pt idx="3">
                  <c:v>82932.283500000078</c:v>
                </c:pt>
                <c:pt idx="4">
                  <c:v>85716.451000000059</c:v>
                </c:pt>
                <c:pt idx="5">
                  <c:v>83913.388000000035</c:v>
                </c:pt>
                <c:pt idx="6">
                  <c:v>101266.315</c:v>
                </c:pt>
                <c:pt idx="7">
                  <c:v>74322.25794000004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2-42E2-85A6-DD08F3BD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219183232"/>
        <c:axId val="1219179968"/>
      </c:barChart>
      <c:catAx>
        <c:axId val="1219183232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79968"/>
        <c:crosses val="autoZero"/>
        <c:auto val="1"/>
        <c:lblAlgn val="ctr"/>
        <c:lblOffset val="100"/>
        <c:noMultiLvlLbl val="0"/>
      </c:catAx>
      <c:valAx>
        <c:axId val="121917996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2191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 (1).xlsx]tabDin!Tabela dinâmica4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15875" cap="rnd">
            <a:solidFill>
              <a:srgbClr val="C5E9D8"/>
            </a:solidFill>
            <a:round/>
          </a:ln>
          <a:effectLst/>
        </c:spPr>
        <c:marker>
          <c:symbol val="circle"/>
          <c:size val="3"/>
          <c:spPr>
            <a:solidFill>
              <a:srgbClr val="52BF8A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5875" cap="rnd">
            <a:solidFill>
              <a:srgbClr val="F7D0CD"/>
            </a:solidFill>
            <a:round/>
          </a:ln>
          <a:effectLst/>
        </c:spPr>
        <c:marker>
          <c:symbol val="circle"/>
          <c:size val="3"/>
          <c:spPr>
            <a:solidFill>
              <a:srgbClr val="E45F56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tabDin!$BD$2</c:f>
              <c:strCache>
                <c:ptCount val="1"/>
                <c:pt idx="0">
                  <c:v>Soma de faturamento + transf recebida</c:v>
                </c:pt>
              </c:strCache>
            </c:strRef>
          </c:tx>
          <c:spPr>
            <a:ln w="15875" cap="rnd">
              <a:solidFill>
                <a:srgbClr val="C5E9D8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52BF8A"/>
              </a:solidFill>
              <a:ln w="9525">
                <a:noFill/>
              </a:ln>
              <a:effectLst/>
            </c:spPr>
          </c:marker>
          <c:cat>
            <c:strRef>
              <c:f>tabDin!$BC$3:$BC$10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tabDin!$BD$3:$BD$10</c:f>
              <c:numCache>
                <c:formatCode>"R$"\ #,##0</c:formatCode>
                <c:ptCount val="8"/>
                <c:pt idx="0">
                  <c:v>188316.17</c:v>
                </c:pt>
                <c:pt idx="1">
                  <c:v>399940.40900000004</c:v>
                </c:pt>
                <c:pt idx="2">
                  <c:v>426360.95100000006</c:v>
                </c:pt>
                <c:pt idx="3">
                  <c:v>368758.45350000006</c:v>
                </c:pt>
                <c:pt idx="4">
                  <c:v>404403.20100000006</c:v>
                </c:pt>
                <c:pt idx="5">
                  <c:v>409702.33800000005</c:v>
                </c:pt>
                <c:pt idx="6">
                  <c:v>411195.46500000003</c:v>
                </c:pt>
                <c:pt idx="7">
                  <c:v>403765.54794000002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F-4845-A8B5-10276E6A3A6A}"/>
            </c:ext>
          </c:extLst>
        </c:ser>
        <c:ser>
          <c:idx val="1"/>
          <c:order val="1"/>
          <c:tx>
            <c:strRef>
              <c:f>tabDin!$BE$2</c:f>
              <c:strCache>
                <c:ptCount val="1"/>
                <c:pt idx="0">
                  <c:v>Soma de custo + despesa + imposto</c:v>
                </c:pt>
              </c:strCache>
            </c:strRef>
          </c:tx>
          <c:spPr>
            <a:ln w="15875" cap="rnd">
              <a:solidFill>
                <a:srgbClr val="F7D0CD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F56"/>
              </a:solidFill>
              <a:ln w="9525">
                <a:noFill/>
              </a:ln>
              <a:effectLst/>
            </c:spPr>
          </c:marker>
          <c:cat>
            <c:strRef>
              <c:f>tabDin!$BC$3:$BC$10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tabDin!$BE$3:$BE$10</c:f>
              <c:numCache>
                <c:formatCode>"R$"\ #,##0</c:formatCode>
                <c:ptCount val="8"/>
                <c:pt idx="0">
                  <c:v>44766.805700000004</c:v>
                </c:pt>
                <c:pt idx="1">
                  <c:v>227844.27409999998</c:v>
                </c:pt>
                <c:pt idx="2">
                  <c:v>209082.91990000001</c:v>
                </c:pt>
                <c:pt idx="3">
                  <c:v>187367.68400000001</c:v>
                </c:pt>
                <c:pt idx="4">
                  <c:v>206882.90960000001</c:v>
                </c:pt>
                <c:pt idx="5">
                  <c:v>213063.20360000001</c:v>
                </c:pt>
                <c:pt idx="6">
                  <c:v>201429.22289999999</c:v>
                </c:pt>
                <c:pt idx="7">
                  <c:v>218638.299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F-4845-A8B5-10276E6A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83776"/>
        <c:axId val="1219188672"/>
      </c:lineChart>
      <c:catAx>
        <c:axId val="121918377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88672"/>
        <c:crosses val="autoZero"/>
        <c:auto val="1"/>
        <c:lblAlgn val="ctr"/>
        <c:lblOffset val="100"/>
        <c:noMultiLvlLbl val="0"/>
      </c:catAx>
      <c:valAx>
        <c:axId val="1219188672"/>
        <c:scaling>
          <c:orientation val="minMax"/>
          <c:max val="450000"/>
          <c:min val="0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8377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 (1).xlsx]tabDin!tab_despesaTotalTipo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>
                <a:alpha val="60000"/>
              </a:schemeClr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5875" cap="rnd">
            <a:solidFill>
              <a:schemeClr val="accent3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5875" cap="rnd">
            <a:solidFill>
              <a:schemeClr val="accent4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3.3710428581143481E-2"/>
              <c:y val="-0.101595998712611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904450018473845E-2"/>
          <c:y val="4.8795189981062512E-2"/>
          <c:w val="0.92942460258266768"/>
          <c:h val="0.81458766997204624"/>
        </c:manualLayout>
      </c:layout>
      <c:lineChart>
        <c:grouping val="standard"/>
        <c:varyColors val="0"/>
        <c:ser>
          <c:idx val="0"/>
          <c:order val="0"/>
          <c:tx>
            <c:strRef>
              <c:f>tabDin!$AJ$2</c:f>
              <c:strCache>
                <c:ptCount val="1"/>
                <c:pt idx="0">
                  <c:v>Soma de despesa total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tabDin!$AI$3:$AI$10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tabDin!$AJ$3:$AJ$10</c:f>
              <c:numCache>
                <c:formatCode>"R$"\ #,##0</c:formatCode>
                <c:ptCount val="8"/>
                <c:pt idx="0">
                  <c:v>73798.8</c:v>
                </c:pt>
                <c:pt idx="1">
                  <c:v>339104.24</c:v>
                </c:pt>
                <c:pt idx="2">
                  <c:v>323215.96000000002</c:v>
                </c:pt>
                <c:pt idx="3">
                  <c:v>285826.17</c:v>
                </c:pt>
                <c:pt idx="4">
                  <c:v>318686.75</c:v>
                </c:pt>
                <c:pt idx="5">
                  <c:v>325788.95</c:v>
                </c:pt>
                <c:pt idx="6">
                  <c:v>309929.15000000002</c:v>
                </c:pt>
                <c:pt idx="7">
                  <c:v>329443.28999999998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F-42F8-876B-2FAE5C301D42}"/>
            </c:ext>
          </c:extLst>
        </c:ser>
        <c:ser>
          <c:idx val="1"/>
          <c:order val="1"/>
          <c:tx>
            <c:strRef>
              <c:f>tabDin!$AK$2</c:f>
              <c:strCache>
                <c:ptCount val="1"/>
                <c:pt idx="0">
                  <c:v>Soma de custo + despesa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tabDin!$AI$3:$AI$10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tabDin!$AK$3:$AK$10</c:f>
              <c:numCache>
                <c:formatCode>"R$"\ #,##0</c:formatCode>
                <c:ptCount val="8"/>
                <c:pt idx="0">
                  <c:v>7094.0387000000001</c:v>
                </c:pt>
                <c:pt idx="1">
                  <c:v>142756.43609999999</c:v>
                </c:pt>
                <c:pt idx="2">
                  <c:v>117478.4069</c:v>
                </c:pt>
                <c:pt idx="3">
                  <c:v>108139.183</c:v>
                </c:pt>
                <c:pt idx="4">
                  <c:v>119996.0656</c:v>
                </c:pt>
                <c:pt idx="5">
                  <c:v>125037.82660000001</c:v>
                </c:pt>
                <c:pt idx="6">
                  <c:v>113083.0529</c:v>
                </c:pt>
                <c:pt idx="7">
                  <c:v>132120.94500000001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F-42F8-876B-2FAE5C301D42}"/>
            </c:ext>
          </c:extLst>
        </c:ser>
        <c:ser>
          <c:idx val="2"/>
          <c:order val="2"/>
          <c:tx>
            <c:strRef>
              <c:f>tabDin!$AL$2</c:f>
              <c:strCache>
                <c:ptCount val="1"/>
                <c:pt idx="0">
                  <c:v>Soma de salários e ordenados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D7F-42F8-876B-2FAE5C301D42}"/>
              </c:ext>
            </c:extLst>
          </c:dPt>
          <c:dLbls>
            <c:dLbl>
              <c:idx val="0"/>
              <c:layout>
                <c:manualLayout>
                  <c:x val="-3.3710428581143481E-2"/>
                  <c:y val="-0.101595998712611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7F-42F8-876B-2FAE5C301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tabDin!$AI$3:$AI$10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tabDin!$AL$3:$AL$10</c:f>
              <c:numCache>
                <c:formatCode>"R$"\ #,##0</c:formatCode>
                <c:ptCount val="8"/>
                <c:pt idx="0">
                  <c:v>0</c:v>
                </c:pt>
                <c:pt idx="1">
                  <c:v>94974.421440000006</c:v>
                </c:pt>
                <c:pt idx="2">
                  <c:v>75551.530079999997</c:v>
                </c:pt>
                <c:pt idx="3">
                  <c:v>69131.606400000004</c:v>
                </c:pt>
                <c:pt idx="4">
                  <c:v>77730.197759999995</c:v>
                </c:pt>
                <c:pt idx="5">
                  <c:v>84196.852320000005</c:v>
                </c:pt>
                <c:pt idx="6">
                  <c:v>76190.741760000004</c:v>
                </c:pt>
                <c:pt idx="7">
                  <c:v>81284.571840000004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F-42F8-876B-2FAE5C301D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9185952"/>
        <c:axId val="1219191392"/>
      </c:lineChart>
      <c:catAx>
        <c:axId val="1219185952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9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91392"/>
        <c:crosses val="autoZero"/>
        <c:auto val="1"/>
        <c:lblAlgn val="ctr"/>
        <c:lblOffset val="100"/>
        <c:noMultiLvlLbl val="0"/>
      </c:catAx>
      <c:valAx>
        <c:axId val="1219191392"/>
        <c:scaling>
          <c:orientation val="minMax"/>
          <c:max val="400000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2191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B-482A-8FDC-603E1B989D8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B-482A-8FDC-603E1B989D83}"/>
              </c:ext>
            </c:extLst>
          </c:dPt>
          <c:cat>
            <c:strRef>
              <c:f>tabDin!$AN$2:$AN$3</c:f>
              <c:strCache>
                <c:ptCount val="2"/>
                <c:pt idx="0">
                  <c:v>custo / despesaTotal</c:v>
                </c:pt>
                <c:pt idx="1">
                  <c:v>diferença</c:v>
                </c:pt>
              </c:strCache>
            </c:strRef>
          </c:cat>
          <c:val>
            <c:numRef>
              <c:f>tabDin!$AO$2:$AO$3</c:f>
              <c:numCache>
                <c:formatCode>0%</c:formatCode>
                <c:ptCount val="2"/>
                <c:pt idx="0">
                  <c:v>0.373510442226064</c:v>
                </c:pt>
                <c:pt idx="1">
                  <c:v>0.626489557773936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9B-482A-8FDC-603E1B98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B-482A-8FDC-603E1B989D8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B-482A-8FDC-603E1B989D83}"/>
              </c:ext>
            </c:extLst>
          </c:dPt>
          <c:cat>
            <c:strRef>
              <c:f>tabDin!$AN$8:$AN$9</c:f>
              <c:strCache>
                <c:ptCount val="2"/>
                <c:pt idx="0">
                  <c:v>salarioOrd / despesaTotal</c:v>
                </c:pt>
                <c:pt idx="1">
                  <c:v>diferença</c:v>
                </c:pt>
              </c:strCache>
            </c:strRef>
          </c:cat>
          <c:val>
            <c:numRef>
              <c:f>tabDin!$AO$8:$AO$9</c:f>
              <c:numCache>
                <c:formatCode>0%</c:formatCode>
                <c:ptCount val="2"/>
                <c:pt idx="0">
                  <c:v>0.24245881847926776</c:v>
                </c:pt>
                <c:pt idx="1">
                  <c:v>0.75754118152073224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9B-482A-8FDC-603E1B98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B-482A-8FDC-603E1B989D8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B-482A-8FDC-603E1B989D83}"/>
              </c:ext>
            </c:extLst>
          </c:dPt>
          <c:cat>
            <c:strRef>
              <c:f>tabDin!$AN$5:$AN$6</c:f>
              <c:strCache>
                <c:ptCount val="2"/>
                <c:pt idx="0">
                  <c:v>custo + despesa / despesaTotal</c:v>
                </c:pt>
                <c:pt idx="1">
                  <c:v>diferença</c:v>
                </c:pt>
              </c:strCache>
            </c:strRef>
          </c:cat>
          <c:val>
            <c:numRef>
              <c:f>tabDin!$AO$5:$AO$6</c:f>
              <c:numCache>
                <c:formatCode>0%</c:formatCode>
                <c:ptCount val="2"/>
                <c:pt idx="0">
                  <c:v>0.37544820303082593</c:v>
                </c:pt>
                <c:pt idx="1">
                  <c:v>0.62455179696917407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9B-482A-8FDC-603E1B98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pt-BR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B-482A-8FDC-603E1B989D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B-482A-8FDC-603E1B989D83}"/>
              </c:ext>
            </c:extLst>
          </c:dPt>
          <c:cat>
            <c:strRef>
              <c:f>tabDin!$AN$2:$AN$3</c:f>
              <c:strCache>
                <c:ptCount val="2"/>
                <c:pt idx="0">
                  <c:v>custo / despesaTotal</c:v>
                </c:pt>
                <c:pt idx="1">
                  <c:v>diferença</c:v>
                </c:pt>
              </c:strCache>
            </c:strRef>
          </c:cat>
          <c:val>
            <c:numRef>
              <c:f>tabDin!$AP$13:$AP$14</c:f>
              <c:numCache>
                <c:formatCode>0%</c:formatCode>
                <c:ptCount val="2"/>
                <c:pt idx="0">
                  <c:v>0.48844363229220589</c:v>
                </c:pt>
                <c:pt idx="1">
                  <c:v>0.51155636770779411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9B-482A-8FDC-603E1B98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 (1).xlsx]tabDin!tab_metaAcumuladaUMS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</a:ln>
            <a:effectLst/>
          </c:spPr>
        </c:marker>
      </c:pivotFmt>
      <c:pivotFmt>
        <c:idx val="1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noFill/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A4BBC559-A4F9-4575-9DE1-72D92C190306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276BA9E0-E879-42E4-9A78-95123E8C9ADF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C68A1BBC-FDFA-4C23-A76E-1CBBF2FF39BF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B571DEE0-F49E-4ACF-8A98-8ECD1A8ACD71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68A9F9C1-0C1F-4381-8237-92AABAFC2216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D3293C2A-FB9B-4FF6-8413-70568C3A8FD4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E44F669C-F2E3-424C-957B-FE1C429D8E99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4B7FBCCB-D4CF-4895-9FDF-A2B701B3CC8C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752A6CD8-5D3F-4BAD-B864-555B2325BB18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E7DBB10A-08F1-4823-8707-27094DCD7ACD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90A1A1F8-BAD0-451B-A85A-A8593166ACFD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147E771B-C78F-41C1-BD32-F6C69480B3AA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BA9E6450-E70C-427A-848A-0D961FA72843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3441D38E-5369-4091-ACF9-021A25185123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8F33C5D4-AF7C-4490-A5B0-F5B3249B3994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FD8ADDAB-7DCF-4B15-B761-115E02C72368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noFill/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</a:ln>
            <a:effectLst/>
          </c:spPr>
        </c:marker>
      </c:pivotFmt>
      <c:pivotFmt>
        <c:idx val="4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D53900FA-2BA5-4DF2-AB77-F06EF56580FB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2A5514F9-33E8-4200-9708-38E9FD62FA9B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FA0BF4A1-6E06-4847-AF98-8B961DF2335A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1230671C-3A93-45BE-BCBC-F0C31531E809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014760FD-63FB-4174-8754-F89ACC21F19C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72DAF252-443F-46E0-994F-CF762EE9A000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8B21AF83-79E4-4D24-B9D1-796254407BC9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7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fld id="{D2BC345A-481F-4A1C-91AE-2B72A9058D56}" type="CELLRANGE">
                  <a:rPr lang="pt-BR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8"/>
        <c:spPr>
          <a:solidFill>
            <a:schemeClr val="bg1">
              <a:lumMod val="85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/>
          </a:solidFill>
          <a:ln w="19050"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19050"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bg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wrap="square" lIns="38100" tIns="19050" rIns="38100" bIns="19050" anchor="ctr">
              <a:spAutoFit/>
            </a:bodyPr>
            <a:lstStyle/>
            <a:p>
              <a:pPr>
                <a:defRPr sz="900" b="1">
                  <a:solidFill>
                    <a:schemeClr val="bg1"/>
                  </a:solidFill>
                  <a:latin typeface="+mj-lt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2"/>
        <c:spPr>
          <a:ln w="25400">
            <a:noFill/>
          </a:ln>
          <a:effectLst/>
        </c:spPr>
        <c:marker>
          <c:symbol val="none"/>
        </c:marker>
        <c:dLbl>
          <c:idx val="0"/>
          <c:numFmt formatCode="0,&quot;k&quot;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>
                  <a:solidFill>
                    <a:srgbClr val="00639C"/>
                  </a:solidFill>
                  <a:latin typeface="+mj-lt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0C9B44E9-3D39-4FB7-B6D2-9C77B511D1FF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4"/>
        <c:dLbl>
          <c:idx val="0"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DC08303A-B6D7-4299-B93C-796102CD65C1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5"/>
        <c:dLbl>
          <c:idx val="0"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A439E3AC-70A4-4DCB-9D1D-425F49D44CFA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6"/>
        <c:dLbl>
          <c:idx val="0"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35912F2D-17EF-4086-A4CB-C100AA768369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7"/>
        <c:dLbl>
          <c:idx val="0"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A2CC2583-0FD8-4885-954B-7B815D0839FF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8"/>
        <c:dLbl>
          <c:idx val="0"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E778F6ED-1025-46B7-86CB-3716FAA25757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9"/>
        <c:dLbl>
          <c:idx val="0"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9D623A5E-E4B4-49B6-9373-BB5DDD572CC5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0"/>
        <c:dLbl>
          <c:idx val="0"/>
          <c:tx>
            <c:rich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fld id="{21AF4DDA-0733-456C-9189-CFF66FF26D77}" type="CELLRANGE">
                  <a:rPr lang="en-US"/>
                  <a:pPr>
                    <a:defRPr sz="900" b="1">
                      <a:solidFill>
                        <a:schemeClr val="bg1"/>
                      </a:solidFill>
                      <a:latin typeface="+mj-lt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tabDin!$Y$2</c:f>
              <c:strCache>
                <c:ptCount val="1"/>
                <c:pt idx="0">
                  <c:v>Meta acumulada</c:v>
                </c:pt>
              </c:strCache>
            </c:strRef>
          </c:tx>
          <c:spPr>
            <a:ln w="25400">
              <a:noFill/>
            </a:ln>
            <a:effectLst/>
          </c:spPr>
          <c:invertIfNegative val="0"/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rgbClr val="00639C"/>
                    </a:solidFill>
                    <a:latin typeface="+mj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tabDin!$X$3:$X$10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tabDin!$Y$3:$Y$10</c:f>
              <c:numCache>
                <c:formatCode>#,##0</c:formatCode>
                <c:ptCount val="8"/>
                <c:pt idx="0">
                  <c:v>3326.1780666666668</c:v>
                </c:pt>
                <c:pt idx="1">
                  <c:v>13109.054733333334</c:v>
                </c:pt>
                <c:pt idx="2">
                  <c:v>22891.931400000001</c:v>
                </c:pt>
                <c:pt idx="3">
                  <c:v>32674.808066666668</c:v>
                </c:pt>
                <c:pt idx="4">
                  <c:v>42457.684733333335</c:v>
                </c:pt>
                <c:pt idx="5">
                  <c:v>52240.561400000006</c:v>
                </c:pt>
                <c:pt idx="6">
                  <c:v>62023.438066666669</c:v>
                </c:pt>
                <c:pt idx="7">
                  <c:v>76855.541400000002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5-4A80-8E2C-7D92D1CEFFA8}"/>
            </c:ext>
          </c:extLst>
        </c:ser>
        <c:ser>
          <c:idx val="1"/>
          <c:order val="1"/>
          <c:tx>
            <c:strRef>
              <c:f>tabDin!$Z$2</c:f>
              <c:strCache>
                <c:ptCount val="1"/>
                <c:pt idx="0">
                  <c:v>Exec acumulado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tabDin!$X$3:$X$10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tabDin!$Z$3:$Z$10</c:f>
              <c:numCache>
                <c:formatCode>#,##0</c:formatCode>
                <c:ptCount val="8"/>
                <c:pt idx="0">
                  <c:v>5789</c:v>
                </c:pt>
                <c:pt idx="1">
                  <c:v>17963.300000000003</c:v>
                </c:pt>
                <c:pt idx="2">
                  <c:v>31070.000000000004</c:v>
                </c:pt>
                <c:pt idx="3">
                  <c:v>42405.950000000004</c:v>
                </c:pt>
                <c:pt idx="4">
                  <c:v>54837.650000000009</c:v>
                </c:pt>
                <c:pt idx="5">
                  <c:v>67432.250000000015</c:v>
                </c:pt>
                <c:pt idx="6">
                  <c:v>80072.750000000015</c:v>
                </c:pt>
                <c:pt idx="7">
                  <c:v>92484.848000000013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5-4A80-8E2C-7D92D1CEFFA8}"/>
            </c:ext>
          </c:extLst>
        </c:ser>
        <c:ser>
          <c:idx val="2"/>
          <c:order val="2"/>
          <c:tx>
            <c:strRef>
              <c:f>tabDin!$AA$2</c:f>
              <c:strCache>
                <c:ptCount val="1"/>
                <c:pt idx="0">
                  <c:v>Soma de meta fat (ums) acum2</c:v>
                </c:pt>
              </c:strCache>
            </c:strRef>
          </c:tx>
          <c:spPr>
            <a:noFill/>
            <a:ln w="19050">
              <a:noFill/>
            </a:ln>
            <a:effectLst/>
          </c:spPr>
          <c:invertIfNegative val="0"/>
          <c:cat>
            <c:strRef>
              <c:f>tabDin!$X$3:$X$10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tabDin!$AA$3:$AA$10</c:f>
              <c:numCache>
                <c:formatCode>#,##0</c:formatCode>
                <c:ptCount val="8"/>
                <c:pt idx="0">
                  <c:v>3326.1780666666668</c:v>
                </c:pt>
                <c:pt idx="1">
                  <c:v>13109.054733333334</c:v>
                </c:pt>
                <c:pt idx="2">
                  <c:v>22891.931400000001</c:v>
                </c:pt>
                <c:pt idx="3">
                  <c:v>32674.808066666668</c:v>
                </c:pt>
                <c:pt idx="4">
                  <c:v>42457.684733333335</c:v>
                </c:pt>
                <c:pt idx="5">
                  <c:v>52240.561400000006</c:v>
                </c:pt>
                <c:pt idx="6">
                  <c:v>62023.438066666669</c:v>
                </c:pt>
                <c:pt idx="7">
                  <c:v>76855.541400000002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5-4A80-8E2C-7D92D1CEFFA8}"/>
            </c:ext>
          </c:extLst>
        </c:ser>
        <c:ser>
          <c:idx val="3"/>
          <c:order val="3"/>
          <c:tx>
            <c:strRef>
              <c:f>tabDin!$AB$2</c:f>
              <c:strCache>
                <c:ptCount val="1"/>
                <c:pt idx="0">
                  <c:v>Soma de meta fat (ums) abaixo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strRef>
              <c:f>tabDin!$X$3:$X$10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tabDin!$AB$3:$AB$10</c:f>
              <c:numCache>
                <c:formatCode>#,000;;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5-4A80-8E2C-7D92D1CEFFA8}"/>
            </c:ext>
          </c:extLst>
        </c:ser>
        <c:ser>
          <c:idx val="4"/>
          <c:order val="4"/>
          <c:tx>
            <c:strRef>
              <c:f>tabDin!$AC$2</c:f>
              <c:strCache>
                <c:ptCount val="1"/>
                <c:pt idx="0">
                  <c:v>Soma de meta fat (ums) acima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C9B44E9-3D39-4FB7-B6D2-9C77B511D1F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FD5-4A80-8E2C-7D92D1CEFF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08303A-B6D7-4299-B93C-796102CD65C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FD5-4A80-8E2C-7D92D1CEFFA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39E3AC-70A4-4DCB-9D1D-425F49D44CF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FD5-4A80-8E2C-7D92D1CEFFA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912F2D-17EF-4086-A4CB-C100AA76836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FD5-4A80-8E2C-7D92D1CEFFA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CC2583-0FD8-4885-954B-7B815D0839F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FD5-4A80-8E2C-7D92D1CEFFA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78F6ED-1025-46B7-86CB-3716FAA2575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FD5-4A80-8E2C-7D92D1CEFFA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623A5E-E4B4-49B6-9373-BB5DDD572CC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FD5-4A80-8E2C-7D92D1CEFFA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AF4DDA-0733-456C-9189-CFF66FF26D7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FD5-4A80-8E2C-7D92D1CEF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  <a:latin typeface="+mj-lt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tabDin!$X$3:$X$10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tabDin!$AC$3:$AC$10</c:f>
              <c:numCache>
                <c:formatCode>#,000;;</c:formatCode>
                <c:ptCount val="8"/>
                <c:pt idx="0">
                  <c:v>2462.8219333333332</c:v>
                </c:pt>
                <c:pt idx="1">
                  <c:v>4854.2452666666686</c:v>
                </c:pt>
                <c:pt idx="2">
                  <c:v>8178.0686000000023</c:v>
                </c:pt>
                <c:pt idx="3">
                  <c:v>9731.1419333333361</c:v>
                </c:pt>
                <c:pt idx="4">
                  <c:v>12379.965266666673</c:v>
                </c:pt>
                <c:pt idx="5">
                  <c:v>15191.688600000009</c:v>
                </c:pt>
                <c:pt idx="6">
                  <c:v>18049.311933333345</c:v>
                </c:pt>
                <c:pt idx="7">
                  <c:v>15629.306600000011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D5-4A80-8E2C-7D92D1CE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0"/>
        <c:axId val="1219187040"/>
        <c:axId val="1219182688"/>
      </c:barChart>
      <c:catAx>
        <c:axId val="1219187040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82688"/>
        <c:crosses val="autoZero"/>
        <c:auto val="1"/>
        <c:lblAlgn val="ctr"/>
        <c:lblOffset val="100"/>
        <c:noMultiLvlLbl val="0"/>
      </c:catAx>
      <c:valAx>
        <c:axId val="1219182688"/>
        <c:scaling>
          <c:orientation val="minMax"/>
          <c:max val="11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8704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 (1).xlsx]tabDin!tab_receitaXdespesa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7D0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F7D0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7D0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F7D0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F7D0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2700">
            <a:solidFill>
              <a:srgbClr val="00639C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654788648365974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639C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12700" cap="rnd">
            <a:solidFill>
              <a:srgbClr val="00639C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tabDin!$K$2</c:f>
              <c:strCache>
                <c:ptCount val="1"/>
                <c:pt idx="0">
                  <c:v>tab_meta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639C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2F-48C6-8486-B3B509AB48E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2F-48C6-8486-B3B509AB48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2F-48C6-8486-B3B509AB48E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2F-48C6-8486-B3B509AB48E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2F-48C6-8486-B3B509AB48E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2F-48C6-8486-B3B509AB48E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2700" cap="rnd">
                <a:solidFill>
                  <a:srgbClr val="00639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2F-48C6-8486-B3B509AB48E9}"/>
              </c:ext>
            </c:extLst>
          </c:dPt>
          <c:dLbls>
            <c:dLbl>
              <c:idx val="1"/>
              <c:layout>
                <c:manualLayout>
                  <c:x val="0.654788648365974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639C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2F-48C6-8486-B3B509AB4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tabDin!$J$3:$J$10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tabDin!$K$3:$K$10</c:f>
              <c:numCache>
                <c:formatCode>0%</c:formatCode>
                <c:ptCount val="8"/>
                <c:pt idx="0">
                  <c:v>0.4399678111411876</c:v>
                </c:pt>
                <c:pt idx="1">
                  <c:v>0.4399678111411876</c:v>
                </c:pt>
                <c:pt idx="2">
                  <c:v>0.4399678111411876</c:v>
                </c:pt>
                <c:pt idx="3">
                  <c:v>0.4399678111411876</c:v>
                </c:pt>
                <c:pt idx="4">
                  <c:v>0.4399678111411876</c:v>
                </c:pt>
                <c:pt idx="5">
                  <c:v>0.4399678111411876</c:v>
                </c:pt>
                <c:pt idx="6">
                  <c:v>0.4399678111411876</c:v>
                </c:pt>
                <c:pt idx="7">
                  <c:v>0.4399678111411876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2F-48C6-8486-B3B509AB48E9}"/>
            </c:ext>
          </c:extLst>
        </c:ser>
        <c:ser>
          <c:idx val="1"/>
          <c:order val="1"/>
          <c:tx>
            <c:strRef>
              <c:f>tabDin!$L$2</c:f>
              <c:strCache>
                <c:ptCount val="1"/>
                <c:pt idx="0">
                  <c:v>tab_metaExec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B2F-48C6-8486-B3B509AB48E9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B2F-48C6-8486-B3B509AB4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tabDin!$J$3:$J$10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tabDin!$L$3:$L$10</c:f>
              <c:numCache>
                <c:formatCode>0%</c:formatCode>
                <c:ptCount val="8"/>
                <c:pt idx="0">
                  <c:v>0.23772151748838138</c:v>
                </c:pt>
                <c:pt idx="1">
                  <c:v>0.56969555706985331</c:v>
                </c:pt>
                <c:pt idx="2">
                  <c:v>0.49038946791353782</c:v>
                </c:pt>
                <c:pt idx="3">
                  <c:v>0.50810410506290937</c:v>
                </c:pt>
                <c:pt idx="4">
                  <c:v>0.51157584581037974</c:v>
                </c:pt>
                <c:pt idx="5">
                  <c:v>0.52004390465548178</c:v>
                </c:pt>
                <c:pt idx="6">
                  <c:v>0.4898624621261326</c:v>
                </c:pt>
                <c:pt idx="7">
                  <c:v>0.54149815435092519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2F-48C6-8486-B3B509AB48E9}"/>
            </c:ext>
          </c:extLst>
        </c:ser>
        <c:ser>
          <c:idx val="2"/>
          <c:order val="2"/>
          <c:tx>
            <c:strRef>
              <c:f>tabDin!$M$2</c:f>
              <c:strCache>
                <c:ptCount val="1"/>
                <c:pt idx="0">
                  <c:v>tab_metaAbaixo</c:v>
                </c:pt>
              </c:strCache>
            </c:strRef>
          </c:tx>
          <c:spPr>
            <a:solidFill>
              <a:srgbClr val="F7D0C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tabDin!$J$3:$J$10</c:f>
              <c:strCache>
                <c:ptCount val="8"/>
                <c:pt idx="0">
                  <c:v>nov-17</c:v>
                </c:pt>
                <c:pt idx="1">
                  <c:v>dez-17</c:v>
                </c:pt>
                <c:pt idx="2">
                  <c:v>jan-18</c:v>
                </c:pt>
                <c:pt idx="3">
                  <c:v>fev-18</c:v>
                </c:pt>
                <c:pt idx="4">
                  <c:v>mar-18</c:v>
                </c:pt>
                <c:pt idx="5">
                  <c:v>abr-18</c:v>
                </c:pt>
                <c:pt idx="6">
                  <c:v>mai-18</c:v>
                </c:pt>
                <c:pt idx="7">
                  <c:v>jun-18</c:v>
                </c:pt>
              </c:strCache>
            </c:strRef>
          </c:cat>
          <c:val>
            <c:numRef>
              <c:f>tabDin!$M$3:$M$10</c:f>
              <c:numCache>
                <c:formatCode>0%</c:formatCode>
                <c:ptCount val="8"/>
                <c:pt idx="0">
                  <c:v>#N/A</c:v>
                </c:pt>
                <c:pt idx="1">
                  <c:v>0.56969555706985331</c:v>
                </c:pt>
                <c:pt idx="2">
                  <c:v>0.49038946791353782</c:v>
                </c:pt>
                <c:pt idx="3">
                  <c:v>0.50810410506290937</c:v>
                </c:pt>
                <c:pt idx="4">
                  <c:v>0.51157584581037974</c:v>
                </c:pt>
                <c:pt idx="5">
                  <c:v>0.52004390465548178</c:v>
                </c:pt>
                <c:pt idx="6">
                  <c:v>0.4898624621261326</c:v>
                </c:pt>
                <c:pt idx="7">
                  <c:v>0.54149815435092519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2F-48C6-8486-B3B509AB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0"/>
        <c:axId val="1219182144"/>
        <c:axId val="1219190848"/>
      </c:barChart>
      <c:catAx>
        <c:axId val="1219182144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90848"/>
        <c:crosses val="autoZero"/>
        <c:auto val="1"/>
        <c:lblAlgn val="ctr"/>
        <c:lblOffset val="100"/>
        <c:noMultiLvlLbl val="0"/>
      </c:catAx>
      <c:valAx>
        <c:axId val="1219190848"/>
        <c:scaling>
          <c:orientation val="minMax"/>
          <c:max val="0.6000000000000000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21918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[41 - Dashboard Gerenciamento financeiro (1) (1).xlsx]tabDin!tab_metaFatUMS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bg1">
              <a:lumMod val="85000"/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bg1">
              <a:lumMod val="85000"/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bg1">
              <a:lumMod val="85000"/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639C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458824334281298E-2"/>
          <c:y val="0"/>
          <c:w val="0.93207545701985806"/>
          <c:h val="0.80961531254365249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tabDin!$P$2</c:f>
              <c:strCache>
                <c:ptCount val="1"/>
                <c:pt idx="0">
                  <c:v>tab_executadoFat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tabDin!$O$3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tabDin!$P$3</c:f>
              <c:numCache>
                <c:formatCode>#,##0</c:formatCode>
                <c:ptCount val="1"/>
                <c:pt idx="0">
                  <c:v>92484.848000000013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B5-4BB7-8E2E-81EA3575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219189216"/>
        <c:axId val="1219180512"/>
      </c:barChart>
      <c:barChart>
        <c:barDir val="bar"/>
        <c:grouping val="clustered"/>
        <c:varyColors val="0"/>
        <c:ser>
          <c:idx val="0"/>
          <c:order val="0"/>
          <c:tx>
            <c:strRef>
              <c:f>tabDin!$O$2</c:f>
              <c:strCache>
                <c:ptCount val="1"/>
                <c:pt idx="0">
                  <c:v>tab_metaFat</c:v>
                </c:pt>
              </c:strCache>
            </c:strRef>
          </c:tx>
          <c:spPr>
            <a:solidFill>
              <a:srgbClr val="00639C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tabDin!$O$3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tabDin!$O$3</c:f>
              <c:numCache>
                <c:formatCode>#,##0</c:formatCode>
                <c:ptCount val="1"/>
                <c:pt idx="0">
                  <c:v>76855.541400000002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B5-4BB7-8E2E-81EA3575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19188128"/>
        <c:axId val="1219176704"/>
      </c:barChart>
      <c:valAx>
        <c:axId val="1219180512"/>
        <c:scaling>
          <c:orientation val="minMax"/>
          <c:min val="0"/>
        </c:scaling>
        <c:delete val="1"/>
        <c:axPos val="t"/>
        <c:numFmt formatCode="#,##0" sourceLinked="1"/>
        <c:majorTickMark val="out"/>
        <c:minorTickMark val="none"/>
        <c:tickLblPos val="nextTo"/>
        <c:crossAx val="1219189216"/>
        <c:crosses val="max"/>
        <c:crossBetween val="between"/>
      </c:valAx>
      <c:catAx>
        <c:axId val="1219189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19180512"/>
        <c:crosses val="autoZero"/>
        <c:auto val="1"/>
        <c:lblAlgn val="ctr"/>
        <c:lblOffset val="100"/>
        <c:noMultiLvlLbl val="0"/>
      </c:catAx>
      <c:valAx>
        <c:axId val="1219176704"/>
        <c:scaling>
          <c:orientation val="minMax"/>
          <c:min val="0"/>
        </c:scaling>
        <c:delete val="1"/>
        <c:axPos val="b"/>
        <c:numFmt formatCode="#,##0" sourceLinked="1"/>
        <c:majorTickMark val="out"/>
        <c:minorTickMark val="none"/>
        <c:tickLblPos val="nextTo"/>
        <c:crossAx val="1219188128"/>
        <c:crosses val="autoZero"/>
        <c:crossBetween val="between"/>
      </c:valAx>
      <c:catAx>
        <c:axId val="1219188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1917670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8.svg"/><Relationship Id="rId18" Type="http://schemas.openxmlformats.org/officeDocument/2006/relationships/image" Target="../media/image13.png"/><Relationship Id="rId3" Type="http://schemas.openxmlformats.org/officeDocument/2006/relationships/image" Target="../media/image3.png"/><Relationship Id="rId21" Type="http://schemas.openxmlformats.org/officeDocument/2006/relationships/image" Target="../media/image15.png"/><Relationship Id="rId7" Type="http://schemas.openxmlformats.org/officeDocument/2006/relationships/chart" Target="../charts/chart1.xml"/><Relationship Id="rId12" Type="http://schemas.openxmlformats.org/officeDocument/2006/relationships/image" Target="../media/image7.png"/><Relationship Id="rId17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openxmlformats.org/officeDocument/2006/relationships/image" Target="../media/image11.png"/><Relationship Id="rId20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image" Target="../media/image10.svg"/><Relationship Id="rId10" Type="http://schemas.openxmlformats.org/officeDocument/2006/relationships/chart" Target="../charts/chart4.xml"/><Relationship Id="rId19" Type="http://schemas.openxmlformats.org/officeDocument/2006/relationships/image" Target="../media/image14.svg"/><Relationship Id="rId4" Type="http://schemas.openxmlformats.org/officeDocument/2006/relationships/image" Target="../media/image4.svg"/><Relationship Id="rId9" Type="http://schemas.openxmlformats.org/officeDocument/2006/relationships/chart" Target="../charts/chart3.xml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21.png"/><Relationship Id="rId3" Type="http://schemas.openxmlformats.org/officeDocument/2006/relationships/chart" Target="../charts/chart7.xml"/><Relationship Id="rId7" Type="http://schemas.openxmlformats.org/officeDocument/2006/relationships/image" Target="../media/image18.svg"/><Relationship Id="rId12" Type="http://schemas.openxmlformats.org/officeDocument/2006/relationships/chart" Target="../charts/chart10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11" Type="http://schemas.openxmlformats.org/officeDocument/2006/relationships/image" Target="../media/image20.emf"/><Relationship Id="rId5" Type="http://schemas.openxmlformats.org/officeDocument/2006/relationships/chart" Target="../charts/chart9.xml"/><Relationship Id="rId10" Type="http://schemas.openxmlformats.org/officeDocument/2006/relationships/image" Target="../media/image19.emf"/><Relationship Id="rId4" Type="http://schemas.openxmlformats.org/officeDocument/2006/relationships/chart" Target="../charts/chart8.xml"/><Relationship Id="rId9" Type="http://schemas.openxmlformats.org/officeDocument/2006/relationships/image" Target="../media/image8.svg"/><Relationship Id="rId14" Type="http://schemas.openxmlformats.org/officeDocument/2006/relationships/image" Target="../media/image22.sv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134055</xdr:colOff>
      <xdr:row>31</xdr:row>
      <xdr:rowOff>49391</xdr:rowOff>
    </xdr:from>
    <xdr:to>
      <xdr:col>40</xdr:col>
      <xdr:colOff>7055</xdr:colOff>
      <xdr:row>39</xdr:row>
      <xdr:rowOff>21168</xdr:rowOff>
    </xdr:to>
    <xdr:sp macro="" textlink="">
      <xdr:nvSpPr>
        <xdr:cNvPr id="61" name="Retângulo 60">
          <a:extLst>
            <a:ext uri="{FF2B5EF4-FFF2-40B4-BE49-F238E27FC236}">
              <a16:creationId xmlns:a16="http://schemas.microsoft.com/office/drawing/2014/main" id="{C52C906D-9E8B-4569-BAAB-E58AAFA03BCA}"/>
            </a:ext>
          </a:extLst>
        </xdr:cNvPr>
        <xdr:cNvSpPr/>
      </xdr:nvSpPr>
      <xdr:spPr>
        <a:xfrm>
          <a:off x="1919111" y="4642558"/>
          <a:ext cx="4579055" cy="1157110"/>
        </a:xfrm>
        <a:prstGeom prst="rect">
          <a:avLst/>
        </a:prstGeom>
        <a:solidFill>
          <a:schemeClr val="tx1"/>
        </a:solidFill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31</xdr:col>
      <xdr:colOff>53632</xdr:colOff>
      <xdr:row>36</xdr:row>
      <xdr:rowOff>117119</xdr:rowOff>
    </xdr:from>
    <xdr:to>
      <xdr:col>33</xdr:col>
      <xdr:colOff>19308</xdr:colOff>
      <xdr:row>38</xdr:row>
      <xdr:rowOff>108786</xdr:rowOff>
    </xdr:to>
    <xdr:pic>
      <xdr:nvPicPr>
        <xdr:cNvPr id="156" name="Gráfico 155" descr="Medidor">
          <a:extLst>
            <a:ext uri="{FF2B5EF4-FFF2-40B4-BE49-F238E27FC236}">
              <a16:creationId xmlns:a16="http://schemas.microsoft.com/office/drawing/2014/main" id="{D76BA356-1468-46B9-B7FC-F69925A4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84243" y="5451119"/>
          <a:ext cx="290232" cy="288000"/>
        </a:xfrm>
        <a:prstGeom prst="rect">
          <a:avLst/>
        </a:prstGeom>
      </xdr:spPr>
    </xdr:pic>
    <xdr:clientData/>
  </xdr:twoCellAnchor>
  <xdr:twoCellAnchor editAs="absolute">
    <xdr:from>
      <xdr:col>41</xdr:col>
      <xdr:colOff>109868</xdr:colOff>
      <xdr:row>11</xdr:row>
      <xdr:rowOff>65616</xdr:rowOff>
    </xdr:from>
    <xdr:to>
      <xdr:col>69</xdr:col>
      <xdr:colOff>145981</xdr:colOff>
      <xdr:row>30</xdr:row>
      <xdr:rowOff>109131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70903C4-8BE0-4762-B2F1-1DA250388A16}"/>
            </a:ext>
          </a:extLst>
        </xdr:cNvPr>
        <xdr:cNvSpPr/>
      </xdr:nvSpPr>
      <xdr:spPr>
        <a:xfrm>
          <a:off x="6705401" y="1648883"/>
          <a:ext cx="4540380" cy="2778248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42</xdr:col>
      <xdr:colOff>37570</xdr:colOff>
      <xdr:row>11</xdr:row>
      <xdr:rowOff>103892</xdr:rowOff>
    </xdr:from>
    <xdr:to>
      <xdr:col>54</xdr:col>
      <xdr:colOff>123292</xdr:colOff>
      <xdr:row>13</xdr:row>
      <xdr:rowOff>68588</xdr:rowOff>
    </xdr:to>
    <xdr:sp macro="" textlink="">
      <xdr:nvSpPr>
        <xdr:cNvPr id="84" name="CaixaDeTexto 83">
          <a:extLst>
            <a:ext uri="{FF2B5EF4-FFF2-40B4-BE49-F238E27FC236}">
              <a16:creationId xmlns:a16="http://schemas.microsoft.com/office/drawing/2014/main" id="{2CB2989D-893D-49A4-AD5B-E73D7087EB0B}"/>
            </a:ext>
          </a:extLst>
        </xdr:cNvPr>
        <xdr:cNvSpPr txBox="1"/>
      </xdr:nvSpPr>
      <xdr:spPr>
        <a:xfrm>
          <a:off x="6793970" y="1687159"/>
          <a:ext cx="2016122" cy="252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Histórico de despesas</a:t>
          </a:r>
        </a:p>
      </xdr:txBody>
    </xdr:sp>
    <xdr:clientData/>
  </xdr:twoCellAnchor>
  <xdr:twoCellAnchor editAs="absolute">
    <xdr:from>
      <xdr:col>12</xdr:col>
      <xdr:colOff>47724</xdr:colOff>
      <xdr:row>37</xdr:row>
      <xdr:rowOff>111580</xdr:rowOff>
    </xdr:from>
    <xdr:to>
      <xdr:col>15</xdr:col>
      <xdr:colOff>14111</xdr:colOff>
      <xdr:row>39</xdr:row>
      <xdr:rowOff>49390</xdr:rowOff>
    </xdr:to>
    <xdr:sp macro="" textlink="">
      <xdr:nvSpPr>
        <xdr:cNvPr id="85" name="CaixaDeTexto 84">
          <a:extLst>
            <a:ext uri="{FF2B5EF4-FFF2-40B4-BE49-F238E27FC236}">
              <a16:creationId xmlns:a16="http://schemas.microsoft.com/office/drawing/2014/main" id="{31B5CBC0-CAEB-47A8-BD02-21F3FB61BF2F}"/>
            </a:ext>
          </a:extLst>
        </xdr:cNvPr>
        <xdr:cNvSpPr txBox="1"/>
      </xdr:nvSpPr>
      <xdr:spPr>
        <a:xfrm>
          <a:off x="1995057" y="5593747"/>
          <a:ext cx="453221" cy="234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8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saldo</a:t>
          </a:r>
        </a:p>
      </xdr:txBody>
    </xdr:sp>
    <xdr:clientData/>
  </xdr:twoCellAnchor>
  <xdr:twoCellAnchor editAs="absolute">
    <xdr:from>
      <xdr:col>62</xdr:col>
      <xdr:colOff>125088</xdr:colOff>
      <xdr:row>29</xdr:row>
      <xdr:rowOff>148005</xdr:rowOff>
    </xdr:from>
    <xdr:to>
      <xdr:col>63</xdr:col>
      <xdr:colOff>3711</xdr:colOff>
      <xdr:row>30</xdr:row>
      <xdr:rowOff>39807</xdr:rowOff>
    </xdr:to>
    <xdr:sp macro="" textlink="">
      <xdr:nvSpPr>
        <xdr:cNvPr id="88" name="Fluxograma: Conector 87">
          <a:extLst>
            <a:ext uri="{FF2B5EF4-FFF2-40B4-BE49-F238E27FC236}">
              <a16:creationId xmlns:a16="http://schemas.microsoft.com/office/drawing/2014/main" id="{C32F81CF-0140-48FE-9EE0-6AA3C44A4A7B}"/>
            </a:ext>
          </a:extLst>
        </xdr:cNvPr>
        <xdr:cNvSpPr/>
      </xdr:nvSpPr>
      <xdr:spPr>
        <a:xfrm>
          <a:off x="10186310" y="4444838"/>
          <a:ext cx="40901" cy="39969"/>
        </a:xfrm>
        <a:prstGeom prst="flowChartConnector">
          <a:avLst/>
        </a:prstGeom>
        <a:solidFill>
          <a:schemeClr val="accent4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11</xdr:col>
      <xdr:colOff>134937</xdr:colOff>
      <xdr:row>11</xdr:row>
      <xdr:rowOff>82549</xdr:rowOff>
    </xdr:from>
    <xdr:to>
      <xdr:col>40</xdr:col>
      <xdr:colOff>39510</xdr:colOff>
      <xdr:row>31</xdr:row>
      <xdr:rowOff>46043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71E54FE2-7A4D-498C-B457-9CC9970E5C3C}"/>
            </a:ext>
          </a:extLst>
        </xdr:cNvPr>
        <xdr:cNvGrpSpPr/>
      </xdr:nvGrpSpPr>
      <xdr:grpSpPr>
        <a:xfrm>
          <a:off x="1912937" y="1691216"/>
          <a:ext cx="4592028" cy="2888342"/>
          <a:chOff x="1162051" y="1803400"/>
          <a:chExt cx="4058188" cy="2886610"/>
        </a:xfrm>
        <a:solidFill>
          <a:schemeClr val="tx1">
            <a:lumMod val="95000"/>
            <a:lumOff val="5000"/>
          </a:schemeClr>
        </a:solidFill>
      </xdr:grpSpPr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EBA7973D-6A1B-4630-A3D7-F8732A82FB5F}"/>
              </a:ext>
            </a:extLst>
          </xdr:cNvPr>
          <xdr:cNvSpPr/>
        </xdr:nvSpPr>
        <xdr:spPr>
          <a:xfrm>
            <a:off x="1180973" y="1803400"/>
            <a:ext cx="4032377" cy="28194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29121797-75FB-4205-923D-C9FB6E16A7E9}"/>
              </a:ext>
            </a:extLst>
          </xdr:cNvPr>
          <xdr:cNvSpPr txBox="1"/>
        </xdr:nvSpPr>
        <xdr:spPr>
          <a:xfrm>
            <a:off x="1162051" y="1816100"/>
            <a:ext cx="1790700" cy="25744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Histórico de execução</a:t>
            </a:r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EED51589-A4A0-460C-8C84-2B3DFC050843}"/>
              </a:ext>
            </a:extLst>
          </xdr:cNvPr>
          <xdr:cNvSpPr txBox="1"/>
        </xdr:nvSpPr>
        <xdr:spPr>
          <a:xfrm>
            <a:off x="3461306" y="4408107"/>
            <a:ext cx="539749" cy="28190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receita</a:t>
            </a: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B36CC935-8C0E-4B6C-B695-C421406AE9D7}"/>
              </a:ext>
            </a:extLst>
          </xdr:cNvPr>
          <xdr:cNvSpPr txBox="1"/>
        </xdr:nvSpPr>
        <xdr:spPr>
          <a:xfrm>
            <a:off x="4653291" y="4408107"/>
            <a:ext cx="566948" cy="28190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resultado</a:t>
            </a:r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F4523916-8A85-4C08-8B74-765F4F9C1043}"/>
              </a:ext>
            </a:extLst>
          </xdr:cNvPr>
          <xdr:cNvSpPr txBox="1"/>
        </xdr:nvSpPr>
        <xdr:spPr>
          <a:xfrm>
            <a:off x="4024641" y="4408107"/>
            <a:ext cx="609600" cy="28190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despesa</a:t>
            </a:r>
          </a:p>
        </xdr:txBody>
      </xdr:sp>
      <xdr:sp macro="" textlink="">
        <xdr:nvSpPr>
          <xdr:cNvPr id="40" name="Fluxograma: Conector 39">
            <a:extLst>
              <a:ext uri="{FF2B5EF4-FFF2-40B4-BE49-F238E27FC236}">
                <a16:creationId xmlns:a16="http://schemas.microsoft.com/office/drawing/2014/main" id="{6FF82518-1F8D-4EAA-A6D3-105680B21B75}"/>
              </a:ext>
            </a:extLst>
          </xdr:cNvPr>
          <xdr:cNvSpPr/>
        </xdr:nvSpPr>
        <xdr:spPr>
          <a:xfrm>
            <a:off x="4659642" y="4506660"/>
            <a:ext cx="36000" cy="39420"/>
          </a:xfrm>
          <a:prstGeom prst="flowChartConnector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42" name="Fluxograma: Conector 41">
            <a:extLst>
              <a:ext uri="{FF2B5EF4-FFF2-40B4-BE49-F238E27FC236}">
                <a16:creationId xmlns:a16="http://schemas.microsoft.com/office/drawing/2014/main" id="{AAC5B25E-C69C-4FAC-8A6F-917EEFC7E694}"/>
              </a:ext>
            </a:extLst>
          </xdr:cNvPr>
          <xdr:cNvSpPr/>
        </xdr:nvSpPr>
        <xdr:spPr>
          <a:xfrm>
            <a:off x="3455095" y="4500310"/>
            <a:ext cx="45719" cy="39420"/>
          </a:xfrm>
          <a:prstGeom prst="flowChartConnector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91" name="Fluxograma: Conector 90">
            <a:extLst>
              <a:ext uri="{FF2B5EF4-FFF2-40B4-BE49-F238E27FC236}">
                <a16:creationId xmlns:a16="http://schemas.microsoft.com/office/drawing/2014/main" id="{1370D79D-CA29-45D8-88F5-93721BB46389}"/>
              </a:ext>
            </a:extLst>
          </xdr:cNvPr>
          <xdr:cNvSpPr/>
        </xdr:nvSpPr>
        <xdr:spPr>
          <a:xfrm>
            <a:off x="4032415" y="4506660"/>
            <a:ext cx="36000" cy="39420"/>
          </a:xfrm>
          <a:prstGeom prst="flowChartConnector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98778</xdr:colOff>
      <xdr:row>3</xdr:row>
      <xdr:rowOff>105833</xdr:rowOff>
    </xdr:from>
    <xdr:to>
      <xdr:col>69</xdr:col>
      <xdr:colOff>28223</xdr:colOff>
      <xdr:row>10</xdr:row>
      <xdr:rowOff>63501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272D4ED4-790B-4C41-BD89-914CE3632726}"/>
            </a:ext>
          </a:extLst>
        </xdr:cNvPr>
        <xdr:cNvSpPr/>
      </xdr:nvSpPr>
      <xdr:spPr>
        <a:xfrm>
          <a:off x="3831167" y="550333"/>
          <a:ext cx="7394223" cy="99483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25</xdr:col>
      <xdr:colOff>48692</xdr:colOff>
      <xdr:row>6</xdr:row>
      <xdr:rowOff>111010</xdr:rowOff>
    </xdr:from>
    <xdr:to>
      <xdr:col>27</xdr:col>
      <xdr:colOff>78200</xdr:colOff>
      <xdr:row>9</xdr:row>
      <xdr:rowOff>30743</xdr:rowOff>
    </xdr:to>
    <xdr:pic>
      <xdr:nvPicPr>
        <xdr:cNvPr id="4" name="Gráfico 3" descr="Dinheiro">
          <a:extLst>
            <a:ext uri="{FF2B5EF4-FFF2-40B4-BE49-F238E27FC236}">
              <a16:creationId xmlns:a16="http://schemas.microsoft.com/office/drawing/2014/main" id="{D70D387B-E93A-4B26-8DEC-73CC5C131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05636" y="1000010"/>
          <a:ext cx="354064" cy="364233"/>
        </a:xfrm>
        <a:prstGeom prst="rect">
          <a:avLst/>
        </a:prstGeom>
      </xdr:spPr>
    </xdr:pic>
    <xdr:clientData/>
  </xdr:twoCellAnchor>
  <xdr:twoCellAnchor editAs="absolute">
    <xdr:from>
      <xdr:col>32</xdr:col>
      <xdr:colOff>14134</xdr:colOff>
      <xdr:row>7</xdr:row>
      <xdr:rowOff>14823</xdr:rowOff>
    </xdr:from>
    <xdr:to>
      <xdr:col>36</xdr:col>
      <xdr:colOff>77627</xdr:colOff>
      <xdr:row>8</xdr:row>
      <xdr:rowOff>105835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E35824B-0D1E-4C08-B2C3-A8C2526E9259}"/>
            </a:ext>
          </a:extLst>
        </xdr:cNvPr>
        <xdr:cNvSpPr txBox="1"/>
      </xdr:nvSpPr>
      <xdr:spPr>
        <a:xfrm>
          <a:off x="5207023" y="1051990"/>
          <a:ext cx="712604" cy="239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0">
              <a:solidFill>
                <a:schemeClr val="bg1"/>
              </a:solidFill>
              <a:latin typeface="Century Gothic" panose="020B0502020202020204" pitchFamily="34" charset="0"/>
            </a:rPr>
            <a:t>Receita</a:t>
          </a:r>
        </a:p>
      </xdr:txBody>
    </xdr:sp>
    <xdr:clientData/>
  </xdr:twoCellAnchor>
  <xdr:twoCellAnchor editAs="absolute">
    <xdr:from>
      <xdr:col>28</xdr:col>
      <xdr:colOff>134774</xdr:colOff>
      <xdr:row>5</xdr:row>
      <xdr:rowOff>11294</xdr:rowOff>
    </xdr:from>
    <xdr:to>
      <xdr:col>36</xdr:col>
      <xdr:colOff>96674</xdr:colOff>
      <xdr:row>7</xdr:row>
      <xdr:rowOff>34576</xdr:rowOff>
    </xdr:to>
    <xdr:sp macro="" textlink="tabDin!A3">
      <xdr:nvSpPr>
        <xdr:cNvPr id="8" name="CaixaDeTexto 7">
          <a:extLst>
            <a:ext uri="{FF2B5EF4-FFF2-40B4-BE49-F238E27FC236}">
              <a16:creationId xmlns:a16="http://schemas.microsoft.com/office/drawing/2014/main" id="{2AEBD861-37BF-47DD-9D83-9193EB23E8A4}"/>
            </a:ext>
          </a:extLst>
        </xdr:cNvPr>
        <xdr:cNvSpPr txBox="1"/>
      </xdr:nvSpPr>
      <xdr:spPr>
        <a:xfrm>
          <a:off x="4678552" y="752127"/>
          <a:ext cx="1260122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B2BB606-6199-4E4B-B98D-16027604BCB1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/>
            <a:t>R$ 3.008.532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40</xdr:col>
      <xdr:colOff>76933</xdr:colOff>
      <xdr:row>6</xdr:row>
      <xdr:rowOff>103953</xdr:rowOff>
    </xdr:from>
    <xdr:to>
      <xdr:col>42</xdr:col>
      <xdr:colOff>106440</xdr:colOff>
      <xdr:row>9</xdr:row>
      <xdr:rowOff>23686</xdr:rowOff>
    </xdr:to>
    <xdr:pic>
      <xdr:nvPicPr>
        <xdr:cNvPr id="13" name="Gráfico 12" descr="Dinheiro">
          <a:extLst>
            <a:ext uri="{FF2B5EF4-FFF2-40B4-BE49-F238E27FC236}">
              <a16:creationId xmlns:a16="http://schemas.microsoft.com/office/drawing/2014/main" id="{5A8F77F7-CE84-4D32-A57C-F173BA469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568044" y="992953"/>
          <a:ext cx="354063" cy="364233"/>
        </a:xfrm>
        <a:prstGeom prst="rect">
          <a:avLst/>
        </a:prstGeom>
      </xdr:spPr>
    </xdr:pic>
    <xdr:clientData/>
  </xdr:twoCellAnchor>
  <xdr:twoCellAnchor editAs="absolute">
    <xdr:from>
      <xdr:col>47</xdr:col>
      <xdr:colOff>36020</xdr:colOff>
      <xdr:row>7</xdr:row>
      <xdr:rowOff>14822</xdr:rowOff>
    </xdr:from>
    <xdr:to>
      <xdr:col>52</xdr:col>
      <xdr:colOff>34</xdr:colOff>
      <xdr:row>8</xdr:row>
      <xdr:rowOff>91723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984AA03-6F63-47CA-A1B5-6BF7C3818018}"/>
            </a:ext>
          </a:extLst>
        </xdr:cNvPr>
        <xdr:cNvSpPr txBox="1"/>
      </xdr:nvSpPr>
      <xdr:spPr>
        <a:xfrm>
          <a:off x="7663076" y="1051989"/>
          <a:ext cx="775402" cy="225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0">
              <a:solidFill>
                <a:schemeClr val="bg1"/>
              </a:solidFill>
              <a:latin typeface="Century Gothic" panose="020B0502020202020204" pitchFamily="34" charset="0"/>
            </a:rPr>
            <a:t>Despesa</a:t>
          </a:r>
        </a:p>
      </xdr:txBody>
    </xdr:sp>
    <xdr:clientData/>
  </xdr:twoCellAnchor>
  <xdr:twoCellAnchor editAs="absolute">
    <xdr:from>
      <xdr:col>44</xdr:col>
      <xdr:colOff>43772</xdr:colOff>
      <xdr:row>5</xdr:row>
      <xdr:rowOff>11294</xdr:rowOff>
    </xdr:from>
    <xdr:to>
      <xdr:col>53</xdr:col>
      <xdr:colOff>12022</xdr:colOff>
      <xdr:row>7</xdr:row>
      <xdr:rowOff>34576</xdr:rowOff>
    </xdr:to>
    <xdr:sp macro="" textlink="tabDin!C3">
      <xdr:nvSpPr>
        <xdr:cNvPr id="15" name="CaixaDeTexto 14">
          <a:extLst>
            <a:ext uri="{FF2B5EF4-FFF2-40B4-BE49-F238E27FC236}">
              <a16:creationId xmlns:a16="http://schemas.microsoft.com/office/drawing/2014/main" id="{1FB6F97A-AA15-437E-B515-905F3293A955}"/>
            </a:ext>
          </a:extLst>
        </xdr:cNvPr>
        <xdr:cNvSpPr txBox="1"/>
      </xdr:nvSpPr>
      <xdr:spPr>
        <a:xfrm>
          <a:off x="7183994" y="752127"/>
          <a:ext cx="1428750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138C4BB-0386-49B8-A7D3-59802322234C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/>
            <a:t>R$ 2.305.793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55</xdr:col>
      <xdr:colOff>131243</xdr:colOff>
      <xdr:row>6</xdr:row>
      <xdr:rowOff>103007</xdr:rowOff>
    </xdr:from>
    <xdr:to>
      <xdr:col>58</xdr:col>
      <xdr:colOff>11466</xdr:colOff>
      <xdr:row>9</xdr:row>
      <xdr:rowOff>22740</xdr:rowOff>
    </xdr:to>
    <xdr:pic>
      <xdr:nvPicPr>
        <xdr:cNvPr id="3" name="Gráfico 2" descr="Medidor">
          <a:extLst>
            <a:ext uri="{FF2B5EF4-FFF2-40B4-BE49-F238E27FC236}">
              <a16:creationId xmlns:a16="http://schemas.microsoft.com/office/drawing/2014/main" id="{78E67518-B60A-4A74-90F8-E966D8A6F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056521" y="992007"/>
          <a:ext cx="367056" cy="364233"/>
        </a:xfrm>
        <a:prstGeom prst="rect">
          <a:avLst/>
        </a:prstGeom>
      </xdr:spPr>
    </xdr:pic>
    <xdr:clientData/>
  </xdr:twoCellAnchor>
  <xdr:twoCellAnchor editAs="absolute">
    <xdr:from>
      <xdr:col>61</xdr:col>
      <xdr:colOff>35294</xdr:colOff>
      <xdr:row>6</xdr:row>
      <xdr:rowOff>141815</xdr:rowOff>
    </xdr:from>
    <xdr:to>
      <xdr:col>67</xdr:col>
      <xdr:colOff>35294</xdr:colOff>
      <xdr:row>8</xdr:row>
      <xdr:rowOff>84665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F8F7BEF7-1B87-47CD-95C1-FF785B4FAE9B}"/>
            </a:ext>
          </a:extLst>
        </xdr:cNvPr>
        <xdr:cNvSpPr txBox="1"/>
      </xdr:nvSpPr>
      <xdr:spPr>
        <a:xfrm>
          <a:off x="9934238" y="1030815"/>
          <a:ext cx="973667" cy="239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05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Resultado</a:t>
          </a:r>
        </a:p>
      </xdr:txBody>
    </xdr:sp>
    <xdr:clientData/>
  </xdr:twoCellAnchor>
  <xdr:twoCellAnchor editAs="absolute">
    <xdr:from>
      <xdr:col>59</xdr:col>
      <xdr:colOff>106554</xdr:colOff>
      <xdr:row>4</xdr:row>
      <xdr:rowOff>144636</xdr:rowOff>
    </xdr:from>
    <xdr:to>
      <xdr:col>67</xdr:col>
      <xdr:colOff>68454</xdr:colOff>
      <xdr:row>7</xdr:row>
      <xdr:rowOff>19752</xdr:rowOff>
    </xdr:to>
    <xdr:sp macro="" textlink="tabDin!A7">
      <xdr:nvSpPr>
        <xdr:cNvPr id="19" name="CaixaDeTexto 18">
          <a:extLst>
            <a:ext uri="{FF2B5EF4-FFF2-40B4-BE49-F238E27FC236}">
              <a16:creationId xmlns:a16="http://schemas.microsoft.com/office/drawing/2014/main" id="{278F771E-5FD9-4636-8239-1A90E79B9DEF}"/>
            </a:ext>
          </a:extLst>
        </xdr:cNvPr>
        <xdr:cNvSpPr txBox="1"/>
      </xdr:nvSpPr>
      <xdr:spPr>
        <a:xfrm>
          <a:off x="9680943" y="737303"/>
          <a:ext cx="1260122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452C187-CD96-4B3C-9CBF-52409CD94714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/>
            <a:t>R$ 702.739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12</xdr:col>
      <xdr:colOff>33337</xdr:colOff>
      <xdr:row>13</xdr:row>
      <xdr:rowOff>112183</xdr:rowOff>
    </xdr:from>
    <xdr:to>
      <xdr:col>39</xdr:col>
      <xdr:colOff>112889</xdr:colOff>
      <xdr:row>29</xdr:row>
      <xdr:rowOff>13758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4155D8F9-CA41-4F1C-BA1E-62C329716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53</xdr:col>
      <xdr:colOff>141111</xdr:colOff>
      <xdr:row>35</xdr:row>
      <xdr:rowOff>84667</xdr:rowOff>
    </xdr:from>
    <xdr:ext cx="184731" cy="264560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E561AD12-F2A3-4734-B41C-274F7207AD2E}"/>
            </a:ext>
          </a:extLst>
        </xdr:cNvPr>
        <xdr:cNvSpPr txBox="1"/>
      </xdr:nvSpPr>
      <xdr:spPr>
        <a:xfrm>
          <a:off x="8741833" y="527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0</xdr:col>
      <xdr:colOff>106558</xdr:colOff>
      <xdr:row>21</xdr:row>
      <xdr:rowOff>102832</xdr:rowOff>
    </xdr:from>
    <xdr:to>
      <xdr:col>10</xdr:col>
      <xdr:colOff>123806</xdr:colOff>
      <xdr:row>31</xdr:row>
      <xdr:rowOff>25571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3" name="mês">
              <a:extLst>
                <a:ext uri="{FF2B5EF4-FFF2-40B4-BE49-F238E27FC236}">
                  <a16:creationId xmlns:a16="http://schemas.microsoft.com/office/drawing/2014/main" id="{7908DD5B-AE4C-4043-85E4-5F26410CB8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58" y="3173923"/>
              <a:ext cx="1633612" cy="1385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129472</xdr:colOff>
      <xdr:row>16</xdr:row>
      <xdr:rowOff>93306</xdr:rowOff>
    </xdr:from>
    <xdr:to>
      <xdr:col>10</xdr:col>
      <xdr:colOff>146719</xdr:colOff>
      <xdr:row>20</xdr:row>
      <xdr:rowOff>117297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7" name="ano">
              <a:extLst>
                <a:ext uri="{FF2B5EF4-FFF2-40B4-BE49-F238E27FC236}">
                  <a16:creationId xmlns:a16="http://schemas.microsoft.com/office/drawing/2014/main" id="{B60ECC78-6AB1-4EC4-87DB-C6EC9A687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72" y="2463973"/>
              <a:ext cx="1640025" cy="616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30</xdr:col>
      <xdr:colOff>78313</xdr:colOff>
      <xdr:row>32</xdr:row>
      <xdr:rowOff>14111</xdr:rowOff>
    </xdr:from>
    <xdr:to>
      <xdr:col>30</xdr:col>
      <xdr:colOff>78313</xdr:colOff>
      <xdr:row>38</xdr:row>
      <xdr:rowOff>70556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160882C8-C7A6-41FC-9770-B7A34B44AEAD}"/>
            </a:ext>
          </a:extLst>
        </xdr:cNvPr>
        <xdr:cNvCxnSpPr/>
      </xdr:nvCxnSpPr>
      <xdr:spPr>
        <a:xfrm>
          <a:off x="4946646" y="4755444"/>
          <a:ext cx="0" cy="945445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127004</xdr:colOff>
      <xdr:row>31</xdr:row>
      <xdr:rowOff>63500</xdr:rowOff>
    </xdr:from>
    <xdr:to>
      <xdr:col>40</xdr:col>
      <xdr:colOff>33865</xdr:colOff>
      <xdr:row>34</xdr:row>
      <xdr:rowOff>16934</xdr:rowOff>
    </xdr:to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1E335C68-551D-4835-A2F3-128CD3AD1F36}"/>
            </a:ext>
          </a:extLst>
        </xdr:cNvPr>
        <xdr:cNvSpPr txBox="1"/>
      </xdr:nvSpPr>
      <xdr:spPr>
        <a:xfrm>
          <a:off x="5113871" y="4525433"/>
          <a:ext cx="1354661" cy="385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Maior</a:t>
          </a:r>
          <a:r>
            <a: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resultado</a:t>
          </a:r>
        </a:p>
      </xdr:txBody>
    </xdr:sp>
    <xdr:clientData/>
  </xdr:twoCellAnchor>
  <xdr:twoCellAnchor>
    <xdr:from>
      <xdr:col>22</xdr:col>
      <xdr:colOff>99489</xdr:colOff>
      <xdr:row>33</xdr:row>
      <xdr:rowOff>138297</xdr:rowOff>
    </xdr:from>
    <xdr:to>
      <xdr:col>29</xdr:col>
      <xdr:colOff>70557</xdr:colOff>
      <xdr:row>36</xdr:row>
      <xdr:rowOff>13413</xdr:rowOff>
    </xdr:to>
    <xdr:sp macro="" textlink="tabDin!AX3">
      <xdr:nvSpPr>
        <xdr:cNvPr id="12" name="CaixaDeTexto 11">
          <a:extLst>
            <a:ext uri="{FF2B5EF4-FFF2-40B4-BE49-F238E27FC236}">
              <a16:creationId xmlns:a16="http://schemas.microsoft.com/office/drawing/2014/main" id="{56401DB3-1273-4D59-8A04-932C9E52D89F}"/>
            </a:ext>
          </a:extLst>
        </xdr:cNvPr>
        <xdr:cNvSpPr txBox="1"/>
      </xdr:nvSpPr>
      <xdr:spPr>
        <a:xfrm>
          <a:off x="3669600" y="5027797"/>
          <a:ext cx="1107013" cy="319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E0FA16BB-0B82-45F2-836B-2E9DAC764946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R$ 426.361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105840</xdr:colOff>
      <xdr:row>31</xdr:row>
      <xdr:rowOff>63499</xdr:rowOff>
    </xdr:from>
    <xdr:to>
      <xdr:col>29</xdr:col>
      <xdr:colOff>35983</xdr:colOff>
      <xdr:row>33</xdr:row>
      <xdr:rowOff>7056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1776BE2E-788A-4779-9E7E-2D14DFF915D1}"/>
            </a:ext>
          </a:extLst>
        </xdr:cNvPr>
        <xdr:cNvSpPr txBox="1"/>
      </xdr:nvSpPr>
      <xdr:spPr>
        <a:xfrm>
          <a:off x="3675951" y="4656666"/>
          <a:ext cx="1066088" cy="23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Maior receita</a:t>
          </a:r>
        </a:p>
      </xdr:txBody>
    </xdr:sp>
    <xdr:clientData/>
  </xdr:twoCellAnchor>
  <xdr:twoCellAnchor>
    <xdr:from>
      <xdr:col>12</xdr:col>
      <xdr:colOff>141116</xdr:colOff>
      <xdr:row>31</xdr:row>
      <xdr:rowOff>63498</xdr:rowOff>
    </xdr:from>
    <xdr:to>
      <xdr:col>20</xdr:col>
      <xdr:colOff>70561</xdr:colOff>
      <xdr:row>32</xdr:row>
      <xdr:rowOff>119945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C7A031DF-8046-4EDC-AA0A-D5EA73F060C6}"/>
            </a:ext>
          </a:extLst>
        </xdr:cNvPr>
        <xdr:cNvSpPr txBox="1"/>
      </xdr:nvSpPr>
      <xdr:spPr>
        <a:xfrm>
          <a:off x="2088449" y="4656665"/>
          <a:ext cx="1227668" cy="204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Total</a:t>
          </a:r>
          <a:r>
            <a: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rPr>
            <a:t>executado</a:t>
          </a:r>
        </a:p>
      </xdr:txBody>
    </xdr:sp>
    <xdr:clientData/>
  </xdr:twoCellAnchor>
  <xdr:twoCellAnchor>
    <xdr:from>
      <xdr:col>20</xdr:col>
      <xdr:colOff>148866</xdr:colOff>
      <xdr:row>32</xdr:row>
      <xdr:rowOff>14110</xdr:rowOff>
    </xdr:from>
    <xdr:to>
      <xdr:col>20</xdr:col>
      <xdr:colOff>148866</xdr:colOff>
      <xdr:row>38</xdr:row>
      <xdr:rowOff>84667</xdr:rowOff>
    </xdr:to>
    <xdr:cxnSp macro="">
      <xdr:nvCxnSpPr>
        <xdr:cNvPr id="73" name="Conector reto 72">
          <a:extLst>
            <a:ext uri="{FF2B5EF4-FFF2-40B4-BE49-F238E27FC236}">
              <a16:creationId xmlns:a16="http://schemas.microsoft.com/office/drawing/2014/main" id="{EDD7A9D8-38AA-416D-9BD8-009341E98D04}"/>
            </a:ext>
          </a:extLst>
        </xdr:cNvPr>
        <xdr:cNvCxnSpPr/>
      </xdr:nvCxnSpPr>
      <xdr:spPr>
        <a:xfrm>
          <a:off x="3394422" y="4755443"/>
          <a:ext cx="0" cy="959557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127000</xdr:colOff>
      <xdr:row>13</xdr:row>
      <xdr:rowOff>105834</xdr:rowOff>
    </xdr:from>
    <xdr:to>
      <xdr:col>75</xdr:col>
      <xdr:colOff>101600</xdr:colOff>
      <xdr:row>29</xdr:row>
      <xdr:rowOff>77612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id="{438697AF-1649-4FA1-A4B3-BA9B78371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56</xdr:col>
      <xdr:colOff>19254</xdr:colOff>
      <xdr:row>29</xdr:row>
      <xdr:rowOff>148005</xdr:rowOff>
    </xdr:from>
    <xdr:to>
      <xdr:col>56</xdr:col>
      <xdr:colOff>60155</xdr:colOff>
      <xdr:row>30</xdr:row>
      <xdr:rowOff>39807</xdr:rowOff>
    </xdr:to>
    <xdr:sp macro="" textlink="">
      <xdr:nvSpPr>
        <xdr:cNvPr id="113" name="Fluxograma: Conector 112">
          <a:extLst>
            <a:ext uri="{FF2B5EF4-FFF2-40B4-BE49-F238E27FC236}">
              <a16:creationId xmlns:a16="http://schemas.microsoft.com/office/drawing/2014/main" id="{99B03F17-3718-4D9C-8DD1-2F13F3A36518}"/>
            </a:ext>
          </a:extLst>
        </xdr:cNvPr>
        <xdr:cNvSpPr/>
      </xdr:nvSpPr>
      <xdr:spPr>
        <a:xfrm>
          <a:off x="9106810" y="4444838"/>
          <a:ext cx="40901" cy="39969"/>
        </a:xfrm>
        <a:prstGeom prst="flowChartConnector">
          <a:avLst/>
        </a:prstGeom>
        <a:solidFill>
          <a:schemeClr val="accent3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12</xdr:col>
      <xdr:colOff>54526</xdr:colOff>
      <xdr:row>38</xdr:row>
      <xdr:rowOff>63340</xdr:rowOff>
    </xdr:from>
    <xdr:to>
      <xdr:col>12</xdr:col>
      <xdr:colOff>95427</xdr:colOff>
      <xdr:row>38</xdr:row>
      <xdr:rowOff>103309</xdr:rowOff>
    </xdr:to>
    <xdr:sp macro="" textlink="">
      <xdr:nvSpPr>
        <xdr:cNvPr id="114" name="Fluxograma: Conector 113">
          <a:extLst>
            <a:ext uri="{FF2B5EF4-FFF2-40B4-BE49-F238E27FC236}">
              <a16:creationId xmlns:a16="http://schemas.microsoft.com/office/drawing/2014/main" id="{D193CB91-915A-4F23-A6C1-A712355F719C}"/>
            </a:ext>
          </a:extLst>
        </xdr:cNvPr>
        <xdr:cNvSpPr/>
      </xdr:nvSpPr>
      <xdr:spPr>
        <a:xfrm>
          <a:off x="2001859" y="5693673"/>
          <a:ext cx="40901" cy="39969"/>
        </a:xfrm>
        <a:prstGeom prst="flowChartConnector">
          <a:avLst/>
        </a:prstGeom>
        <a:solidFill>
          <a:schemeClr val="bg1">
            <a:lumMod val="95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28</xdr:col>
      <xdr:colOff>69282</xdr:colOff>
      <xdr:row>0</xdr:row>
      <xdr:rowOff>77612</xdr:rowOff>
    </xdr:from>
    <xdr:ext cx="3811556" cy="343940"/>
    <xdr:sp macro="" textlink="">
      <xdr:nvSpPr>
        <xdr:cNvPr id="115" name="CaixaDeTexto 114">
          <a:extLst>
            <a:ext uri="{FF2B5EF4-FFF2-40B4-BE49-F238E27FC236}">
              <a16:creationId xmlns:a16="http://schemas.microsoft.com/office/drawing/2014/main" id="{F8694251-9399-4DC7-9302-08C74E29CB23}"/>
            </a:ext>
          </a:extLst>
        </xdr:cNvPr>
        <xdr:cNvSpPr txBox="1"/>
      </xdr:nvSpPr>
      <xdr:spPr>
        <a:xfrm>
          <a:off x="4595100" y="77612"/>
          <a:ext cx="3811556" cy="343940"/>
        </a:xfrm>
        <a:prstGeom prst="rect">
          <a:avLst/>
        </a:prstGeom>
        <a:solidFill>
          <a:schemeClr val="accent2">
            <a:lumMod val="75000"/>
          </a:schemeClr>
        </a:solidFill>
        <a:effectLst/>
      </xdr:spPr>
      <xdr:style>
        <a:lnRef idx="0">
          <a:scrgbClr r="0" g="0" b="0"/>
        </a:lnRef>
        <a:fillRef idx="1001">
          <a:schemeClr val="lt2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600" b="1" cap="none" spc="200" normalizeH="0">
              <a:solidFill>
                <a:schemeClr val="bg1"/>
              </a:solidFill>
              <a:latin typeface="Century Gothic" panose="020B0502020202020204" pitchFamily="34" charset="0"/>
            </a:rPr>
            <a:t>GERENCIAMENTO</a:t>
          </a:r>
          <a:r>
            <a:rPr lang="pt-BR" sz="1600" b="1" cap="none" spc="200" normalizeH="0" baseline="0">
              <a:solidFill>
                <a:schemeClr val="bg1"/>
              </a:solidFill>
              <a:latin typeface="Century Gothic" panose="020B0502020202020204" pitchFamily="34" charset="0"/>
            </a:rPr>
            <a:t> FINANCEIRO</a:t>
          </a:r>
          <a:endParaRPr lang="pt-BR" sz="1600" b="0" cap="none" spc="200" normalizeH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oneCellAnchor>
  <xdr:twoCellAnchor>
    <xdr:from>
      <xdr:col>38</xdr:col>
      <xdr:colOff>96660</xdr:colOff>
      <xdr:row>4</xdr:row>
      <xdr:rowOff>56441</xdr:rowOff>
    </xdr:from>
    <xdr:to>
      <xdr:col>38</xdr:col>
      <xdr:colOff>96660</xdr:colOff>
      <xdr:row>9</xdr:row>
      <xdr:rowOff>98772</xdr:rowOff>
    </xdr:to>
    <xdr:cxnSp macro="">
      <xdr:nvCxnSpPr>
        <xdr:cNvPr id="126" name="Conector reto 125">
          <a:extLst>
            <a:ext uri="{FF2B5EF4-FFF2-40B4-BE49-F238E27FC236}">
              <a16:creationId xmlns:a16="http://schemas.microsoft.com/office/drawing/2014/main" id="{90C6113B-A21E-4BAB-9599-909473439533}"/>
            </a:ext>
          </a:extLst>
        </xdr:cNvPr>
        <xdr:cNvCxnSpPr/>
      </xdr:nvCxnSpPr>
      <xdr:spPr>
        <a:xfrm>
          <a:off x="6263216" y="649108"/>
          <a:ext cx="0" cy="783164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153099</xdr:colOff>
      <xdr:row>4</xdr:row>
      <xdr:rowOff>49387</xdr:rowOff>
    </xdr:from>
    <xdr:to>
      <xdr:col>53</xdr:col>
      <xdr:colOff>153099</xdr:colOff>
      <xdr:row>9</xdr:row>
      <xdr:rowOff>91718</xdr:rowOff>
    </xdr:to>
    <xdr:cxnSp macro="">
      <xdr:nvCxnSpPr>
        <xdr:cNvPr id="127" name="Conector reto 126">
          <a:extLst>
            <a:ext uri="{FF2B5EF4-FFF2-40B4-BE49-F238E27FC236}">
              <a16:creationId xmlns:a16="http://schemas.microsoft.com/office/drawing/2014/main" id="{DD1A2F9E-6D0D-49A5-9ED4-88752221A095}"/>
            </a:ext>
          </a:extLst>
        </xdr:cNvPr>
        <xdr:cNvCxnSpPr/>
      </xdr:nvCxnSpPr>
      <xdr:spPr>
        <a:xfrm>
          <a:off x="8753821" y="642054"/>
          <a:ext cx="0" cy="783164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76202</xdr:colOff>
      <xdr:row>31</xdr:row>
      <xdr:rowOff>46566</xdr:rowOff>
    </xdr:from>
    <xdr:to>
      <xdr:col>69</xdr:col>
      <xdr:colOff>110067</xdr:colOff>
      <xdr:row>39</xdr:row>
      <xdr:rowOff>50065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4CAB2C3F-60B3-4699-9ABE-B375C217FABC}"/>
            </a:ext>
          </a:extLst>
        </xdr:cNvPr>
        <xdr:cNvGrpSpPr/>
      </xdr:nvGrpSpPr>
      <xdr:grpSpPr>
        <a:xfrm>
          <a:off x="6703293" y="4580081"/>
          <a:ext cx="4559683" cy="1173439"/>
          <a:chOff x="6728942" y="4639734"/>
          <a:chExt cx="4579055" cy="1187211"/>
        </a:xfrm>
        <a:solidFill>
          <a:schemeClr val="tx1"/>
        </a:solidFill>
      </xdr:grpSpPr>
      <xdr:sp macro="" textlink="">
        <xdr:nvSpPr>
          <xdr:cNvPr id="96" name="Retângulo 95">
            <a:extLst>
              <a:ext uri="{FF2B5EF4-FFF2-40B4-BE49-F238E27FC236}">
                <a16:creationId xmlns:a16="http://schemas.microsoft.com/office/drawing/2014/main" id="{BA9077CA-584B-48C5-89D2-B19B44596225}"/>
              </a:ext>
            </a:extLst>
          </xdr:cNvPr>
          <xdr:cNvSpPr/>
        </xdr:nvSpPr>
        <xdr:spPr>
          <a:xfrm>
            <a:off x="6728942" y="4639734"/>
            <a:ext cx="4579055" cy="1159933"/>
          </a:xfrm>
          <a:prstGeom prst="rect">
            <a:avLst/>
          </a:prstGeom>
          <a:grpFill/>
          <a:ln w="317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grpSp>
        <xdr:nvGrpSpPr>
          <xdr:cNvPr id="138" name="Agrupar 137">
            <a:extLst>
              <a:ext uri="{FF2B5EF4-FFF2-40B4-BE49-F238E27FC236}">
                <a16:creationId xmlns:a16="http://schemas.microsoft.com/office/drawing/2014/main" id="{22345A14-4E81-429F-ABB1-0ED923B62E72}"/>
              </a:ext>
            </a:extLst>
          </xdr:cNvPr>
          <xdr:cNvGrpSpPr/>
        </xdr:nvGrpSpPr>
        <xdr:grpSpPr>
          <a:xfrm>
            <a:off x="6821196" y="4653844"/>
            <a:ext cx="4397137" cy="1173101"/>
            <a:chOff x="6821196" y="4653844"/>
            <a:chExt cx="4397137" cy="1173101"/>
          </a:xfrm>
          <a:grpFill/>
        </xdr:grpSpPr>
        <xdr:cxnSp macro="">
          <xdr:nvCxnSpPr>
            <xdr:cNvPr id="97" name="Conector reto 96">
              <a:extLst>
                <a:ext uri="{FF2B5EF4-FFF2-40B4-BE49-F238E27FC236}">
                  <a16:creationId xmlns:a16="http://schemas.microsoft.com/office/drawing/2014/main" id="{E3FB6C70-054B-4885-9439-15632BD52DB1}"/>
                </a:ext>
              </a:extLst>
            </xdr:cNvPr>
            <xdr:cNvCxnSpPr/>
          </xdr:nvCxnSpPr>
          <xdr:spPr>
            <a:xfrm>
              <a:off x="9678102" y="4752621"/>
              <a:ext cx="0" cy="842435"/>
            </a:xfrm>
            <a:prstGeom prst="line">
              <a:avLst/>
            </a:prstGeom>
            <a:grpFill/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8" name="CaixaDeTexto 97">
              <a:extLst>
                <a:ext uri="{FF2B5EF4-FFF2-40B4-BE49-F238E27FC236}">
                  <a16:creationId xmlns:a16="http://schemas.microsoft.com/office/drawing/2014/main" id="{6E84182C-DBEE-47EB-AD93-31C07C28FEB9}"/>
                </a:ext>
              </a:extLst>
            </xdr:cNvPr>
            <xdr:cNvSpPr txBox="1"/>
          </xdr:nvSpPr>
          <xdr:spPr>
            <a:xfrm>
              <a:off x="9832630" y="4653844"/>
              <a:ext cx="1385703" cy="263878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r>
                <a:rPr lang="pt-BR" sz="1000" b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rPr>
                <a:t>Ecommerce</a:t>
              </a:r>
            </a:p>
          </xdr:txBody>
        </xdr:sp>
        <xdr:sp macro="" textlink="">
          <xdr:nvSpPr>
            <xdr:cNvPr id="99" name="CaixaDeTexto 98">
              <a:extLst>
                <a:ext uri="{FF2B5EF4-FFF2-40B4-BE49-F238E27FC236}">
                  <a16:creationId xmlns:a16="http://schemas.microsoft.com/office/drawing/2014/main" id="{2DF50BDF-C807-43E7-9043-2A593C1B5F23}"/>
                </a:ext>
              </a:extLst>
            </xdr:cNvPr>
            <xdr:cNvSpPr txBox="1"/>
          </xdr:nvSpPr>
          <xdr:spPr>
            <a:xfrm>
              <a:off x="8287458" y="4653844"/>
              <a:ext cx="1308098" cy="263878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pt-BR" sz="1000" b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rPr>
                <a:t>Venda externa</a:t>
              </a:r>
            </a:p>
          </xdr:txBody>
        </xdr:sp>
        <xdr:sp macro="" textlink="">
          <xdr:nvSpPr>
            <xdr:cNvPr id="100" name="CaixaDeTexto 99">
              <a:extLst>
                <a:ext uri="{FF2B5EF4-FFF2-40B4-BE49-F238E27FC236}">
                  <a16:creationId xmlns:a16="http://schemas.microsoft.com/office/drawing/2014/main" id="{64267B72-731C-433D-9CC8-625D88EEC318}"/>
                </a:ext>
              </a:extLst>
            </xdr:cNvPr>
            <xdr:cNvSpPr txBox="1"/>
          </xdr:nvSpPr>
          <xdr:spPr>
            <a:xfrm>
              <a:off x="6821196" y="4662546"/>
              <a:ext cx="1112310" cy="251332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pt-BR" sz="1000" b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rPr>
                <a:t>Venda interna</a:t>
              </a:r>
            </a:p>
          </xdr:txBody>
        </xdr:sp>
        <xdr:cxnSp macro="">
          <xdr:nvCxnSpPr>
            <xdr:cNvPr id="101" name="Conector reto 100">
              <a:extLst>
                <a:ext uri="{FF2B5EF4-FFF2-40B4-BE49-F238E27FC236}">
                  <a16:creationId xmlns:a16="http://schemas.microsoft.com/office/drawing/2014/main" id="{3FE533ED-DA8B-4FAF-99F5-42ECF75B1FDD}"/>
                </a:ext>
              </a:extLst>
            </xdr:cNvPr>
            <xdr:cNvCxnSpPr/>
          </xdr:nvCxnSpPr>
          <xdr:spPr>
            <a:xfrm>
              <a:off x="8125878" y="4752620"/>
              <a:ext cx="0" cy="962380"/>
            </a:xfrm>
            <a:prstGeom prst="line">
              <a:avLst/>
            </a:prstGeom>
            <a:grpFill/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aphicFrame macro="">
          <xdr:nvGraphicFramePr>
            <xdr:cNvPr id="92" name="Gráfico 91">
              <a:extLst>
                <a:ext uri="{FF2B5EF4-FFF2-40B4-BE49-F238E27FC236}">
                  <a16:creationId xmlns:a16="http://schemas.microsoft.com/office/drawing/2014/main" id="{DCF90AE3-CD0C-4FCF-843D-1E1FC84F7639}"/>
                </a:ext>
              </a:extLst>
            </xdr:cNvPr>
            <xdr:cNvGraphicFramePr>
              <a:graphicFrameLocks/>
            </xdr:cNvGraphicFramePr>
          </xdr:nvGraphicFramePr>
          <xdr:xfrm>
            <a:off x="6858710" y="4811889"/>
            <a:ext cx="1080000" cy="1008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93" name="Gráfico 92">
              <a:extLst>
                <a:ext uri="{FF2B5EF4-FFF2-40B4-BE49-F238E27FC236}">
                  <a16:creationId xmlns:a16="http://schemas.microsoft.com/office/drawing/2014/main" id="{88BD9314-4A24-49D1-93AB-13C9F459C328}"/>
                </a:ext>
              </a:extLst>
            </xdr:cNvPr>
            <xdr:cNvGraphicFramePr>
              <a:graphicFrameLocks/>
            </xdr:cNvGraphicFramePr>
          </xdr:nvGraphicFramePr>
          <xdr:xfrm>
            <a:off x="9915255" y="4794481"/>
            <a:ext cx="1080000" cy="1008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94" name="Gráfico 93">
              <a:extLst>
                <a:ext uri="{FF2B5EF4-FFF2-40B4-BE49-F238E27FC236}">
                  <a16:creationId xmlns:a16="http://schemas.microsoft.com/office/drawing/2014/main" id="{5E65EC8C-6374-412D-904E-72396BD454B1}"/>
                </a:ext>
              </a:extLst>
            </xdr:cNvPr>
            <xdr:cNvGraphicFramePr>
              <a:graphicFrameLocks/>
            </xdr:cNvGraphicFramePr>
          </xdr:nvGraphicFramePr>
          <xdr:xfrm>
            <a:off x="8375656" y="4818945"/>
            <a:ext cx="1080000" cy="1008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sp macro="" textlink="tabDin!AO2">
          <xdr:nvSpPr>
            <xdr:cNvPr id="110" name="CaixaDeTexto 109">
              <a:extLst>
                <a:ext uri="{FF2B5EF4-FFF2-40B4-BE49-F238E27FC236}">
                  <a16:creationId xmlns:a16="http://schemas.microsoft.com/office/drawing/2014/main" id="{974BF459-8439-44EB-A689-5990D6655351}"/>
                </a:ext>
              </a:extLst>
            </xdr:cNvPr>
            <xdr:cNvSpPr txBox="1"/>
          </xdr:nvSpPr>
          <xdr:spPr>
            <a:xfrm>
              <a:off x="7088724" y="5161851"/>
              <a:ext cx="637107" cy="3124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0205E11F-BE4E-4067-A910-4E4622BB8619}" type="TxLink">
                <a:rPr lang="en-US" sz="1400" b="1" i="0" u="none" strike="noStrike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Calibri"/>
                </a:rPr>
                <a:pPr marL="0" indent="0" algn="ctr"/>
                <a:t>37%</a:t>
              </a:fld>
              <a:endParaRPr lang="pt-BR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endParaRPr>
            </a:p>
          </xdr:txBody>
        </xdr:sp>
        <xdr:sp macro="" textlink="tabDin!AO5">
          <xdr:nvSpPr>
            <xdr:cNvPr id="111" name="CaixaDeTexto 110">
              <a:extLst>
                <a:ext uri="{FF2B5EF4-FFF2-40B4-BE49-F238E27FC236}">
                  <a16:creationId xmlns:a16="http://schemas.microsoft.com/office/drawing/2014/main" id="{D123CF7B-953A-4AD4-9C76-B9A1EE912A89}"/>
                </a:ext>
              </a:extLst>
            </xdr:cNvPr>
            <xdr:cNvSpPr txBox="1"/>
          </xdr:nvSpPr>
          <xdr:spPr>
            <a:xfrm>
              <a:off x="8598610" y="5154795"/>
              <a:ext cx="644870" cy="3124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EA6C8A2B-B12E-4B3A-8B17-7175F2AA7BD0}" type="TxLink">
                <a:rPr lang="en-US" sz="1400" b="1" i="0" u="none" strike="noStrike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Calibri"/>
                </a:rPr>
                <a:pPr marL="0" indent="0" algn="ctr"/>
                <a:t>38%</a:t>
              </a:fld>
              <a:endParaRPr lang="pt-BR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endParaRPr>
            </a:p>
          </xdr:txBody>
        </xdr:sp>
        <xdr:sp macro="" textlink="tabDin!AO8">
          <xdr:nvSpPr>
            <xdr:cNvPr id="112" name="CaixaDeTexto 111">
              <a:extLst>
                <a:ext uri="{FF2B5EF4-FFF2-40B4-BE49-F238E27FC236}">
                  <a16:creationId xmlns:a16="http://schemas.microsoft.com/office/drawing/2014/main" id="{48FD4BA1-5617-4B54-97D9-224B88329FC5}"/>
                </a:ext>
              </a:extLst>
            </xdr:cNvPr>
            <xdr:cNvSpPr txBox="1"/>
          </xdr:nvSpPr>
          <xdr:spPr>
            <a:xfrm>
              <a:off x="10129666" y="5154795"/>
              <a:ext cx="644164" cy="3124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A6EDC1FD-3261-48D5-AD86-F339F5E0BCA9}" type="TxLink">
                <a:rPr lang="en-US" sz="1400" b="1" i="0" u="none" strike="noStrike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Calibri"/>
                </a:rPr>
                <a:pPr marL="0" indent="0" algn="ctr"/>
                <a:t>24%</a:t>
              </a:fld>
              <a:endParaRPr lang="pt-BR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endParaRPr>
            </a:p>
          </xdr:txBody>
        </xdr:sp>
        <xdr:sp macro="" textlink="">
          <xdr:nvSpPr>
            <xdr:cNvPr id="132" name="Fluxograma: Conector 131">
              <a:extLst>
                <a:ext uri="{FF2B5EF4-FFF2-40B4-BE49-F238E27FC236}">
                  <a16:creationId xmlns:a16="http://schemas.microsoft.com/office/drawing/2014/main" id="{01D46617-2E39-48C7-AFE3-646ED7A81225}"/>
                </a:ext>
              </a:extLst>
            </xdr:cNvPr>
            <xdr:cNvSpPr/>
          </xdr:nvSpPr>
          <xdr:spPr>
            <a:xfrm>
              <a:off x="9367861" y="5700727"/>
              <a:ext cx="40901" cy="39969"/>
            </a:xfrm>
            <a:prstGeom prst="flowChartConnector">
              <a:avLst/>
            </a:prstGeom>
            <a:grp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131235</xdr:colOff>
      <xdr:row>3</xdr:row>
      <xdr:rowOff>103011</xdr:rowOff>
    </xdr:from>
    <xdr:to>
      <xdr:col>22</xdr:col>
      <xdr:colOff>119940</xdr:colOff>
      <xdr:row>10</xdr:row>
      <xdr:rowOff>69149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2168152-1FE6-4E14-860C-3964690E10D0}"/>
            </a:ext>
          </a:extLst>
        </xdr:cNvPr>
        <xdr:cNvGrpSpPr/>
      </xdr:nvGrpSpPr>
      <xdr:grpSpPr>
        <a:xfrm>
          <a:off x="1909235" y="541738"/>
          <a:ext cx="1766705" cy="989835"/>
          <a:chOff x="1916291" y="547511"/>
          <a:chExt cx="1773760" cy="1003305"/>
        </a:xfrm>
        <a:solidFill>
          <a:schemeClr val="tx1">
            <a:lumMod val="95000"/>
            <a:lumOff val="5000"/>
          </a:schemeClr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74" name="Retângulo 73">
            <a:extLst>
              <a:ext uri="{FF2B5EF4-FFF2-40B4-BE49-F238E27FC236}">
                <a16:creationId xmlns:a16="http://schemas.microsoft.com/office/drawing/2014/main" id="{6A30262A-0E66-4AF9-85A0-1A88A9673CFA}"/>
              </a:ext>
            </a:extLst>
          </xdr:cNvPr>
          <xdr:cNvSpPr/>
        </xdr:nvSpPr>
        <xdr:spPr>
          <a:xfrm>
            <a:off x="1916291" y="547511"/>
            <a:ext cx="1766710" cy="994835"/>
          </a:xfrm>
          <a:prstGeom prst="rect">
            <a:avLst/>
          </a:prstGeom>
          <a:grpFill/>
          <a:ln w="3175"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117" name="CaixaDeTexto 116">
            <a:extLst>
              <a:ext uri="{FF2B5EF4-FFF2-40B4-BE49-F238E27FC236}">
                <a16:creationId xmlns:a16="http://schemas.microsoft.com/office/drawing/2014/main" id="{F2A93B91-B24C-4BA2-B027-D6BB059CB4F8}"/>
              </a:ext>
            </a:extLst>
          </xdr:cNvPr>
          <xdr:cNvSpPr txBox="1"/>
        </xdr:nvSpPr>
        <xdr:spPr>
          <a:xfrm>
            <a:off x="2350159" y="633301"/>
            <a:ext cx="1339892" cy="45366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Período</a:t>
            </a:r>
            <a:r>
              <a:rPr lang="pt-BR" sz="1000" b="0" baseline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 execução</a:t>
            </a:r>
            <a:endPara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tabDin!AR3">
        <xdr:nvSpPr>
          <xdr:cNvPr id="120" name="CaixaDeTexto 119">
            <a:extLst>
              <a:ext uri="{FF2B5EF4-FFF2-40B4-BE49-F238E27FC236}">
                <a16:creationId xmlns:a16="http://schemas.microsoft.com/office/drawing/2014/main" id="{30317527-ED72-40C4-A84B-BF8383BD076F}"/>
              </a:ext>
            </a:extLst>
          </xdr:cNvPr>
          <xdr:cNvSpPr txBox="1"/>
        </xdr:nvSpPr>
        <xdr:spPr>
          <a:xfrm>
            <a:off x="2004438" y="1019536"/>
            <a:ext cx="649111" cy="31961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8996108-E982-454A-B615-B571A2365754}" type="TxLink">
              <a:rPr lang="en-US" sz="1000" b="1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nov-17</a:t>
            </a:fld>
            <a:endParaRPr lang="pt-BR" sz="1000" b="1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F86527D0-472B-489F-BCC4-673B2C384976}"/>
              </a:ext>
            </a:extLst>
          </xdr:cNvPr>
          <xdr:cNvSpPr txBox="1"/>
        </xdr:nvSpPr>
        <xdr:spPr>
          <a:xfrm>
            <a:off x="2586518" y="1133135"/>
            <a:ext cx="426155" cy="235654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até</a:t>
            </a:r>
          </a:p>
        </xdr:txBody>
      </xdr:sp>
      <xdr:sp macro="" textlink="tabDin!AS3">
        <xdr:nvSpPr>
          <xdr:cNvPr id="122" name="CaixaDeTexto 121">
            <a:extLst>
              <a:ext uri="{FF2B5EF4-FFF2-40B4-BE49-F238E27FC236}">
                <a16:creationId xmlns:a16="http://schemas.microsoft.com/office/drawing/2014/main" id="{B070AE92-0A9F-4C4B-8CDA-2A13789488A3}"/>
              </a:ext>
            </a:extLst>
          </xdr:cNvPr>
          <xdr:cNvSpPr txBox="1"/>
        </xdr:nvSpPr>
        <xdr:spPr>
          <a:xfrm>
            <a:off x="2954105" y="1016715"/>
            <a:ext cx="655461" cy="31961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338E6AE-F8FF-48AD-B867-5804AA7D4D65}" type="TxLink">
              <a:rPr lang="en-US" sz="1000" b="1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jun-18</a:t>
            </a:fld>
            <a:endParaRPr lang="pt-BR" sz="1000" b="1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pic>
        <xdr:nvPicPr>
          <xdr:cNvPr id="129" name="Gráfico 128" descr="Cronômetro">
            <a:extLst>
              <a:ext uri="{FF2B5EF4-FFF2-40B4-BE49-F238E27FC236}">
                <a16:creationId xmlns:a16="http://schemas.microsoft.com/office/drawing/2014/main" id="{C666A161-BB16-4197-BA3D-9E4ECAEAF2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997376" y="627942"/>
            <a:ext cx="366350" cy="360000"/>
          </a:xfrm>
          <a:prstGeom prst="rect">
            <a:avLst/>
          </a:prstGeom>
          <a:grpFill/>
        </xdr:spPr>
      </xdr:pic>
      <xdr:sp macro="" textlink="tabDin!AT3">
        <xdr:nvSpPr>
          <xdr:cNvPr id="76" name="CaixaDeTexto 75">
            <a:extLst>
              <a:ext uri="{FF2B5EF4-FFF2-40B4-BE49-F238E27FC236}">
                <a16:creationId xmlns:a16="http://schemas.microsoft.com/office/drawing/2014/main" id="{6C9B60B6-9068-4C0C-8D59-8684DE80FF09}"/>
              </a:ext>
            </a:extLst>
          </xdr:cNvPr>
          <xdr:cNvSpPr txBox="1"/>
        </xdr:nvSpPr>
        <xdr:spPr>
          <a:xfrm>
            <a:off x="1997383" y="1231200"/>
            <a:ext cx="649111" cy="31961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D7C56A54-023E-463F-80D2-9D9F613B43DA}" type="TxLink">
              <a:rPr lang="en-US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1º sem</a:t>
            </a:fld>
            <a:endPara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tabDin!AU3">
        <xdr:nvSpPr>
          <xdr:cNvPr id="77" name="CaixaDeTexto 76">
            <a:extLst>
              <a:ext uri="{FF2B5EF4-FFF2-40B4-BE49-F238E27FC236}">
                <a16:creationId xmlns:a16="http://schemas.microsoft.com/office/drawing/2014/main" id="{208D91D2-5134-47F2-B611-110DB0610D00}"/>
              </a:ext>
            </a:extLst>
          </xdr:cNvPr>
          <xdr:cNvSpPr txBox="1"/>
        </xdr:nvSpPr>
        <xdr:spPr>
          <a:xfrm>
            <a:off x="2956938" y="1231199"/>
            <a:ext cx="649111" cy="31961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50F710BB-F386-43E7-8845-E794813C5346}" type="TxLink">
              <a:rPr lang="en-US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2º sem</a:t>
            </a:fld>
            <a:endPara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134055</xdr:colOff>
      <xdr:row>11</xdr:row>
      <xdr:rowOff>84666</xdr:rowOff>
    </xdr:from>
    <xdr:to>
      <xdr:col>10</xdr:col>
      <xdr:colOff>151303</xdr:colOff>
      <xdr:row>15</xdr:row>
      <xdr:rowOff>107599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8" name="semestre">
              <a:extLst>
                <a:ext uri="{FF2B5EF4-FFF2-40B4-BE49-F238E27FC236}">
                  <a16:creationId xmlns:a16="http://schemas.microsoft.com/office/drawing/2014/main" id="{290838BD-E613-4B6D-97BC-E8D25F3CA5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55" y="1714499"/>
              <a:ext cx="1640026" cy="61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134056</xdr:colOff>
      <xdr:row>39</xdr:row>
      <xdr:rowOff>119946</xdr:rowOff>
    </xdr:from>
    <xdr:to>
      <xdr:col>40</xdr:col>
      <xdr:colOff>7056</xdr:colOff>
      <xdr:row>47</xdr:row>
      <xdr:rowOff>91723</xdr:rowOff>
    </xdr:to>
    <xdr:grpSp>
      <xdr:nvGrpSpPr>
        <xdr:cNvPr id="89" name="Agrupar 88">
          <a:extLst>
            <a:ext uri="{FF2B5EF4-FFF2-40B4-BE49-F238E27FC236}">
              <a16:creationId xmlns:a16="http://schemas.microsoft.com/office/drawing/2014/main" id="{4F372BD8-19AB-482D-972D-DFD3F6BB176B}"/>
            </a:ext>
          </a:extLst>
        </xdr:cNvPr>
        <xdr:cNvGrpSpPr/>
      </xdr:nvGrpSpPr>
      <xdr:grpSpPr>
        <a:xfrm>
          <a:off x="1912056" y="5823401"/>
          <a:ext cx="4560455" cy="1141716"/>
          <a:chOff x="1919112" y="4642557"/>
          <a:chExt cx="4579055" cy="1157110"/>
        </a:xfrm>
        <a:noFill/>
      </xdr:grpSpPr>
      <xdr:sp macro="" textlink="">
        <xdr:nvSpPr>
          <xdr:cNvPr id="90" name="Retângulo 89">
            <a:extLst>
              <a:ext uri="{FF2B5EF4-FFF2-40B4-BE49-F238E27FC236}">
                <a16:creationId xmlns:a16="http://schemas.microsoft.com/office/drawing/2014/main" id="{520F031F-B758-47C9-8382-ED8C0F8007DC}"/>
              </a:ext>
            </a:extLst>
          </xdr:cNvPr>
          <xdr:cNvSpPr/>
        </xdr:nvSpPr>
        <xdr:spPr>
          <a:xfrm>
            <a:off x="1919112" y="4642557"/>
            <a:ext cx="4579055" cy="1157110"/>
          </a:xfrm>
          <a:prstGeom prst="rect">
            <a:avLst/>
          </a:prstGeom>
          <a:grpFill/>
          <a:ln w="317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pic>
        <xdr:nvPicPr>
          <xdr:cNvPr id="95" name="Gráfico 94" descr="Ampulheta">
            <a:extLst>
              <a:ext uri="{FF2B5EF4-FFF2-40B4-BE49-F238E27FC236}">
                <a16:creationId xmlns:a16="http://schemas.microsoft.com/office/drawing/2014/main" id="{047A6F11-E41F-43C2-AFEF-808BE3459C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2031999" y="5030616"/>
            <a:ext cx="288000" cy="288000"/>
          </a:xfrm>
          <a:prstGeom prst="rect">
            <a:avLst/>
          </a:prstGeom>
          <a:grpFill/>
          <a:effectLst>
            <a:glow rad="63500">
              <a:schemeClr val="accent6">
                <a:satMod val="175000"/>
                <a:alpha val="40000"/>
              </a:schemeClr>
            </a:glow>
          </a:effectLst>
        </xdr:spPr>
      </xdr:pic>
      <xdr:pic>
        <xdr:nvPicPr>
          <xdr:cNvPr id="102" name="Gráfico 101" descr="Filtro">
            <a:extLst>
              <a:ext uri="{FF2B5EF4-FFF2-40B4-BE49-F238E27FC236}">
                <a16:creationId xmlns:a16="http://schemas.microsoft.com/office/drawing/2014/main" id="{A92DEED8-0764-4D04-B36A-A06E52580C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5024262" y="5030616"/>
            <a:ext cx="349541" cy="342000"/>
          </a:xfrm>
          <a:prstGeom prst="rect">
            <a:avLst/>
          </a:prstGeom>
          <a:grpFill/>
          <a:effectLst>
            <a:glow rad="63500">
              <a:schemeClr val="accent6">
                <a:satMod val="175000"/>
                <a:alpha val="40000"/>
              </a:schemeClr>
            </a:glow>
          </a:effectLst>
        </xdr:spPr>
      </xdr:pic>
      <xdr:sp macro="" textlink="tabDin!C27">
        <xdr:nvSpPr>
          <xdr:cNvPr id="103" name="CaixaDeTexto 102">
            <a:extLst>
              <a:ext uri="{FF2B5EF4-FFF2-40B4-BE49-F238E27FC236}">
                <a16:creationId xmlns:a16="http://schemas.microsoft.com/office/drawing/2014/main" id="{67A2D92B-D4EB-496D-90BC-D5FA53698DBE}"/>
              </a:ext>
            </a:extLst>
          </xdr:cNvPr>
          <xdr:cNvSpPr txBox="1"/>
        </xdr:nvSpPr>
        <xdr:spPr>
          <a:xfrm>
            <a:off x="5391161" y="5284621"/>
            <a:ext cx="987777" cy="312458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1C22C47E-3731-4B4A-A547-D25CB65913DC}" type="TxLink">
              <a:rPr lang="en-US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/>
              <a:t>R$ 4.676</a:t>
            </a:fld>
            <a:endParaRPr lang="pt-BR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cxnSp macro="">
        <xdr:nvCxnSpPr>
          <xdr:cNvPr id="104" name="Conector reto 103">
            <a:extLst>
              <a:ext uri="{FF2B5EF4-FFF2-40B4-BE49-F238E27FC236}">
                <a16:creationId xmlns:a16="http://schemas.microsoft.com/office/drawing/2014/main" id="{947FEF32-207F-49B6-B8E2-395357C6039C}"/>
              </a:ext>
            </a:extLst>
          </xdr:cNvPr>
          <xdr:cNvCxnSpPr/>
        </xdr:nvCxnSpPr>
        <xdr:spPr>
          <a:xfrm>
            <a:off x="4946646" y="4755444"/>
            <a:ext cx="0" cy="945445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id="{F020F3BA-89DA-4D82-A5A3-3F5C4419E02D}"/>
              </a:ext>
            </a:extLst>
          </xdr:cNvPr>
          <xdr:cNvSpPr txBox="1"/>
        </xdr:nvSpPr>
        <xdr:spPr>
          <a:xfrm>
            <a:off x="5171729" y="4656666"/>
            <a:ext cx="1037166" cy="25399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Juros internos</a:t>
            </a:r>
          </a:p>
        </xdr:txBody>
      </xdr:sp>
      <xdr:sp macro="" textlink="tabDin!C23">
        <xdr:nvSpPr>
          <xdr:cNvPr id="106" name="CaixaDeTexto 105">
            <a:extLst>
              <a:ext uri="{FF2B5EF4-FFF2-40B4-BE49-F238E27FC236}">
                <a16:creationId xmlns:a16="http://schemas.microsoft.com/office/drawing/2014/main" id="{86541BAA-0414-47B2-BC04-56289FBDF4B0}"/>
              </a:ext>
            </a:extLst>
          </xdr:cNvPr>
          <xdr:cNvSpPr txBox="1"/>
        </xdr:nvSpPr>
        <xdr:spPr>
          <a:xfrm>
            <a:off x="3895376" y="5281797"/>
            <a:ext cx="916513" cy="31961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376AEB0D-CA25-472D-A798-BACA09E50A5C}" type="TxLink">
              <a:rPr lang="en-US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/>
              <a:t>R$ 2.087</a:t>
            </a:fld>
            <a:endParaRPr lang="pt-BR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pic>
        <xdr:nvPicPr>
          <xdr:cNvPr id="107" name="Gráfico 106" descr="Contrato">
            <a:extLst>
              <a:ext uri="{FF2B5EF4-FFF2-40B4-BE49-F238E27FC236}">
                <a16:creationId xmlns:a16="http://schemas.microsoft.com/office/drawing/2014/main" id="{C83E45CC-7192-42F1-86AB-1E1F575CEC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3496737" y="5034848"/>
            <a:ext cx="308372" cy="306000"/>
          </a:xfrm>
          <a:prstGeom prst="rect">
            <a:avLst/>
          </a:prstGeom>
          <a:noFill/>
          <a:effectLst>
            <a:glow rad="63500">
              <a:schemeClr val="accent6">
                <a:satMod val="175000"/>
                <a:alpha val="40000"/>
              </a:schemeClr>
            </a:glow>
          </a:effectLst>
        </xdr:spPr>
      </xdr:pic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0BAE69C8-229D-4E34-B9F9-1106F0E94420}"/>
              </a:ext>
            </a:extLst>
          </xdr:cNvPr>
          <xdr:cNvSpPr txBox="1"/>
        </xdr:nvSpPr>
        <xdr:spPr>
          <a:xfrm>
            <a:off x="3866451" y="4656666"/>
            <a:ext cx="599720" cy="23988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Multa</a:t>
            </a:r>
          </a:p>
        </xdr:txBody>
      </xdr:sp>
      <xdr:sp macro="" textlink="">
        <xdr:nvSpPr>
          <xdr:cNvPr id="109" name="CaixaDeTexto 108">
            <a:extLst>
              <a:ext uri="{FF2B5EF4-FFF2-40B4-BE49-F238E27FC236}">
                <a16:creationId xmlns:a16="http://schemas.microsoft.com/office/drawing/2014/main" id="{0A43A8E8-1707-47CD-9093-22D65E690764}"/>
              </a:ext>
            </a:extLst>
          </xdr:cNvPr>
          <xdr:cNvSpPr txBox="1"/>
        </xdr:nvSpPr>
        <xdr:spPr>
          <a:xfrm>
            <a:off x="1940278" y="4656666"/>
            <a:ext cx="1439334" cy="19755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Média</a:t>
            </a:r>
            <a:r>
              <a:rPr lang="pt-BR" sz="1000" b="0" baseline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 recebimento</a:t>
            </a:r>
            <a:endParaRPr lang="pt-BR" sz="1000" b="0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cxnSp macro="">
        <xdr:nvCxnSpPr>
          <xdr:cNvPr id="118" name="Conector reto 117">
            <a:extLst>
              <a:ext uri="{FF2B5EF4-FFF2-40B4-BE49-F238E27FC236}">
                <a16:creationId xmlns:a16="http://schemas.microsoft.com/office/drawing/2014/main" id="{2320A470-1112-4025-8B7A-73D812F58F69}"/>
              </a:ext>
            </a:extLst>
          </xdr:cNvPr>
          <xdr:cNvCxnSpPr/>
        </xdr:nvCxnSpPr>
        <xdr:spPr>
          <a:xfrm>
            <a:off x="3394422" y="4755443"/>
            <a:ext cx="0" cy="959557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tabDin!A11">
        <xdr:nvSpPr>
          <xdr:cNvPr id="119" name="CaixaDeTexto 118">
            <a:extLst>
              <a:ext uri="{FF2B5EF4-FFF2-40B4-BE49-F238E27FC236}">
                <a16:creationId xmlns:a16="http://schemas.microsoft.com/office/drawing/2014/main" id="{4CFCD59C-38A9-49E2-B7E7-75EFC022E59E}"/>
              </a:ext>
            </a:extLst>
          </xdr:cNvPr>
          <xdr:cNvSpPr txBox="1"/>
        </xdr:nvSpPr>
        <xdr:spPr>
          <a:xfrm>
            <a:off x="2456034" y="5284620"/>
            <a:ext cx="395110" cy="312458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2937D5E3-73DE-43DE-B697-E023F13D7AB2}" type="TxLink">
              <a:rPr lang="en-US" sz="1400" b="1" i="0" u="none" strike="noStrike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/>
              <a:t>31</a:t>
            </a:fld>
            <a:endParaRPr lang="pt-BR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123" name="CaixaDeTexto 122">
            <a:extLst>
              <a:ext uri="{FF2B5EF4-FFF2-40B4-BE49-F238E27FC236}">
                <a16:creationId xmlns:a16="http://schemas.microsoft.com/office/drawing/2014/main" id="{3B32A93A-228F-4B15-A2B5-72EEE19C9602}"/>
              </a:ext>
            </a:extLst>
          </xdr:cNvPr>
          <xdr:cNvSpPr txBox="1"/>
        </xdr:nvSpPr>
        <xdr:spPr>
          <a:xfrm>
            <a:off x="2737554" y="5319896"/>
            <a:ext cx="599720" cy="23988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+mn-cs"/>
              </a:rPr>
              <a:t>(dias)</a:t>
            </a:r>
          </a:p>
        </xdr:txBody>
      </xdr:sp>
    </xdr:grpSp>
    <xdr:clientData/>
  </xdr:twoCellAnchor>
  <xdr:twoCellAnchor>
    <xdr:from>
      <xdr:col>13</xdr:col>
      <xdr:colOff>710</xdr:colOff>
      <xdr:row>32</xdr:row>
      <xdr:rowOff>70556</xdr:rowOff>
    </xdr:from>
    <xdr:to>
      <xdr:col>19</xdr:col>
      <xdr:colOff>107043</xdr:colOff>
      <xdr:row>39</xdr:row>
      <xdr:rowOff>41389</xdr:rowOff>
    </xdr:to>
    <xdr:graphicFrame macro="">
      <xdr:nvGraphicFramePr>
        <xdr:cNvPr id="137" name="Gráfico 136">
          <a:extLst>
            <a:ext uri="{FF2B5EF4-FFF2-40B4-BE49-F238E27FC236}">
              <a16:creationId xmlns:a16="http://schemas.microsoft.com/office/drawing/2014/main" id="{9A30D57C-5030-458F-BE3C-72DDCDEF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93846</xdr:colOff>
      <xdr:row>34</xdr:row>
      <xdr:rowOff>132650</xdr:rowOff>
    </xdr:from>
    <xdr:to>
      <xdr:col>18</xdr:col>
      <xdr:colOff>75492</xdr:colOff>
      <xdr:row>37</xdr:row>
      <xdr:rowOff>4842</xdr:rowOff>
    </xdr:to>
    <xdr:sp macro="" textlink="tabDin!AP13">
      <xdr:nvSpPr>
        <xdr:cNvPr id="142" name="CaixaDeTexto 141">
          <a:extLst>
            <a:ext uri="{FF2B5EF4-FFF2-40B4-BE49-F238E27FC236}">
              <a16:creationId xmlns:a16="http://schemas.microsoft.com/office/drawing/2014/main" id="{7310A40A-7AE8-4EC9-8FE5-6819AAF6D59D}"/>
            </a:ext>
          </a:extLst>
        </xdr:cNvPr>
        <xdr:cNvSpPr txBox="1"/>
      </xdr:nvSpPr>
      <xdr:spPr>
        <a:xfrm>
          <a:off x="2345979" y="5026383"/>
          <a:ext cx="625113" cy="303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CE429EB-58D9-43AC-BF51-DE2B8A22356B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ctr"/>
            <a:t>49%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25</xdr:col>
      <xdr:colOff>71266</xdr:colOff>
      <xdr:row>36</xdr:row>
      <xdr:rowOff>4241</xdr:rowOff>
    </xdr:from>
    <xdr:to>
      <xdr:col>29</xdr:col>
      <xdr:colOff>49389</xdr:colOff>
      <xdr:row>38</xdr:row>
      <xdr:rowOff>27524</xdr:rowOff>
    </xdr:to>
    <xdr:sp macro="" textlink="tabDin!AW3">
      <xdr:nvSpPr>
        <xdr:cNvPr id="150" name="CaixaDeTexto 149">
          <a:extLst>
            <a:ext uri="{FF2B5EF4-FFF2-40B4-BE49-F238E27FC236}">
              <a16:creationId xmlns:a16="http://schemas.microsoft.com/office/drawing/2014/main" id="{DBEC4439-29E2-4ED3-A754-DEDC5493CF5A}"/>
            </a:ext>
          </a:extLst>
        </xdr:cNvPr>
        <xdr:cNvSpPr txBox="1"/>
      </xdr:nvSpPr>
      <xdr:spPr>
        <a:xfrm>
          <a:off x="4128210" y="5338241"/>
          <a:ext cx="627235" cy="319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B93D280-1000-4B29-82BC-62BCC0BDDA26}" type="TxLink">
            <a:rPr lang="en-US" sz="1100" b="0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jan-18</a:t>
          </a:fld>
          <a:endParaRPr lang="pt-BR" sz="1100" b="0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21</xdr:col>
      <xdr:colOff>105138</xdr:colOff>
      <xdr:row>36</xdr:row>
      <xdr:rowOff>96899</xdr:rowOff>
    </xdr:from>
    <xdr:to>
      <xdr:col>23</xdr:col>
      <xdr:colOff>60541</xdr:colOff>
      <xdr:row>38</xdr:row>
      <xdr:rowOff>88566</xdr:rowOff>
    </xdr:to>
    <xdr:pic>
      <xdr:nvPicPr>
        <xdr:cNvPr id="152" name="Gráfico 151" descr="Dinheiro">
          <a:extLst>
            <a:ext uri="{FF2B5EF4-FFF2-40B4-BE49-F238E27FC236}">
              <a16:creationId xmlns:a16="http://schemas.microsoft.com/office/drawing/2014/main" id="{AFE944F6-8D15-4069-A646-0F0ADE3C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2971" y="5430899"/>
          <a:ext cx="279959" cy="288000"/>
        </a:xfrm>
        <a:prstGeom prst="rect">
          <a:avLst/>
        </a:prstGeom>
      </xdr:spPr>
    </xdr:pic>
    <xdr:clientData/>
  </xdr:twoCellAnchor>
  <xdr:twoCellAnchor>
    <xdr:from>
      <xdr:col>32</xdr:col>
      <xdr:colOff>57156</xdr:colOff>
      <xdr:row>34</xdr:row>
      <xdr:rowOff>28230</xdr:rowOff>
    </xdr:from>
    <xdr:to>
      <xdr:col>39</xdr:col>
      <xdr:colOff>28225</xdr:colOff>
      <xdr:row>36</xdr:row>
      <xdr:rowOff>47279</xdr:rowOff>
    </xdr:to>
    <xdr:sp macro="" textlink="tabDin!BA3">
      <xdr:nvSpPr>
        <xdr:cNvPr id="153" name="CaixaDeTexto 152">
          <a:extLst>
            <a:ext uri="{FF2B5EF4-FFF2-40B4-BE49-F238E27FC236}">
              <a16:creationId xmlns:a16="http://schemas.microsoft.com/office/drawing/2014/main" id="{8B2A7E23-6078-404C-8320-520DC5909862}"/>
            </a:ext>
          </a:extLst>
        </xdr:cNvPr>
        <xdr:cNvSpPr txBox="1"/>
      </xdr:nvSpPr>
      <xdr:spPr>
        <a:xfrm>
          <a:off x="5204889" y="4921963"/>
          <a:ext cx="1097136" cy="306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9B019B8-CC04-40C3-9395-9CF1CDC1C50B}" type="TxLink">
            <a:rPr lang="en-US" sz="1400" b="1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R$ 114.517</a:t>
          </a:fld>
          <a:endParaRPr lang="pt-BR" sz="1400" b="1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35</xdr:col>
      <xdr:colOff>14111</xdr:colOff>
      <xdr:row>36</xdr:row>
      <xdr:rowOff>4241</xdr:rowOff>
    </xdr:from>
    <xdr:to>
      <xdr:col>39</xdr:col>
      <xdr:colOff>7057</xdr:colOff>
      <xdr:row>38</xdr:row>
      <xdr:rowOff>27524</xdr:rowOff>
    </xdr:to>
    <xdr:sp macro="" textlink="tabDin!AZ3">
      <xdr:nvSpPr>
        <xdr:cNvPr id="154" name="CaixaDeTexto 153">
          <a:extLst>
            <a:ext uri="{FF2B5EF4-FFF2-40B4-BE49-F238E27FC236}">
              <a16:creationId xmlns:a16="http://schemas.microsoft.com/office/drawing/2014/main" id="{549A84AB-737F-4E8D-8E09-4CD9B6EDD468}"/>
            </a:ext>
          </a:extLst>
        </xdr:cNvPr>
        <xdr:cNvSpPr txBox="1"/>
      </xdr:nvSpPr>
      <xdr:spPr>
        <a:xfrm>
          <a:off x="5693833" y="5338241"/>
          <a:ext cx="642057" cy="319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065B1179-223C-4B0E-9D03-08DA9C0ED9FB}" type="TxLink">
            <a:rPr lang="en-US" sz="1100" b="0" i="0" u="none" strike="noStrike">
              <a:solidFill>
                <a:schemeClr val="bg1"/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nov-17</a:t>
          </a:fld>
          <a:endParaRPr lang="pt-BR" sz="1100" b="0" i="0" u="none" strike="noStrike">
            <a:solidFill>
              <a:schemeClr val="bg1"/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51</xdr:col>
      <xdr:colOff>61581</xdr:colOff>
      <xdr:row>29</xdr:row>
      <xdr:rowOff>148005</xdr:rowOff>
    </xdr:from>
    <xdr:to>
      <xdr:col>51</xdr:col>
      <xdr:colOff>102482</xdr:colOff>
      <xdr:row>30</xdr:row>
      <xdr:rowOff>39807</xdr:rowOff>
    </xdr:to>
    <xdr:sp macro="" textlink="">
      <xdr:nvSpPr>
        <xdr:cNvPr id="160" name="Fluxograma: Conector 159">
          <a:extLst>
            <a:ext uri="{FF2B5EF4-FFF2-40B4-BE49-F238E27FC236}">
              <a16:creationId xmlns:a16="http://schemas.microsoft.com/office/drawing/2014/main" id="{0C0A1429-542E-451A-839D-F096019D3427}"/>
            </a:ext>
          </a:extLst>
        </xdr:cNvPr>
        <xdr:cNvSpPr/>
      </xdr:nvSpPr>
      <xdr:spPr>
        <a:xfrm>
          <a:off x="8337748" y="4444838"/>
          <a:ext cx="40901" cy="39969"/>
        </a:xfrm>
        <a:prstGeom prst="flowChartConnector">
          <a:avLst/>
        </a:prstGeom>
        <a:solidFill>
          <a:schemeClr val="accent2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101600</xdr:colOff>
      <xdr:row>2</xdr:row>
      <xdr:rowOff>50801</xdr:rowOff>
    </xdr:from>
    <xdr:to>
      <xdr:col>9</xdr:col>
      <xdr:colOff>13787</xdr:colOff>
      <xdr:row>7</xdr:row>
      <xdr:rowOff>135467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23333" y="338668"/>
          <a:ext cx="1038254" cy="804332"/>
        </a:xfrm>
        <a:prstGeom prst="rect">
          <a:avLst/>
        </a:prstGeom>
        <a:ln>
          <a:noFill/>
        </a:ln>
        <a:effectLst>
          <a:glow rad="101600">
            <a:schemeClr val="bg1">
              <a:alpha val="60000"/>
            </a:schemeClr>
          </a:glow>
          <a:outerShdw blurRad="152400" dist="317500" dir="5400000" sx="90000" sy="-19000" rotWithShape="0">
            <a:prstClr val="black">
              <a:alpha val="15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31</xdr:row>
      <xdr:rowOff>70554</xdr:rowOff>
    </xdr:from>
    <xdr:to>
      <xdr:col>69</xdr:col>
      <xdr:colOff>28222</xdr:colOff>
      <xdr:row>41</xdr:row>
      <xdr:rowOff>63500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1021075-37FE-4C28-B4DB-89DEB6CCD439}"/>
            </a:ext>
          </a:extLst>
        </xdr:cNvPr>
        <xdr:cNvSpPr/>
      </xdr:nvSpPr>
      <xdr:spPr>
        <a:xfrm>
          <a:off x="6653389" y="4663721"/>
          <a:ext cx="4572000" cy="1474612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98778</xdr:colOff>
      <xdr:row>3</xdr:row>
      <xdr:rowOff>105833</xdr:rowOff>
    </xdr:from>
    <xdr:to>
      <xdr:col>69</xdr:col>
      <xdr:colOff>28223</xdr:colOff>
      <xdr:row>10</xdr:row>
      <xdr:rowOff>63501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38E82C93-ADD9-4980-AF34-CAA79F6EB8E0}"/>
            </a:ext>
          </a:extLst>
        </xdr:cNvPr>
        <xdr:cNvSpPr/>
      </xdr:nvSpPr>
      <xdr:spPr>
        <a:xfrm>
          <a:off x="3750028" y="543983"/>
          <a:ext cx="7231945" cy="980018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141113</xdr:colOff>
      <xdr:row>11</xdr:row>
      <xdr:rowOff>77612</xdr:rowOff>
    </xdr:from>
    <xdr:to>
      <xdr:col>69</xdr:col>
      <xdr:colOff>66044</xdr:colOff>
      <xdr:row>31</xdr:row>
      <xdr:rowOff>52200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8D9F0FA-CF9A-4B73-895F-1B625708F43D}"/>
            </a:ext>
          </a:extLst>
        </xdr:cNvPr>
        <xdr:cNvGrpSpPr/>
      </xdr:nvGrpSpPr>
      <xdr:grpSpPr>
        <a:xfrm>
          <a:off x="6575780" y="1660879"/>
          <a:ext cx="4590064" cy="2853254"/>
          <a:chOff x="6632224" y="1707445"/>
          <a:chExt cx="4630987" cy="2937922"/>
        </a:xfrm>
      </xdr:grpSpPr>
      <xdr:sp macro="" textlink="">
        <xdr:nvSpPr>
          <xdr:cNvPr id="85" name="Retângulo 84">
            <a:extLst>
              <a:ext uri="{FF2B5EF4-FFF2-40B4-BE49-F238E27FC236}">
                <a16:creationId xmlns:a16="http://schemas.microsoft.com/office/drawing/2014/main" id="{77A250BC-812D-448A-B468-D16F2A012EF0}"/>
              </a:ext>
            </a:extLst>
          </xdr:cNvPr>
          <xdr:cNvSpPr/>
        </xdr:nvSpPr>
        <xdr:spPr>
          <a:xfrm>
            <a:off x="6646336" y="1707445"/>
            <a:ext cx="4578599" cy="2857500"/>
          </a:xfrm>
          <a:prstGeom prst="rect">
            <a:avLst/>
          </a:prstGeom>
          <a:solidFill>
            <a:schemeClr val="bg1"/>
          </a:solidFill>
          <a:ln w="317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A7229A37-F59D-434E-A758-4A9F009B0138}"/>
              </a:ext>
            </a:extLst>
          </xdr:cNvPr>
          <xdr:cNvSpPr txBox="1"/>
        </xdr:nvSpPr>
        <xdr:spPr>
          <a:xfrm>
            <a:off x="8414156" y="4358927"/>
            <a:ext cx="454677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</a:t>
            </a:r>
          </a:p>
        </xdr:txBody>
      </xdr:sp>
      <xdr:sp macro="" textlink="">
        <xdr:nvSpPr>
          <xdr:cNvPr id="58" name="CaixaDeTexto 57">
            <a:extLst>
              <a:ext uri="{FF2B5EF4-FFF2-40B4-BE49-F238E27FC236}">
                <a16:creationId xmlns:a16="http://schemas.microsoft.com/office/drawing/2014/main" id="{3C11868B-2F56-4C2F-9AF2-4CFD42613A7C}"/>
              </a:ext>
            </a:extLst>
          </xdr:cNvPr>
          <xdr:cNvSpPr txBox="1"/>
        </xdr:nvSpPr>
        <xdr:spPr>
          <a:xfrm>
            <a:off x="10144749" y="4358927"/>
            <a:ext cx="1118462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 não atingida</a:t>
            </a:r>
          </a:p>
        </xdr:txBody>
      </xdr:sp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DC90A362-76E6-4AF0-A7B4-451C8476ECD7}"/>
              </a:ext>
            </a:extLst>
          </xdr:cNvPr>
          <xdr:cNvSpPr txBox="1"/>
        </xdr:nvSpPr>
        <xdr:spPr>
          <a:xfrm>
            <a:off x="9047718" y="4358927"/>
            <a:ext cx="966662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 superada</a:t>
            </a:r>
          </a:p>
        </xdr:txBody>
      </xdr:sp>
      <xdr:cxnSp macro="">
        <xdr:nvCxnSpPr>
          <xdr:cNvPr id="60" name="Conector reto 59">
            <a:extLst>
              <a:ext uri="{FF2B5EF4-FFF2-40B4-BE49-F238E27FC236}">
                <a16:creationId xmlns:a16="http://schemas.microsoft.com/office/drawing/2014/main" id="{65623655-38C0-4E8B-B2C8-43C008224E38}"/>
              </a:ext>
            </a:extLst>
          </xdr:cNvPr>
          <xdr:cNvCxnSpPr/>
        </xdr:nvCxnSpPr>
        <xdr:spPr>
          <a:xfrm>
            <a:off x="8378967" y="4474422"/>
            <a:ext cx="88103" cy="0"/>
          </a:xfrm>
          <a:prstGeom prst="line">
            <a:avLst/>
          </a:prstGeom>
          <a:ln w="12700">
            <a:solidFill>
              <a:srgbClr val="00639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Fluxograma: Conector 60">
            <a:extLst>
              <a:ext uri="{FF2B5EF4-FFF2-40B4-BE49-F238E27FC236}">
                <a16:creationId xmlns:a16="http://schemas.microsoft.com/office/drawing/2014/main" id="{421FF22F-9B5E-47E7-9439-8966E3B32435}"/>
              </a:ext>
            </a:extLst>
          </xdr:cNvPr>
          <xdr:cNvSpPr/>
        </xdr:nvSpPr>
        <xdr:spPr>
          <a:xfrm>
            <a:off x="10148558" y="4458546"/>
            <a:ext cx="45478" cy="40128"/>
          </a:xfrm>
          <a:prstGeom prst="flowChartConnector">
            <a:avLst/>
          </a:prstGeom>
          <a:solidFill>
            <a:schemeClr val="accent4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7D0CD"/>
              </a:solidFill>
            </a:endParaRPr>
          </a:p>
        </xdr:txBody>
      </xdr:sp>
      <xdr:sp macro="" textlink="">
        <xdr:nvSpPr>
          <xdr:cNvPr id="62" name="Fluxograma: Conector 61">
            <a:extLst>
              <a:ext uri="{FF2B5EF4-FFF2-40B4-BE49-F238E27FC236}">
                <a16:creationId xmlns:a16="http://schemas.microsoft.com/office/drawing/2014/main" id="{49D416BE-9B7D-49CC-9E37-D9AA40F2C0E6}"/>
              </a:ext>
            </a:extLst>
          </xdr:cNvPr>
          <xdr:cNvSpPr/>
        </xdr:nvSpPr>
        <xdr:spPr>
          <a:xfrm>
            <a:off x="9044721" y="4458547"/>
            <a:ext cx="45478" cy="40128"/>
          </a:xfrm>
          <a:prstGeom prst="flowChartConnector">
            <a:avLst/>
          </a:prstGeom>
          <a:solidFill>
            <a:schemeClr val="bg1">
              <a:lumMod val="5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7D0CD"/>
              </a:solidFill>
            </a:endParaRPr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8034900C-DFC3-48B3-8650-85E01EBB54AA}"/>
              </a:ext>
            </a:extLst>
          </xdr:cNvPr>
          <xdr:cNvSpPr txBox="1"/>
        </xdr:nvSpPr>
        <xdr:spPr>
          <a:xfrm>
            <a:off x="6632224" y="1714501"/>
            <a:ext cx="3174998" cy="2398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indent="0" algn="l"/>
            <a:r>
              <a:rPr lang="pt-BR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Histórico nome do gráfico</a:t>
            </a:r>
          </a:p>
        </xdr:txBody>
      </xdr:sp>
    </xdr:grpSp>
    <xdr:clientData/>
  </xdr:twoCellAnchor>
  <xdr:twoCellAnchor editAs="absolute">
    <xdr:from>
      <xdr:col>27</xdr:col>
      <xdr:colOff>119944</xdr:colOff>
      <xdr:row>4</xdr:row>
      <xdr:rowOff>35993</xdr:rowOff>
    </xdr:from>
    <xdr:to>
      <xdr:col>35</xdr:col>
      <xdr:colOff>35296</xdr:colOff>
      <xdr:row>5</xdr:row>
      <xdr:rowOff>105835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94A1B039-2C0E-457F-9C58-2F0DF29CF4A7}"/>
            </a:ext>
          </a:extLst>
        </xdr:cNvPr>
        <xdr:cNvSpPr txBox="1"/>
      </xdr:nvSpPr>
      <xdr:spPr>
        <a:xfrm>
          <a:off x="4501444" y="628660"/>
          <a:ext cx="1213574" cy="2180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Nome da meta</a:t>
          </a:r>
        </a:p>
      </xdr:txBody>
    </xdr:sp>
    <xdr:clientData/>
  </xdr:twoCellAnchor>
  <xdr:twoCellAnchor editAs="absolute">
    <xdr:from>
      <xdr:col>29</xdr:col>
      <xdr:colOff>50110</xdr:colOff>
      <xdr:row>6</xdr:row>
      <xdr:rowOff>39516</xdr:rowOff>
    </xdr:from>
    <xdr:to>
      <xdr:col>37</xdr:col>
      <xdr:colOff>12010</xdr:colOff>
      <xdr:row>8</xdr:row>
      <xdr:rowOff>62799</xdr:rowOff>
    </xdr:to>
    <xdr:sp macro="" textlink="tabDin!A7">
      <xdr:nvSpPr>
        <xdr:cNvPr id="21" name="CaixaDeTexto 20">
          <a:extLst>
            <a:ext uri="{FF2B5EF4-FFF2-40B4-BE49-F238E27FC236}">
              <a16:creationId xmlns:a16="http://schemas.microsoft.com/office/drawing/2014/main" id="{8562F07D-7192-414E-8AC9-13DBB54E45BB}"/>
            </a:ext>
          </a:extLst>
        </xdr:cNvPr>
        <xdr:cNvSpPr txBox="1"/>
      </xdr:nvSpPr>
      <xdr:spPr>
        <a:xfrm>
          <a:off x="4756166" y="928516"/>
          <a:ext cx="1260122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B2E93A7C-1C0E-435B-8F7A-D2D9292E02A5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l"/>
            <a:t>R$ 702.739</a:t>
          </a:fld>
          <a:endParaRPr lang="pt-BR" sz="1400" b="1" i="0" u="none" strike="noStrike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42</xdr:col>
      <xdr:colOff>84667</xdr:colOff>
      <xdr:row>4</xdr:row>
      <xdr:rowOff>35990</xdr:rowOff>
    </xdr:from>
    <xdr:to>
      <xdr:col>52</xdr:col>
      <xdr:colOff>105866</xdr:colOff>
      <xdr:row>5</xdr:row>
      <xdr:rowOff>98779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CE700E76-5A50-4591-8AAA-C427909FA851}"/>
            </a:ext>
          </a:extLst>
        </xdr:cNvPr>
        <xdr:cNvSpPr txBox="1"/>
      </xdr:nvSpPr>
      <xdr:spPr>
        <a:xfrm>
          <a:off x="6900334" y="628657"/>
          <a:ext cx="1643976" cy="21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Nome da meta</a:t>
          </a:r>
        </a:p>
      </xdr:txBody>
    </xdr:sp>
    <xdr:clientData/>
  </xdr:twoCellAnchor>
  <xdr:twoCellAnchor editAs="absolute">
    <xdr:from>
      <xdr:col>25</xdr:col>
      <xdr:colOff>81831</xdr:colOff>
      <xdr:row>6</xdr:row>
      <xdr:rowOff>103007</xdr:rowOff>
    </xdr:from>
    <xdr:to>
      <xdr:col>27</xdr:col>
      <xdr:colOff>124331</xdr:colOff>
      <xdr:row>9</xdr:row>
      <xdr:rowOff>22740</xdr:rowOff>
    </xdr:to>
    <xdr:pic>
      <xdr:nvPicPr>
        <xdr:cNvPr id="25" name="Gráfico 24" descr="Medidor">
          <a:extLst>
            <a:ext uri="{FF2B5EF4-FFF2-40B4-BE49-F238E27FC236}">
              <a16:creationId xmlns:a16="http://schemas.microsoft.com/office/drawing/2014/main" id="{72868F3D-F2EF-4CCB-BE54-809BB5B6C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38775" y="992007"/>
          <a:ext cx="367056" cy="364233"/>
        </a:xfrm>
        <a:prstGeom prst="rect">
          <a:avLst/>
        </a:prstGeom>
      </xdr:spPr>
    </xdr:pic>
    <xdr:clientData/>
  </xdr:twoCellAnchor>
  <xdr:oneCellAnchor>
    <xdr:from>
      <xdr:col>53</xdr:col>
      <xdr:colOff>141111</xdr:colOff>
      <xdr:row>35</xdr:row>
      <xdr:rowOff>84667</xdr:rowOff>
    </xdr:from>
    <xdr:ext cx="184731" cy="264560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8889FD72-17F0-4FDD-A108-DCDF030320ED}"/>
            </a:ext>
          </a:extLst>
        </xdr:cNvPr>
        <xdr:cNvSpPr txBox="1"/>
      </xdr:nvSpPr>
      <xdr:spPr>
        <a:xfrm>
          <a:off x="8554861" y="51964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0</xdr:col>
      <xdr:colOff>129649</xdr:colOff>
      <xdr:row>21</xdr:row>
      <xdr:rowOff>109900</xdr:rowOff>
    </xdr:from>
    <xdr:to>
      <xdr:col>10</xdr:col>
      <xdr:colOff>146897</xdr:colOff>
      <xdr:row>31</xdr:row>
      <xdr:rowOff>32639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mês 2">
              <a:extLst>
                <a:ext uri="{FF2B5EF4-FFF2-40B4-BE49-F238E27FC236}">
                  <a16:creationId xmlns:a16="http://schemas.microsoft.com/office/drawing/2014/main" id="{06F97AA7-A544-4DB3-A965-97E4F9C429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649" y="3221400"/>
              <a:ext cx="1640026" cy="14044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129472</xdr:colOff>
      <xdr:row>16</xdr:row>
      <xdr:rowOff>93318</xdr:rowOff>
    </xdr:from>
    <xdr:to>
      <xdr:col>10</xdr:col>
      <xdr:colOff>146719</xdr:colOff>
      <xdr:row>20</xdr:row>
      <xdr:rowOff>117309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ano 2">
              <a:extLst>
                <a:ext uri="{FF2B5EF4-FFF2-40B4-BE49-F238E27FC236}">
                  <a16:creationId xmlns:a16="http://schemas.microsoft.com/office/drawing/2014/main" id="{05A29B43-935A-4090-BD5B-AE50C2C34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72" y="2463985"/>
              <a:ext cx="1640025" cy="616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20</xdr:col>
      <xdr:colOff>89278</xdr:colOff>
      <xdr:row>0</xdr:row>
      <xdr:rowOff>77612</xdr:rowOff>
    </xdr:from>
    <xdr:ext cx="6356485" cy="34394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2C07C5D2-5CBB-4D99-93FB-A5129DBCA0D9}"/>
            </a:ext>
          </a:extLst>
        </xdr:cNvPr>
        <xdr:cNvSpPr txBox="1"/>
      </xdr:nvSpPr>
      <xdr:spPr>
        <a:xfrm>
          <a:off x="3334834" y="77612"/>
          <a:ext cx="6356485" cy="3439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600" b="1" cap="none" spc="200" normalizeH="0">
              <a:solidFill>
                <a:srgbClr val="00639C"/>
              </a:solidFill>
              <a:latin typeface="Century Gothic" panose="020B0502020202020204" pitchFamily="34" charset="0"/>
            </a:rPr>
            <a:t>GERENCIAMENTO</a:t>
          </a:r>
          <a:r>
            <a:rPr lang="pt-BR" sz="1600" b="1" cap="none" spc="200" normalizeH="0" baseline="0">
              <a:solidFill>
                <a:srgbClr val="00639C"/>
              </a:solidFill>
              <a:latin typeface="Century Gothic" panose="020B0502020202020204" pitchFamily="34" charset="0"/>
            </a:rPr>
            <a:t> FINANCEIRO: </a:t>
          </a:r>
          <a:r>
            <a:rPr lang="pt-BR" sz="1600" b="0" cap="none" spc="200" normalizeH="0" baseline="0">
              <a:solidFill>
                <a:srgbClr val="00639C"/>
              </a:solidFill>
              <a:latin typeface="Century Gothic" panose="020B0502020202020204" pitchFamily="34" charset="0"/>
            </a:rPr>
            <a:t>Metas corporativas</a:t>
          </a:r>
          <a:endParaRPr lang="pt-BR" sz="1600" b="0" cap="none" spc="200" normalizeH="0">
            <a:solidFill>
              <a:srgbClr val="00639C"/>
            </a:solidFill>
            <a:latin typeface="Century Gothic" panose="020B0502020202020204" pitchFamily="34" charset="0"/>
          </a:endParaRPr>
        </a:p>
      </xdr:txBody>
    </xdr:sp>
    <xdr:clientData/>
  </xdr:oneCellAnchor>
  <xdr:twoCellAnchor>
    <xdr:from>
      <xdr:col>38</xdr:col>
      <xdr:colOff>96660</xdr:colOff>
      <xdr:row>4</xdr:row>
      <xdr:rowOff>56441</xdr:rowOff>
    </xdr:from>
    <xdr:to>
      <xdr:col>38</xdr:col>
      <xdr:colOff>96660</xdr:colOff>
      <xdr:row>9</xdr:row>
      <xdr:rowOff>98772</xdr:rowOff>
    </xdr:to>
    <xdr:cxnSp macro="">
      <xdr:nvCxnSpPr>
        <xdr:cNvPr id="55" name="Conector reto 54">
          <a:extLst>
            <a:ext uri="{FF2B5EF4-FFF2-40B4-BE49-F238E27FC236}">
              <a16:creationId xmlns:a16="http://schemas.microsoft.com/office/drawing/2014/main" id="{51C526AD-4B09-45B1-B349-44C231376691}"/>
            </a:ext>
          </a:extLst>
        </xdr:cNvPr>
        <xdr:cNvCxnSpPr/>
      </xdr:nvCxnSpPr>
      <xdr:spPr>
        <a:xfrm>
          <a:off x="6129160" y="640641"/>
          <a:ext cx="0" cy="772581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153099</xdr:colOff>
      <xdr:row>4</xdr:row>
      <xdr:rowOff>49387</xdr:rowOff>
    </xdr:from>
    <xdr:to>
      <xdr:col>53</xdr:col>
      <xdr:colOff>153099</xdr:colOff>
      <xdr:row>9</xdr:row>
      <xdr:rowOff>91718</xdr:rowOff>
    </xdr:to>
    <xdr:cxnSp macro="">
      <xdr:nvCxnSpPr>
        <xdr:cNvPr id="56" name="Conector reto 55">
          <a:extLst>
            <a:ext uri="{FF2B5EF4-FFF2-40B4-BE49-F238E27FC236}">
              <a16:creationId xmlns:a16="http://schemas.microsoft.com/office/drawing/2014/main" id="{0792F145-4186-495E-B72E-D710DB217B9B}"/>
            </a:ext>
          </a:extLst>
        </xdr:cNvPr>
        <xdr:cNvCxnSpPr/>
      </xdr:nvCxnSpPr>
      <xdr:spPr>
        <a:xfrm>
          <a:off x="8566849" y="633587"/>
          <a:ext cx="0" cy="772581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112887</xdr:colOff>
      <xdr:row>11</xdr:row>
      <xdr:rowOff>77612</xdr:rowOff>
    </xdr:from>
    <xdr:to>
      <xdr:col>40</xdr:col>
      <xdr:colOff>37823</xdr:colOff>
      <xdr:row>31</xdr:row>
      <xdr:rowOff>45145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213B35C-1FFD-4223-8358-6732854451EB}"/>
            </a:ext>
          </a:extLst>
        </xdr:cNvPr>
        <xdr:cNvGrpSpPr/>
      </xdr:nvGrpSpPr>
      <xdr:grpSpPr>
        <a:xfrm>
          <a:off x="1882420" y="1660879"/>
          <a:ext cx="4590070" cy="2846199"/>
          <a:chOff x="1897943" y="1707445"/>
          <a:chExt cx="4630991" cy="2930867"/>
        </a:xfrm>
      </xdr:grpSpPr>
      <xdr:sp macro="" textlink="">
        <xdr:nvSpPr>
          <xdr:cNvPr id="75" name="Retângulo 74">
            <a:extLst>
              <a:ext uri="{FF2B5EF4-FFF2-40B4-BE49-F238E27FC236}">
                <a16:creationId xmlns:a16="http://schemas.microsoft.com/office/drawing/2014/main" id="{889FF1D1-C0F4-4F26-A4F0-DEF2E6FA1F35}"/>
              </a:ext>
            </a:extLst>
          </xdr:cNvPr>
          <xdr:cNvSpPr/>
        </xdr:nvSpPr>
        <xdr:spPr>
          <a:xfrm>
            <a:off x="1919442" y="1707445"/>
            <a:ext cx="4581303" cy="2858682"/>
          </a:xfrm>
          <a:prstGeom prst="rect">
            <a:avLst/>
          </a:prstGeom>
          <a:solidFill>
            <a:schemeClr val="bg1"/>
          </a:solidFill>
          <a:ln w="317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6" name="CaixaDeTexto 75">
            <a:extLst>
              <a:ext uri="{FF2B5EF4-FFF2-40B4-BE49-F238E27FC236}">
                <a16:creationId xmlns:a16="http://schemas.microsoft.com/office/drawing/2014/main" id="{D8051E9B-10B7-48FB-8A85-D75B646AC406}"/>
              </a:ext>
            </a:extLst>
          </xdr:cNvPr>
          <xdr:cNvSpPr txBox="1"/>
        </xdr:nvSpPr>
        <xdr:spPr>
          <a:xfrm>
            <a:off x="1897943" y="1720321"/>
            <a:ext cx="4494389" cy="2975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Histórico nome do gráfico</a:t>
            </a:r>
          </a:p>
        </xdr:txBody>
      </xdr:sp>
      <xdr:sp macro="" textlink="">
        <xdr:nvSpPr>
          <xdr:cNvPr id="77" name="CaixaDeTexto 76">
            <a:extLst>
              <a:ext uri="{FF2B5EF4-FFF2-40B4-BE49-F238E27FC236}">
                <a16:creationId xmlns:a16="http://schemas.microsoft.com/office/drawing/2014/main" id="{9A2E2099-3AF2-46ED-8707-7AC7BF338E69}"/>
              </a:ext>
            </a:extLst>
          </xdr:cNvPr>
          <xdr:cNvSpPr txBox="1"/>
        </xdr:nvSpPr>
        <xdr:spPr>
          <a:xfrm>
            <a:off x="3679879" y="4351872"/>
            <a:ext cx="454677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</a:t>
            </a:r>
          </a:p>
        </xdr:txBody>
      </xdr:sp>
      <xdr:sp macro="" textlink="">
        <xdr:nvSpPr>
          <xdr:cNvPr id="78" name="CaixaDeTexto 77">
            <a:extLst>
              <a:ext uri="{FF2B5EF4-FFF2-40B4-BE49-F238E27FC236}">
                <a16:creationId xmlns:a16="http://schemas.microsoft.com/office/drawing/2014/main" id="{8B301D18-52F5-4847-8C52-98A41E83976C}"/>
              </a:ext>
            </a:extLst>
          </xdr:cNvPr>
          <xdr:cNvSpPr txBox="1"/>
        </xdr:nvSpPr>
        <xdr:spPr>
          <a:xfrm>
            <a:off x="5410472" y="4351872"/>
            <a:ext cx="1118462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 não atingida</a:t>
            </a:r>
          </a:p>
        </xdr:txBody>
      </xdr:sp>
      <xdr:sp macro="" textlink="">
        <xdr:nvSpPr>
          <xdr:cNvPr id="79" name="CaixaDeTexto 78">
            <a:extLst>
              <a:ext uri="{FF2B5EF4-FFF2-40B4-BE49-F238E27FC236}">
                <a16:creationId xmlns:a16="http://schemas.microsoft.com/office/drawing/2014/main" id="{E2CBD049-2E27-49F8-B907-FFEC824D9C9E}"/>
              </a:ext>
            </a:extLst>
          </xdr:cNvPr>
          <xdr:cNvSpPr txBox="1"/>
        </xdr:nvSpPr>
        <xdr:spPr>
          <a:xfrm>
            <a:off x="4313441" y="4351872"/>
            <a:ext cx="966662" cy="2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 superada</a:t>
            </a:r>
          </a:p>
        </xdr:txBody>
      </xdr:sp>
      <xdr:cxnSp macro="">
        <xdr:nvCxnSpPr>
          <xdr:cNvPr id="80" name="Conector reto 79">
            <a:extLst>
              <a:ext uri="{FF2B5EF4-FFF2-40B4-BE49-F238E27FC236}">
                <a16:creationId xmlns:a16="http://schemas.microsoft.com/office/drawing/2014/main" id="{9BBFE2C9-EE9C-4738-A68E-1E841F688124}"/>
              </a:ext>
            </a:extLst>
          </xdr:cNvPr>
          <xdr:cNvCxnSpPr/>
        </xdr:nvCxnSpPr>
        <xdr:spPr>
          <a:xfrm>
            <a:off x="3644690" y="4467367"/>
            <a:ext cx="88103" cy="0"/>
          </a:xfrm>
          <a:prstGeom prst="line">
            <a:avLst/>
          </a:prstGeom>
          <a:ln w="12700">
            <a:solidFill>
              <a:srgbClr val="00639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Fluxograma: Conector 80">
            <a:extLst>
              <a:ext uri="{FF2B5EF4-FFF2-40B4-BE49-F238E27FC236}">
                <a16:creationId xmlns:a16="http://schemas.microsoft.com/office/drawing/2014/main" id="{39B5DCA6-D565-453F-B54E-F2D7DB84CD44}"/>
              </a:ext>
            </a:extLst>
          </xdr:cNvPr>
          <xdr:cNvSpPr/>
        </xdr:nvSpPr>
        <xdr:spPr>
          <a:xfrm>
            <a:off x="5414281" y="4451491"/>
            <a:ext cx="45478" cy="40128"/>
          </a:xfrm>
          <a:prstGeom prst="flowChartConnector">
            <a:avLst/>
          </a:prstGeom>
          <a:solidFill>
            <a:schemeClr val="accent4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7D0CD"/>
              </a:solidFill>
            </a:endParaRPr>
          </a:p>
        </xdr:txBody>
      </xdr:sp>
      <xdr:sp macro="" textlink="">
        <xdr:nvSpPr>
          <xdr:cNvPr id="82" name="Fluxograma: Conector 81">
            <a:extLst>
              <a:ext uri="{FF2B5EF4-FFF2-40B4-BE49-F238E27FC236}">
                <a16:creationId xmlns:a16="http://schemas.microsoft.com/office/drawing/2014/main" id="{602B3315-C657-438B-A342-A38FB7EBF4BE}"/>
              </a:ext>
            </a:extLst>
          </xdr:cNvPr>
          <xdr:cNvSpPr/>
        </xdr:nvSpPr>
        <xdr:spPr>
          <a:xfrm>
            <a:off x="4310444" y="4451492"/>
            <a:ext cx="45478" cy="40128"/>
          </a:xfrm>
          <a:prstGeom prst="flowChartConnector">
            <a:avLst/>
          </a:prstGeom>
          <a:solidFill>
            <a:schemeClr val="bg1">
              <a:lumMod val="5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7D0CD"/>
              </a:solidFill>
            </a:endParaRPr>
          </a:p>
        </xdr:txBody>
      </xdr:sp>
    </xdr:grpSp>
    <xdr:clientData/>
  </xdr:twoCellAnchor>
  <xdr:twoCellAnchor>
    <xdr:from>
      <xdr:col>12</xdr:col>
      <xdr:colOff>3353</xdr:colOff>
      <xdr:row>13</xdr:row>
      <xdr:rowOff>47981</xdr:rowOff>
    </xdr:from>
    <xdr:to>
      <xdr:col>39</xdr:col>
      <xdr:colOff>137409</xdr:colOff>
      <xdr:row>29</xdr:row>
      <xdr:rowOff>62091</xdr:rowOff>
    </xdr:to>
    <xdr:graphicFrame macro="">
      <xdr:nvGraphicFramePr>
        <xdr:cNvPr id="83" name="Gráfico 82">
          <a:extLst>
            <a:ext uri="{FF2B5EF4-FFF2-40B4-BE49-F238E27FC236}">
              <a16:creationId xmlns:a16="http://schemas.microsoft.com/office/drawing/2014/main" id="{24306C7A-7600-40F2-929D-2B941A069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13640</xdr:colOff>
      <xdr:row>13</xdr:row>
      <xdr:rowOff>123416</xdr:rowOff>
    </xdr:from>
    <xdr:to>
      <xdr:col>68</xdr:col>
      <xdr:colOff>139026</xdr:colOff>
      <xdr:row>29</xdr:row>
      <xdr:rowOff>68024</xdr:rowOff>
    </xdr:to>
    <xdr:graphicFrame macro="">
      <xdr:nvGraphicFramePr>
        <xdr:cNvPr id="86" name="Gráfico 85">
          <a:extLst>
            <a:ext uri="{FF2B5EF4-FFF2-40B4-BE49-F238E27FC236}">
              <a16:creationId xmlns:a16="http://schemas.microsoft.com/office/drawing/2014/main" id="{42669020-D5A8-415B-927F-EA6AA74AF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91723</xdr:colOff>
      <xdr:row>31</xdr:row>
      <xdr:rowOff>70559</xdr:rowOff>
    </xdr:from>
    <xdr:to>
      <xdr:col>40</xdr:col>
      <xdr:colOff>1</xdr:colOff>
      <xdr:row>41</xdr:row>
      <xdr:rowOff>130604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3C22EB93-24EB-4339-B667-78E355AF9BB5}"/>
            </a:ext>
          </a:extLst>
        </xdr:cNvPr>
        <xdr:cNvGrpSpPr/>
      </xdr:nvGrpSpPr>
      <xdr:grpSpPr>
        <a:xfrm>
          <a:off x="1861256" y="4532492"/>
          <a:ext cx="4573412" cy="1499379"/>
          <a:chOff x="6801553" y="4903609"/>
          <a:chExt cx="4148668" cy="1541711"/>
        </a:xfrm>
      </xdr:grpSpPr>
      <xdr:graphicFrame macro="">
        <xdr:nvGraphicFramePr>
          <xdr:cNvPr id="88" name="Gráfico 87">
            <a:extLst>
              <a:ext uri="{FF2B5EF4-FFF2-40B4-BE49-F238E27FC236}">
                <a16:creationId xmlns:a16="http://schemas.microsoft.com/office/drawing/2014/main" id="{5162720F-D5CA-4C85-ABEE-E94EE8F64F85}"/>
              </a:ext>
            </a:extLst>
          </xdr:cNvPr>
          <xdr:cNvGraphicFramePr>
            <a:graphicFrameLocks/>
          </xdr:cNvGraphicFramePr>
        </xdr:nvGraphicFramePr>
        <xdr:xfrm>
          <a:off x="6836833" y="4903609"/>
          <a:ext cx="4113388" cy="1467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9" name="CaixaDeTexto 88">
            <a:extLst>
              <a:ext uri="{FF2B5EF4-FFF2-40B4-BE49-F238E27FC236}">
                <a16:creationId xmlns:a16="http://schemas.microsoft.com/office/drawing/2014/main" id="{1AEFAC53-8A97-45FD-A7DF-A1B480C69387}"/>
              </a:ext>
            </a:extLst>
          </xdr:cNvPr>
          <xdr:cNvSpPr txBox="1"/>
        </xdr:nvSpPr>
        <xdr:spPr>
          <a:xfrm>
            <a:off x="6801553" y="4917721"/>
            <a:ext cx="3365501" cy="2610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</a:rPr>
              <a:t>Faturamento acumulado</a:t>
            </a:r>
          </a:p>
        </xdr:txBody>
      </xdr:sp>
      <xdr:sp macro="" textlink="tabDin!P3">
        <xdr:nvSpPr>
          <xdr:cNvPr id="90" name="CaixaDeTexto 89">
            <a:extLst>
              <a:ext uri="{FF2B5EF4-FFF2-40B4-BE49-F238E27FC236}">
                <a16:creationId xmlns:a16="http://schemas.microsoft.com/office/drawing/2014/main" id="{94C8EAC9-F9A4-4EEB-B0F5-4EFD4695ACC2}"/>
              </a:ext>
            </a:extLst>
          </xdr:cNvPr>
          <xdr:cNvSpPr txBox="1"/>
        </xdr:nvSpPr>
        <xdr:spPr>
          <a:xfrm>
            <a:off x="9706627" y="5729106"/>
            <a:ext cx="755147" cy="282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l"/>
            <a:fld id="{DA08D80A-B5A2-44A2-BACB-D8736D673986}" type="TxLink">
              <a:rPr lang="en-US" sz="1400" b="1" i="0" u="none" strike="noStrike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 algn="l"/>
              <a:t>92.485</a:t>
            </a:fld>
            <a:endParaRPr lang="pt-BR" sz="1400" b="1" i="0" u="none" strike="noStrike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91" name="CaixaDeTexto 90">
            <a:extLst>
              <a:ext uri="{FF2B5EF4-FFF2-40B4-BE49-F238E27FC236}">
                <a16:creationId xmlns:a16="http://schemas.microsoft.com/office/drawing/2014/main" id="{E4C12990-9AF7-4CCF-BE37-DC0FE5EBA1E2}"/>
              </a:ext>
            </a:extLst>
          </xdr:cNvPr>
          <xdr:cNvSpPr txBox="1"/>
        </xdr:nvSpPr>
        <xdr:spPr>
          <a:xfrm>
            <a:off x="6985704" y="5771444"/>
            <a:ext cx="556684" cy="3124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pt-BR" sz="1000" b="0" i="0" u="none" strike="noStrike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Calibri"/>
              </a:rPr>
              <a:t>meta</a:t>
            </a:r>
          </a:p>
        </xdr:txBody>
      </xdr:sp>
      <xdr:sp macro="" textlink="tabDin!O3">
        <xdr:nvSpPr>
          <xdr:cNvPr id="92" name="CaixaDeTexto 91">
            <a:extLst>
              <a:ext uri="{FF2B5EF4-FFF2-40B4-BE49-F238E27FC236}">
                <a16:creationId xmlns:a16="http://schemas.microsoft.com/office/drawing/2014/main" id="{96131247-A524-447B-8AFC-B0CDED60DC01}"/>
              </a:ext>
            </a:extLst>
          </xdr:cNvPr>
          <xdr:cNvSpPr txBox="1"/>
        </xdr:nvSpPr>
        <xdr:spPr>
          <a:xfrm>
            <a:off x="6978649" y="5968998"/>
            <a:ext cx="575414" cy="2494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35F4604C-B0EE-4E2C-9FC4-F1FE80E2F6F4}" type="TxLink">
              <a:rPr lang="en-US" sz="1000" b="0" i="0" u="none" strike="noStrike">
                <a:solidFill>
                  <a:srgbClr val="00639C"/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 algn="ctr"/>
              <a:t>76.856</a:t>
            </a:fld>
            <a:endParaRPr lang="pt-BR" sz="1000" b="0" i="0" u="none" strike="noStrike">
              <a:solidFill>
                <a:srgbClr val="00639C"/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93" name="CaixaDeTexto 92">
            <a:extLst>
              <a:ext uri="{FF2B5EF4-FFF2-40B4-BE49-F238E27FC236}">
                <a16:creationId xmlns:a16="http://schemas.microsoft.com/office/drawing/2014/main" id="{B22392FB-7008-40F3-9CC3-72709A22C8C6}"/>
              </a:ext>
            </a:extLst>
          </xdr:cNvPr>
          <xdr:cNvSpPr txBox="1"/>
        </xdr:nvSpPr>
        <xdr:spPr>
          <a:xfrm>
            <a:off x="8594291" y="6159498"/>
            <a:ext cx="758075" cy="2858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executado</a:t>
            </a:r>
          </a:p>
        </xdr:txBody>
      </xdr:sp>
      <xdr:sp macro="" textlink="">
        <xdr:nvSpPr>
          <xdr:cNvPr id="94" name="CaixaDeTexto 93">
            <a:extLst>
              <a:ext uri="{FF2B5EF4-FFF2-40B4-BE49-F238E27FC236}">
                <a16:creationId xmlns:a16="http://schemas.microsoft.com/office/drawing/2014/main" id="{FD798D9B-6334-4780-810D-145EC6688BEE}"/>
              </a:ext>
            </a:extLst>
          </xdr:cNvPr>
          <xdr:cNvSpPr txBox="1"/>
        </xdr:nvSpPr>
        <xdr:spPr>
          <a:xfrm>
            <a:off x="8048492" y="6159498"/>
            <a:ext cx="479074" cy="2858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8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meta</a:t>
            </a:r>
          </a:p>
        </xdr:txBody>
      </xdr:sp>
      <xdr:sp macro="" textlink="">
        <xdr:nvSpPr>
          <xdr:cNvPr id="95" name="Fluxograma: Conector 94">
            <a:extLst>
              <a:ext uri="{FF2B5EF4-FFF2-40B4-BE49-F238E27FC236}">
                <a16:creationId xmlns:a16="http://schemas.microsoft.com/office/drawing/2014/main" id="{C5068DBB-6377-47C2-A93A-6A5A7E928797}"/>
              </a:ext>
            </a:extLst>
          </xdr:cNvPr>
          <xdr:cNvSpPr/>
        </xdr:nvSpPr>
        <xdr:spPr>
          <a:xfrm>
            <a:off x="8600787" y="6259421"/>
            <a:ext cx="39369" cy="39968"/>
          </a:xfrm>
          <a:prstGeom prst="flowChartConnector">
            <a:avLst/>
          </a:prstGeom>
          <a:solidFill>
            <a:schemeClr val="bg1">
              <a:lumMod val="5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7" name="CaixaDeTexto 96">
            <a:extLst>
              <a:ext uri="{FF2B5EF4-FFF2-40B4-BE49-F238E27FC236}">
                <a16:creationId xmlns:a16="http://schemas.microsoft.com/office/drawing/2014/main" id="{5BD26563-075F-4B89-BCD4-7945CBDC758F}"/>
              </a:ext>
            </a:extLst>
          </xdr:cNvPr>
          <xdr:cNvSpPr txBox="1"/>
        </xdr:nvSpPr>
        <xdr:spPr>
          <a:xfrm>
            <a:off x="9727085" y="5966178"/>
            <a:ext cx="879123" cy="3124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l"/>
            <a:r>
              <a:rPr lang="pt-BR" sz="1000" b="0" i="0" u="none" strike="noStrike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Calibri"/>
              </a:rPr>
              <a:t>executado</a:t>
            </a:r>
          </a:p>
        </xdr:txBody>
      </xdr:sp>
      <xdr:sp macro="" textlink="tabDin!Q3">
        <xdr:nvSpPr>
          <xdr:cNvPr id="98" name="CaixaDeTexto 97">
            <a:extLst>
              <a:ext uri="{FF2B5EF4-FFF2-40B4-BE49-F238E27FC236}">
                <a16:creationId xmlns:a16="http://schemas.microsoft.com/office/drawing/2014/main" id="{3790E6D2-AD82-4230-A274-AA8365C03227}"/>
              </a:ext>
            </a:extLst>
          </xdr:cNvPr>
          <xdr:cNvSpPr txBox="1"/>
        </xdr:nvSpPr>
        <xdr:spPr>
          <a:xfrm>
            <a:off x="10370649" y="5750278"/>
            <a:ext cx="541517" cy="218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l"/>
            <a:fld id="{DECC8214-1715-4DA4-8BA4-DC2D30977167}" type="TxLink">
              <a:rPr lang="en-US" sz="1000" b="0" i="0" u="none" strike="noStrike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Calibri"/>
              </a:rPr>
              <a:pPr marL="0" indent="0" algn="l"/>
              <a:t>(+20%)</a:t>
            </a:fld>
            <a:endParaRPr lang="pt-BR" sz="1000" b="0" i="0" u="none" strike="noStrike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104" name="Fluxograma: Conector 103">
            <a:extLst>
              <a:ext uri="{FF2B5EF4-FFF2-40B4-BE49-F238E27FC236}">
                <a16:creationId xmlns:a16="http://schemas.microsoft.com/office/drawing/2014/main" id="{BBF57C38-12B4-4C38-97B0-FB1C481E2025}"/>
              </a:ext>
            </a:extLst>
          </xdr:cNvPr>
          <xdr:cNvSpPr/>
        </xdr:nvSpPr>
        <xdr:spPr>
          <a:xfrm>
            <a:off x="8048897" y="6259421"/>
            <a:ext cx="39369" cy="39968"/>
          </a:xfrm>
          <a:prstGeom prst="flowChartConnector">
            <a:avLst/>
          </a:prstGeom>
          <a:solidFill>
            <a:srgbClr val="00639C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39</xdr:col>
      <xdr:colOff>134058</xdr:colOff>
      <xdr:row>4</xdr:row>
      <xdr:rowOff>42329</xdr:rowOff>
    </xdr:from>
    <xdr:to>
      <xdr:col>42</xdr:col>
      <xdr:colOff>10824</xdr:colOff>
      <xdr:row>6</xdr:row>
      <xdr:rowOff>109596</xdr:rowOff>
    </xdr:to>
    <xdr:pic>
      <xdr:nvPicPr>
        <xdr:cNvPr id="100" name="Gráfico 99" descr="Espiral">
          <a:extLst>
            <a:ext uri="{FF2B5EF4-FFF2-40B4-BE49-F238E27FC236}">
              <a16:creationId xmlns:a16="http://schemas.microsoft.com/office/drawing/2014/main" id="{391695DF-29D4-46F5-B39A-72ECA0F64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462891" y="634996"/>
          <a:ext cx="363600" cy="363600"/>
        </a:xfrm>
        <a:prstGeom prst="rect">
          <a:avLst/>
        </a:prstGeom>
      </xdr:spPr>
    </xdr:pic>
    <xdr:clientData/>
  </xdr:twoCellAnchor>
  <xdr:twoCellAnchor>
    <xdr:from>
      <xdr:col>11</xdr:col>
      <xdr:colOff>141111</xdr:colOff>
      <xdr:row>3</xdr:row>
      <xdr:rowOff>108655</xdr:rowOff>
    </xdr:from>
    <xdr:to>
      <xdr:col>22</xdr:col>
      <xdr:colOff>129816</xdr:colOff>
      <xdr:row>10</xdr:row>
      <xdr:rowOff>74793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F490D8CD-BCB8-4783-9197-30AA05BB617B}"/>
            </a:ext>
          </a:extLst>
        </xdr:cNvPr>
        <xdr:cNvGrpSpPr/>
      </xdr:nvGrpSpPr>
      <xdr:grpSpPr>
        <a:xfrm>
          <a:off x="1910644" y="540455"/>
          <a:ext cx="1758239" cy="973671"/>
          <a:chOff x="1916291" y="547511"/>
          <a:chExt cx="1773760" cy="1003305"/>
        </a:xfrm>
      </xdr:grpSpPr>
      <xdr:sp macro="" textlink="">
        <xdr:nvSpPr>
          <xdr:cNvPr id="67" name="Retângulo 66">
            <a:extLst>
              <a:ext uri="{FF2B5EF4-FFF2-40B4-BE49-F238E27FC236}">
                <a16:creationId xmlns:a16="http://schemas.microsoft.com/office/drawing/2014/main" id="{D24762DE-C816-42E0-A1AE-7FEFF36B904B}"/>
              </a:ext>
            </a:extLst>
          </xdr:cNvPr>
          <xdr:cNvSpPr/>
        </xdr:nvSpPr>
        <xdr:spPr>
          <a:xfrm>
            <a:off x="1916291" y="547511"/>
            <a:ext cx="1766710" cy="994835"/>
          </a:xfrm>
          <a:prstGeom prst="rect">
            <a:avLst/>
          </a:prstGeom>
          <a:solidFill>
            <a:schemeClr val="bg1"/>
          </a:solidFill>
          <a:ln w="3175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8" name="CaixaDeTexto 67">
            <a:extLst>
              <a:ext uri="{FF2B5EF4-FFF2-40B4-BE49-F238E27FC236}">
                <a16:creationId xmlns:a16="http://schemas.microsoft.com/office/drawing/2014/main" id="{A50B9141-AB74-4355-A7F5-8D9649A0DDF2}"/>
              </a:ext>
            </a:extLst>
          </xdr:cNvPr>
          <xdr:cNvSpPr txBox="1"/>
        </xdr:nvSpPr>
        <xdr:spPr>
          <a:xfrm>
            <a:off x="2350159" y="705569"/>
            <a:ext cx="1339892" cy="2045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Período</a:t>
            </a:r>
            <a:r>
              <a:rPr lang="pt-BR" sz="1000" b="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 execução</a:t>
            </a:r>
            <a:endPara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tabDin!AR3">
        <xdr:nvSpPr>
          <xdr:cNvPr id="69" name="CaixaDeTexto 68">
            <a:extLst>
              <a:ext uri="{FF2B5EF4-FFF2-40B4-BE49-F238E27FC236}">
                <a16:creationId xmlns:a16="http://schemas.microsoft.com/office/drawing/2014/main" id="{FEC42D57-49C5-4CB9-8B6F-04EB3249A15C}"/>
              </a:ext>
            </a:extLst>
          </xdr:cNvPr>
          <xdr:cNvSpPr txBox="1"/>
        </xdr:nvSpPr>
        <xdr:spPr>
          <a:xfrm>
            <a:off x="2004438" y="1019536"/>
            <a:ext cx="649111" cy="31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8996108-E982-454A-B615-B571A2365754}" type="TxLink">
              <a:rPr lang="en-US" sz="1000" b="1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nov-17</a:t>
            </a:fld>
            <a:endParaRPr lang="pt-BR" sz="1000" b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70" name="CaixaDeTexto 69">
            <a:extLst>
              <a:ext uri="{FF2B5EF4-FFF2-40B4-BE49-F238E27FC236}">
                <a16:creationId xmlns:a16="http://schemas.microsoft.com/office/drawing/2014/main" id="{C1B33BD3-2F13-4687-8A2B-BE3608C69F70}"/>
              </a:ext>
            </a:extLst>
          </xdr:cNvPr>
          <xdr:cNvSpPr txBox="1"/>
        </xdr:nvSpPr>
        <xdr:spPr>
          <a:xfrm>
            <a:off x="2586518" y="1133135"/>
            <a:ext cx="426155" cy="2356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pt-BR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até</a:t>
            </a:r>
          </a:p>
        </xdr:txBody>
      </xdr:sp>
      <xdr:sp macro="" textlink="tabDin!AS3">
        <xdr:nvSpPr>
          <xdr:cNvPr id="71" name="CaixaDeTexto 70">
            <a:extLst>
              <a:ext uri="{FF2B5EF4-FFF2-40B4-BE49-F238E27FC236}">
                <a16:creationId xmlns:a16="http://schemas.microsoft.com/office/drawing/2014/main" id="{0CE2487F-AA51-478B-A5DF-A7AD91A0B5FB}"/>
              </a:ext>
            </a:extLst>
          </xdr:cNvPr>
          <xdr:cNvSpPr txBox="1"/>
        </xdr:nvSpPr>
        <xdr:spPr>
          <a:xfrm>
            <a:off x="2954105" y="1016715"/>
            <a:ext cx="655461" cy="31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338E6AE-F8FF-48AD-B867-5804AA7D4D65}" type="TxLink">
              <a:rPr lang="en-US" sz="1000" b="1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jun-18</a:t>
            </a:fld>
            <a:endParaRPr lang="pt-BR" sz="1000" b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pic>
        <xdr:nvPicPr>
          <xdr:cNvPr id="72" name="Gráfico 71" descr="Cronômetro">
            <a:extLst>
              <a:ext uri="{FF2B5EF4-FFF2-40B4-BE49-F238E27FC236}">
                <a16:creationId xmlns:a16="http://schemas.microsoft.com/office/drawing/2014/main" id="{4E5E1B67-D9AA-4072-87E4-4260D72B7A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997376" y="627942"/>
            <a:ext cx="366350" cy="360000"/>
          </a:xfrm>
          <a:prstGeom prst="rect">
            <a:avLst/>
          </a:prstGeom>
        </xdr:spPr>
      </xdr:pic>
      <xdr:sp macro="" textlink="tabDin!AT3">
        <xdr:nvSpPr>
          <xdr:cNvPr id="73" name="CaixaDeTexto 72">
            <a:extLst>
              <a:ext uri="{FF2B5EF4-FFF2-40B4-BE49-F238E27FC236}">
                <a16:creationId xmlns:a16="http://schemas.microsoft.com/office/drawing/2014/main" id="{33686AAB-E2E5-4B44-9D8C-BC557323B514}"/>
              </a:ext>
            </a:extLst>
          </xdr:cNvPr>
          <xdr:cNvSpPr txBox="1"/>
        </xdr:nvSpPr>
        <xdr:spPr>
          <a:xfrm>
            <a:off x="1997383" y="1231200"/>
            <a:ext cx="649111" cy="31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D7C56A54-023E-463F-80D2-9D9F613B43DA}" type="TxLink">
              <a:rPr lang="en-US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1º sem</a:t>
            </a:fld>
            <a:endPara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  <xdr:sp macro="" textlink="tabDin!AU3">
        <xdr:nvSpPr>
          <xdr:cNvPr id="84" name="CaixaDeTexto 83">
            <a:extLst>
              <a:ext uri="{FF2B5EF4-FFF2-40B4-BE49-F238E27FC236}">
                <a16:creationId xmlns:a16="http://schemas.microsoft.com/office/drawing/2014/main" id="{EA64768F-D386-407C-AF8B-701165D6C3B4}"/>
              </a:ext>
            </a:extLst>
          </xdr:cNvPr>
          <xdr:cNvSpPr txBox="1"/>
        </xdr:nvSpPr>
        <xdr:spPr>
          <a:xfrm>
            <a:off x="2956938" y="1231199"/>
            <a:ext cx="649111" cy="31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50F710BB-F386-43E7-8845-E794813C5346}" type="TxLink">
              <a:rPr lang="en-US" sz="1000" b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pPr marL="0" indent="0" algn="ctr"/>
              <a:t>2º sem</a:t>
            </a:fld>
            <a:endPara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129471</xdr:colOff>
      <xdr:row>11</xdr:row>
      <xdr:rowOff>86262</xdr:rowOff>
    </xdr:from>
    <xdr:to>
      <xdr:col>10</xdr:col>
      <xdr:colOff>146719</xdr:colOff>
      <xdr:row>15</xdr:row>
      <xdr:rowOff>109195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9" name="semestre 1">
              <a:extLst>
                <a:ext uri="{FF2B5EF4-FFF2-40B4-BE49-F238E27FC236}">
                  <a16:creationId xmlns:a16="http://schemas.microsoft.com/office/drawing/2014/main" id="{682DD96F-3DF6-4C51-BDDA-AF72BAF98E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71" y="1716095"/>
              <a:ext cx="1640026" cy="61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54</xdr:col>
      <xdr:colOff>141116</xdr:colOff>
      <xdr:row>4</xdr:row>
      <xdr:rowOff>43043</xdr:rowOff>
    </xdr:from>
    <xdr:to>
      <xdr:col>68</xdr:col>
      <xdr:colOff>42371</xdr:colOff>
      <xdr:row>5</xdr:row>
      <xdr:rowOff>127000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D8F34C6F-9D22-4D22-BFB2-68E18AD3E986}"/>
            </a:ext>
          </a:extLst>
        </xdr:cNvPr>
        <xdr:cNvSpPr txBox="1"/>
      </xdr:nvSpPr>
      <xdr:spPr>
        <a:xfrm>
          <a:off x="8904116" y="635710"/>
          <a:ext cx="2173144" cy="232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Nome da meta</a:t>
          </a:r>
        </a:p>
      </xdr:txBody>
    </xdr:sp>
    <xdr:clientData/>
  </xdr:twoCellAnchor>
  <xdr:twoCellAnchor editAs="oneCell">
    <xdr:from>
      <xdr:col>54</xdr:col>
      <xdr:colOff>155224</xdr:colOff>
      <xdr:row>4</xdr:row>
      <xdr:rowOff>42326</xdr:rowOff>
    </xdr:from>
    <xdr:to>
      <xdr:col>57</xdr:col>
      <xdr:colOff>31991</xdr:colOff>
      <xdr:row>6</xdr:row>
      <xdr:rowOff>109593</xdr:rowOff>
    </xdr:to>
    <xdr:pic>
      <xdr:nvPicPr>
        <xdr:cNvPr id="65" name="Gráfico 64" descr="Espiral">
          <a:extLst>
            <a:ext uri="{FF2B5EF4-FFF2-40B4-BE49-F238E27FC236}">
              <a16:creationId xmlns:a16="http://schemas.microsoft.com/office/drawing/2014/main" id="{EBC0FBA7-3978-4136-BE86-281AF9C64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918224" y="634993"/>
          <a:ext cx="363600" cy="363600"/>
        </a:xfrm>
        <a:prstGeom prst="rect">
          <a:avLst/>
        </a:prstGeom>
      </xdr:spPr>
    </xdr:pic>
    <xdr:clientData/>
  </xdr:twoCellAnchor>
  <xdr:twoCellAnchor editAs="absolute">
    <xdr:from>
      <xdr:col>62</xdr:col>
      <xdr:colOff>3</xdr:colOff>
      <xdr:row>6</xdr:row>
      <xdr:rowOff>82555</xdr:rowOff>
    </xdr:from>
    <xdr:to>
      <xdr:col>68</xdr:col>
      <xdr:colOff>46601</xdr:colOff>
      <xdr:row>8</xdr:row>
      <xdr:rowOff>35276</xdr:rowOff>
    </xdr:to>
    <xdr:sp macro="" textlink="">
      <xdr:nvSpPr>
        <xdr:cNvPr id="74" name="CaixaDeTexto 73">
          <a:extLst>
            <a:ext uri="{FF2B5EF4-FFF2-40B4-BE49-F238E27FC236}">
              <a16:creationId xmlns:a16="http://schemas.microsoft.com/office/drawing/2014/main" id="{C8ECA950-B169-47F2-8F6D-5A87B4422394}"/>
            </a:ext>
          </a:extLst>
        </xdr:cNvPr>
        <xdr:cNvSpPr txBox="1"/>
      </xdr:nvSpPr>
      <xdr:spPr>
        <a:xfrm>
          <a:off x="10061225" y="971555"/>
          <a:ext cx="1020265" cy="249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executado</a:t>
          </a:r>
        </a:p>
      </xdr:txBody>
    </xdr:sp>
    <xdr:clientData/>
  </xdr:twoCellAnchor>
  <xdr:twoCellAnchor editAs="absolute">
    <xdr:from>
      <xdr:col>62</xdr:col>
      <xdr:colOff>14116</xdr:colOff>
      <xdr:row>8</xdr:row>
      <xdr:rowOff>60682</xdr:rowOff>
    </xdr:from>
    <xdr:to>
      <xdr:col>65</xdr:col>
      <xdr:colOff>96693</xdr:colOff>
      <xdr:row>10</xdr:row>
      <xdr:rowOff>83964</xdr:rowOff>
    </xdr:to>
    <xdr:sp macro="" textlink="apoio!I7">
      <xdr:nvSpPr>
        <xdr:cNvPr id="96" name="CaixaDeTexto 95">
          <a:extLst>
            <a:ext uri="{FF2B5EF4-FFF2-40B4-BE49-F238E27FC236}">
              <a16:creationId xmlns:a16="http://schemas.microsoft.com/office/drawing/2014/main" id="{1C9A4361-182E-4075-83BC-D077ACBD5048}"/>
            </a:ext>
          </a:extLst>
        </xdr:cNvPr>
        <xdr:cNvSpPr txBox="1"/>
      </xdr:nvSpPr>
      <xdr:spPr>
        <a:xfrm>
          <a:off x="10075338" y="1246015"/>
          <a:ext cx="569411" cy="319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631C3AAE-6A02-4290-95A5-0518A12E6308}" type="TxLink">
            <a:rPr lang="en-US" sz="1050" b="0">
              <a:solidFill>
                <a:srgbClr val="00639C"/>
              </a:solidFill>
              <a:latin typeface="Century Gothic" panose="020B0502020202020204" pitchFamily="34" charset="0"/>
              <a:ea typeface="+mn-ea"/>
              <a:cs typeface="+mn-cs"/>
            </a:rPr>
            <a:pPr marL="0" indent="0" algn="r"/>
            <a:t>44%</a:t>
          </a:fld>
          <a:endParaRPr lang="pt-BR" sz="1050" b="0">
            <a:solidFill>
              <a:srgbClr val="00639C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64</xdr:col>
      <xdr:colOff>155942</xdr:colOff>
      <xdr:row>8</xdr:row>
      <xdr:rowOff>47278</xdr:rowOff>
    </xdr:from>
    <xdr:to>
      <xdr:col>68</xdr:col>
      <xdr:colOff>46611</xdr:colOff>
      <xdr:row>9</xdr:row>
      <xdr:rowOff>126999</xdr:rowOff>
    </xdr:to>
    <xdr:sp macro="" textlink="">
      <xdr:nvSpPr>
        <xdr:cNvPr id="105" name="CaixaDeTexto 104">
          <a:extLst>
            <a:ext uri="{FF2B5EF4-FFF2-40B4-BE49-F238E27FC236}">
              <a16:creationId xmlns:a16="http://schemas.microsoft.com/office/drawing/2014/main" id="{620AFD7D-A4E1-46E1-BF00-9557CFE00381}"/>
            </a:ext>
          </a:extLst>
        </xdr:cNvPr>
        <xdr:cNvSpPr txBox="1"/>
      </xdr:nvSpPr>
      <xdr:spPr>
        <a:xfrm>
          <a:off x="10541720" y="1232611"/>
          <a:ext cx="539780" cy="227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meta</a:t>
          </a:r>
        </a:p>
      </xdr:txBody>
    </xdr:sp>
    <xdr:clientData/>
  </xdr:twoCellAnchor>
  <xdr:twoCellAnchor editAs="absolute">
    <xdr:from>
      <xdr:col>59</xdr:col>
      <xdr:colOff>5</xdr:colOff>
      <xdr:row>6</xdr:row>
      <xdr:rowOff>60684</xdr:rowOff>
    </xdr:from>
    <xdr:to>
      <xdr:col>63</xdr:col>
      <xdr:colOff>54366</xdr:colOff>
      <xdr:row>8</xdr:row>
      <xdr:rowOff>83967</xdr:rowOff>
    </xdr:to>
    <xdr:sp macro="" textlink="tabDin!Q9">
      <xdr:nvSpPr>
        <xdr:cNvPr id="115" name="CaixaDeTexto 114">
          <a:extLst>
            <a:ext uri="{FF2B5EF4-FFF2-40B4-BE49-F238E27FC236}">
              <a16:creationId xmlns:a16="http://schemas.microsoft.com/office/drawing/2014/main" id="{455F3102-8445-4D9D-B747-1CB26F243D60}"/>
            </a:ext>
          </a:extLst>
        </xdr:cNvPr>
        <xdr:cNvSpPr txBox="1"/>
      </xdr:nvSpPr>
      <xdr:spPr>
        <a:xfrm>
          <a:off x="9574394" y="949684"/>
          <a:ext cx="703472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38C62B9D-E4BB-4189-BD15-9D2894C2AB79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50,1%</a:t>
          </a:fld>
          <a:endParaRPr lang="pt-BR" sz="1400" b="1" i="0" u="none" strike="noStrike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7053</xdr:colOff>
          <xdr:row>8</xdr:row>
          <xdr:rowOff>7055</xdr:rowOff>
        </xdr:from>
        <xdr:to>
          <xdr:col>43</xdr:col>
          <xdr:colOff>19753</xdr:colOff>
          <xdr:row>9</xdr:row>
          <xdr:rowOff>51505</xdr:rowOff>
        </xdr:to>
        <xdr:pic>
          <xdr:nvPicPr>
            <xdr:cNvPr id="119" name="Imagem 118">
              <a:extLst>
                <a:ext uri="{FF2B5EF4-FFF2-40B4-BE49-F238E27FC236}">
                  <a16:creationId xmlns:a16="http://schemas.microsoft.com/office/drawing/2014/main" id="{34EDCE20-AE1A-4BFA-8A78-79498B0A942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abDin!$V$3" spid="_x0000_s2180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6498164" y="1192388"/>
              <a:ext cx="499533" cy="19261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47</xdr:col>
      <xdr:colOff>14109</xdr:colOff>
      <xdr:row>6</xdr:row>
      <xdr:rowOff>82556</xdr:rowOff>
    </xdr:from>
    <xdr:to>
      <xdr:col>53</xdr:col>
      <xdr:colOff>60708</xdr:colOff>
      <xdr:row>8</xdr:row>
      <xdr:rowOff>35277</xdr:rowOff>
    </xdr:to>
    <xdr:sp macro="" textlink="">
      <xdr:nvSpPr>
        <xdr:cNvPr id="120" name="CaixaDeTexto 119">
          <a:extLst>
            <a:ext uri="{FF2B5EF4-FFF2-40B4-BE49-F238E27FC236}">
              <a16:creationId xmlns:a16="http://schemas.microsoft.com/office/drawing/2014/main" id="{DFD46947-05BD-4856-84B7-6A11BAED3B17}"/>
            </a:ext>
          </a:extLst>
        </xdr:cNvPr>
        <xdr:cNvSpPr txBox="1"/>
      </xdr:nvSpPr>
      <xdr:spPr>
        <a:xfrm>
          <a:off x="7641165" y="971556"/>
          <a:ext cx="1020265" cy="249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executado</a:t>
          </a:r>
        </a:p>
      </xdr:txBody>
    </xdr:sp>
    <xdr:clientData/>
  </xdr:twoCellAnchor>
  <xdr:twoCellAnchor editAs="absolute">
    <xdr:from>
      <xdr:col>49</xdr:col>
      <xdr:colOff>155939</xdr:colOff>
      <xdr:row>8</xdr:row>
      <xdr:rowOff>47279</xdr:rowOff>
    </xdr:from>
    <xdr:to>
      <xdr:col>53</xdr:col>
      <xdr:colOff>46608</xdr:colOff>
      <xdr:row>9</xdr:row>
      <xdr:rowOff>127000</xdr:rowOff>
    </xdr:to>
    <xdr:sp macro="" textlink="">
      <xdr:nvSpPr>
        <xdr:cNvPr id="122" name="CaixaDeTexto 121">
          <a:extLst>
            <a:ext uri="{FF2B5EF4-FFF2-40B4-BE49-F238E27FC236}">
              <a16:creationId xmlns:a16="http://schemas.microsoft.com/office/drawing/2014/main" id="{8B7E3552-2782-45F1-93F4-D3CC3EA89366}"/>
            </a:ext>
          </a:extLst>
        </xdr:cNvPr>
        <xdr:cNvSpPr txBox="1"/>
      </xdr:nvSpPr>
      <xdr:spPr>
        <a:xfrm>
          <a:off x="8107550" y="1232612"/>
          <a:ext cx="539780" cy="227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05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meta</a:t>
          </a:r>
        </a:p>
      </xdr:txBody>
    </xdr:sp>
    <xdr:clientData/>
  </xdr:twoCellAnchor>
  <xdr:twoCellAnchor editAs="absolute">
    <xdr:from>
      <xdr:col>44</xdr:col>
      <xdr:colOff>21168</xdr:colOff>
      <xdr:row>6</xdr:row>
      <xdr:rowOff>60685</xdr:rowOff>
    </xdr:from>
    <xdr:to>
      <xdr:col>48</xdr:col>
      <xdr:colOff>68473</xdr:colOff>
      <xdr:row>8</xdr:row>
      <xdr:rowOff>83968</xdr:rowOff>
    </xdr:to>
    <xdr:sp macro="" textlink="tabDin!U3">
      <xdr:nvSpPr>
        <xdr:cNvPr id="123" name="CaixaDeTexto 122">
          <a:extLst>
            <a:ext uri="{FF2B5EF4-FFF2-40B4-BE49-F238E27FC236}">
              <a16:creationId xmlns:a16="http://schemas.microsoft.com/office/drawing/2014/main" id="{AC81D9BB-C164-4E28-9429-7E3673653FB2}"/>
            </a:ext>
          </a:extLst>
        </xdr:cNvPr>
        <xdr:cNvSpPr txBox="1"/>
      </xdr:nvSpPr>
      <xdr:spPr>
        <a:xfrm>
          <a:off x="7161390" y="949685"/>
          <a:ext cx="696416" cy="31961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3EC7631E-B669-4B20-9229-C54EAA7E667A}" type="TxLink">
            <a:rPr lang="en-US" sz="1400" b="1" i="0" u="none" strike="noStrike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48,8%</a:t>
          </a:fld>
          <a:endParaRPr lang="pt-BR" sz="1400" b="1" i="0" u="none" strike="noStrike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oneCellAnchor>
    <xdr:from>
      <xdr:col>47</xdr:col>
      <xdr:colOff>56445</xdr:colOff>
      <xdr:row>8</xdr:row>
      <xdr:rowOff>63501</xdr:rowOff>
    </xdr:from>
    <xdr:ext cx="553532" cy="218722"/>
    <xdr:sp macro="" textlink="tabDin!T3">
      <xdr:nvSpPr>
        <xdr:cNvPr id="5" name="CaixaDeTexto 4">
          <a:extLst>
            <a:ext uri="{FF2B5EF4-FFF2-40B4-BE49-F238E27FC236}">
              <a16:creationId xmlns:a16="http://schemas.microsoft.com/office/drawing/2014/main" id="{9080E828-D413-4595-8BD7-8A8D01E4C731}"/>
            </a:ext>
          </a:extLst>
        </xdr:cNvPr>
        <xdr:cNvSpPr txBox="1"/>
      </xdr:nvSpPr>
      <xdr:spPr>
        <a:xfrm>
          <a:off x="7683501" y="1248834"/>
          <a:ext cx="553532" cy="2187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EE395BA-A7DC-4025-B324-D1C44A21E629}" type="TxLink">
            <a:rPr lang="en-US" sz="1050" b="0">
              <a:solidFill>
                <a:srgbClr val="00639C"/>
              </a:solidFill>
              <a:latin typeface="Century Gothic" panose="020B0502020202020204" pitchFamily="34" charset="0"/>
              <a:ea typeface="+mn-ea"/>
              <a:cs typeface="+mn-cs"/>
            </a:rPr>
            <a:pPr marL="0" indent="0" algn="r"/>
            <a:t>40,6%</a:t>
          </a:fld>
          <a:endParaRPr lang="pt-BR" sz="1050" b="0">
            <a:solidFill>
              <a:srgbClr val="00639C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55</xdr:col>
          <xdr:colOff>14826</xdr:colOff>
          <xdr:row>8</xdr:row>
          <xdr:rowOff>7056</xdr:rowOff>
        </xdr:from>
        <xdr:to>
          <xdr:col>58</xdr:col>
          <xdr:colOff>33876</xdr:colOff>
          <xdr:row>9</xdr:row>
          <xdr:rowOff>51505</xdr:rowOff>
        </xdr:to>
        <xdr:pic>
          <xdr:nvPicPr>
            <xdr:cNvPr id="107" name="Imagem 106">
              <a:extLst>
                <a:ext uri="{FF2B5EF4-FFF2-40B4-BE49-F238E27FC236}">
                  <a16:creationId xmlns:a16="http://schemas.microsoft.com/office/drawing/2014/main" id="{928D12B0-003F-42E2-8D15-8E237A2861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abDin!$R$9" spid="_x0000_s2181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8940104" y="1192389"/>
              <a:ext cx="505883" cy="1926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40</xdr:col>
      <xdr:colOff>105833</xdr:colOff>
      <xdr:row>32</xdr:row>
      <xdr:rowOff>134056</xdr:rowOff>
    </xdr:from>
    <xdr:to>
      <xdr:col>68</xdr:col>
      <xdr:colOff>134055</xdr:colOff>
      <xdr:row>40</xdr:row>
      <xdr:rowOff>21166</xdr:rowOff>
    </xdr:to>
    <xdr:graphicFrame macro="">
      <xdr:nvGraphicFramePr>
        <xdr:cNvPr id="101" name="Gráfico 100">
          <a:extLst>
            <a:ext uri="{FF2B5EF4-FFF2-40B4-BE49-F238E27FC236}">
              <a16:creationId xmlns:a16="http://schemas.microsoft.com/office/drawing/2014/main" id="{221067EF-9D3A-4863-B166-2769B2161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40</xdr:col>
      <xdr:colOff>141108</xdr:colOff>
      <xdr:row>31</xdr:row>
      <xdr:rowOff>77609</xdr:rowOff>
    </xdr:from>
    <xdr:ext cx="2047612" cy="249492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2FF90A0-1D7F-471E-AB94-8F955582675C}"/>
            </a:ext>
          </a:extLst>
        </xdr:cNvPr>
        <xdr:cNvSpPr txBox="1"/>
      </xdr:nvSpPr>
      <xdr:spPr>
        <a:xfrm>
          <a:off x="6632219" y="4670776"/>
          <a:ext cx="2047612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 algn="l"/>
          <a:r>
            <a:rPr lang="pt-BR" sz="10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Histórico de entradas e saídas</a:t>
          </a:r>
        </a:p>
      </xdr:txBody>
    </xdr:sp>
    <xdr:clientData/>
  </xdr:oneCellAnchor>
  <xdr:twoCellAnchor editAs="absolute">
    <xdr:from>
      <xdr:col>62</xdr:col>
      <xdr:colOff>50096</xdr:colOff>
      <xdr:row>40</xdr:row>
      <xdr:rowOff>7055</xdr:rowOff>
    </xdr:from>
    <xdr:to>
      <xdr:col>69</xdr:col>
      <xdr:colOff>63501</xdr:colOff>
      <xdr:row>41</xdr:row>
      <xdr:rowOff>144720</xdr:rowOff>
    </xdr:to>
    <xdr:sp macro="" textlink="">
      <xdr:nvSpPr>
        <xdr:cNvPr id="125" name="CaixaDeTexto 124">
          <a:extLst>
            <a:ext uri="{FF2B5EF4-FFF2-40B4-BE49-F238E27FC236}">
              <a16:creationId xmlns:a16="http://schemas.microsoft.com/office/drawing/2014/main" id="{7F7F7FEB-F25A-42BE-8019-25301518E880}"/>
            </a:ext>
          </a:extLst>
        </xdr:cNvPr>
        <xdr:cNvSpPr txBox="1"/>
      </xdr:nvSpPr>
      <xdr:spPr>
        <a:xfrm>
          <a:off x="10111318" y="5933722"/>
          <a:ext cx="1149350" cy="285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8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nome do indicador</a:t>
          </a:r>
        </a:p>
      </xdr:txBody>
    </xdr:sp>
    <xdr:clientData/>
  </xdr:twoCellAnchor>
  <xdr:twoCellAnchor editAs="absolute">
    <xdr:from>
      <xdr:col>62</xdr:col>
      <xdr:colOff>63661</xdr:colOff>
      <xdr:row>40</xdr:row>
      <xdr:rowOff>106981</xdr:rowOff>
    </xdr:from>
    <xdr:to>
      <xdr:col>62</xdr:col>
      <xdr:colOff>109380</xdr:colOff>
      <xdr:row>40</xdr:row>
      <xdr:rowOff>146950</xdr:rowOff>
    </xdr:to>
    <xdr:sp macro="" textlink="">
      <xdr:nvSpPr>
        <xdr:cNvPr id="126" name="Fluxograma: Conector 125">
          <a:extLst>
            <a:ext uri="{FF2B5EF4-FFF2-40B4-BE49-F238E27FC236}">
              <a16:creationId xmlns:a16="http://schemas.microsoft.com/office/drawing/2014/main" id="{53CD0913-D738-477A-9BFD-75E2DACBBA34}"/>
            </a:ext>
          </a:extLst>
        </xdr:cNvPr>
        <xdr:cNvSpPr/>
      </xdr:nvSpPr>
      <xdr:spPr>
        <a:xfrm>
          <a:off x="10124883" y="6033648"/>
          <a:ext cx="45719" cy="39969"/>
        </a:xfrm>
        <a:prstGeom prst="flowChartConnector">
          <a:avLst/>
        </a:prstGeom>
        <a:solidFill>
          <a:srgbClr val="E45F56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E45F56"/>
            </a:solidFill>
          </a:endParaRPr>
        </a:p>
      </xdr:txBody>
    </xdr:sp>
    <xdr:clientData/>
  </xdr:twoCellAnchor>
  <xdr:twoCellAnchor editAs="absolute">
    <xdr:from>
      <xdr:col>53</xdr:col>
      <xdr:colOff>155936</xdr:colOff>
      <xdr:row>40</xdr:row>
      <xdr:rowOff>7055</xdr:rowOff>
    </xdr:from>
    <xdr:to>
      <xdr:col>61</xdr:col>
      <xdr:colOff>42340</xdr:colOff>
      <xdr:row>41</xdr:row>
      <xdr:rowOff>144720</xdr:rowOff>
    </xdr:to>
    <xdr:sp macro="" textlink="">
      <xdr:nvSpPr>
        <xdr:cNvPr id="127" name="CaixaDeTexto 126">
          <a:extLst>
            <a:ext uri="{FF2B5EF4-FFF2-40B4-BE49-F238E27FC236}">
              <a16:creationId xmlns:a16="http://schemas.microsoft.com/office/drawing/2014/main" id="{CA508886-0219-40CE-A125-DFD11927704D}"/>
            </a:ext>
          </a:extLst>
        </xdr:cNvPr>
        <xdr:cNvSpPr txBox="1"/>
      </xdr:nvSpPr>
      <xdr:spPr>
        <a:xfrm>
          <a:off x="8756658" y="5933722"/>
          <a:ext cx="1184626" cy="285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800" b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rPr>
            <a:t>nome do indicador</a:t>
          </a:r>
        </a:p>
      </xdr:txBody>
    </xdr:sp>
    <xdr:clientData/>
  </xdr:twoCellAnchor>
  <xdr:twoCellAnchor editAs="absolute">
    <xdr:from>
      <xdr:col>54</xdr:col>
      <xdr:colOff>7223</xdr:colOff>
      <xdr:row>40</xdr:row>
      <xdr:rowOff>106981</xdr:rowOff>
    </xdr:from>
    <xdr:to>
      <xdr:col>54</xdr:col>
      <xdr:colOff>52942</xdr:colOff>
      <xdr:row>40</xdr:row>
      <xdr:rowOff>146950</xdr:rowOff>
    </xdr:to>
    <xdr:sp macro="" textlink="">
      <xdr:nvSpPr>
        <xdr:cNvPr id="128" name="Fluxograma: Conector 127">
          <a:extLst>
            <a:ext uri="{FF2B5EF4-FFF2-40B4-BE49-F238E27FC236}">
              <a16:creationId xmlns:a16="http://schemas.microsoft.com/office/drawing/2014/main" id="{4D744D5E-60A3-4066-B759-1D557588619E}"/>
            </a:ext>
          </a:extLst>
        </xdr:cNvPr>
        <xdr:cNvSpPr/>
      </xdr:nvSpPr>
      <xdr:spPr>
        <a:xfrm>
          <a:off x="8770223" y="6033648"/>
          <a:ext cx="45719" cy="39969"/>
        </a:xfrm>
        <a:prstGeom prst="flowChartConnector">
          <a:avLst/>
        </a:prstGeom>
        <a:solidFill>
          <a:srgbClr val="52BF8A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E45F56"/>
            </a:solidFill>
          </a:endParaRPr>
        </a:p>
      </xdr:txBody>
    </xdr:sp>
    <xdr:clientData/>
  </xdr:twoCellAnchor>
  <xdr:twoCellAnchor>
    <xdr:from>
      <xdr:col>2</xdr:col>
      <xdr:colOff>42332</xdr:colOff>
      <xdr:row>2</xdr:row>
      <xdr:rowOff>35279</xdr:rowOff>
    </xdr:from>
    <xdr:to>
      <xdr:col>9</xdr:col>
      <xdr:colOff>70556</xdr:colOff>
      <xdr:row>10</xdr:row>
      <xdr:rowOff>14113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A4E46F49-88DB-4261-B519-91654AFE0C3F}"/>
            </a:ext>
          </a:extLst>
        </xdr:cNvPr>
        <xdr:cNvGrpSpPr/>
      </xdr:nvGrpSpPr>
      <xdr:grpSpPr>
        <a:xfrm>
          <a:off x="364065" y="323146"/>
          <a:ext cx="1154291" cy="1130300"/>
          <a:chOff x="366888" y="331612"/>
          <a:chExt cx="1164168" cy="1164168"/>
        </a:xfrm>
      </xdr:grpSpPr>
      <xdr:pic>
        <xdr:nvPicPr>
          <xdr:cNvPr id="9" name="Gráfico 8" descr="Quebra-cabeças">
            <a:extLst>
              <a:ext uri="{FF2B5EF4-FFF2-40B4-BE49-F238E27FC236}">
                <a16:creationId xmlns:a16="http://schemas.microsoft.com/office/drawing/2014/main" id="{5C8970A6-4691-4745-9F7E-506CE9F345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66888" y="331612"/>
            <a:ext cx="1164168" cy="1164168"/>
          </a:xfrm>
          <a:prstGeom prst="rect">
            <a:avLst/>
          </a:prstGeom>
        </xdr:spPr>
      </xdr:pic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A0D9281E-33A0-497A-877D-CBE71287B00E}"/>
              </a:ext>
            </a:extLst>
          </xdr:cNvPr>
          <xdr:cNvSpPr txBox="1"/>
        </xdr:nvSpPr>
        <xdr:spPr>
          <a:xfrm rot="18900000">
            <a:off x="663928" y="712611"/>
            <a:ext cx="618054" cy="2652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="1">
                <a:solidFill>
                  <a:schemeClr val="bg1"/>
                </a:solidFill>
                <a:latin typeface="Century Gothic" panose="020B0502020202020204" pitchFamily="34" charset="0"/>
              </a:rPr>
              <a:t>LOGO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RA" refreshedDate="45839.901066782404" missingItemsLimit="0" createdVersion="6" refreshedVersion="8" minRefreshableVersion="3" recordCount="8" xr:uid="{00000000-000A-0000-FFFF-FFFF06000000}">
  <cacheSource type="worksheet">
    <worksheetSource name="tab_dadosBase"/>
  </cacheSource>
  <cacheFields count="37">
    <cacheField name="id_tab" numFmtId="0">
      <sharedItems containsSemiMixedTypes="0" containsString="0" containsNumber="1" containsInteger="1" minValue="1" maxValue="8"/>
    </cacheField>
    <cacheField name="semestre" numFmtId="0">
      <sharedItems count="2">
        <s v="1º sem"/>
        <s v="2º sem"/>
      </sharedItems>
    </cacheField>
    <cacheField name="valor ums" numFmtId="164">
      <sharedItems containsSemiMixedTypes="0" containsString="0" containsNumber="1" minValue="32.53" maxValue="32.53"/>
    </cacheField>
    <cacheField name="mês_ano" numFmtId="166">
      <sharedItems containsSemiMixedTypes="0" containsNonDate="0" containsDate="1" containsString="0" minDate="2017-11-01T00:00:00" maxDate="2018-06-02T00:00:00" count="8"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</sharedItems>
    </cacheField>
    <cacheField name="mês" numFmtId="167">
      <sharedItems count="8">
        <s v="nov"/>
        <s v="dez"/>
        <s v="jan"/>
        <s v="fev"/>
        <s v="mar"/>
        <s v="abr"/>
        <s v="mai"/>
        <s v="jun"/>
      </sharedItems>
    </cacheField>
    <cacheField name="ano" numFmtId="168">
      <sharedItems count="2">
        <s v="2017"/>
        <s v="2018"/>
      </sharedItems>
    </cacheField>
    <cacheField name="executado (ums)" numFmtId="3">
      <sharedItems containsSemiMixedTypes="0" containsString="0" containsNumber="1" minValue="5789" maxValue="13106.7"/>
    </cacheField>
    <cacheField name="exec (ums) acumulado" numFmtId="3">
      <sharedItems containsSemiMixedTypes="0" containsString="0" containsNumber="1" minValue="5789" maxValue="92484.848000000013"/>
    </cacheField>
    <cacheField name="executado" numFmtId="169">
      <sharedItems containsSemiMixedTypes="0" containsString="0" containsNumber="1" minValue="3.0573658804516599E-2" maxValue="6.9220897193497624E-2"/>
    </cacheField>
    <cacheField name="executado acumulado" numFmtId="169">
      <sharedItems containsSemiMixedTypes="0" containsString="0" containsNumber="1" minValue="3.0573658804516599E-2" maxValue="0.48844363229220578"/>
    </cacheField>
    <cacheField name="emissão nf" numFmtId="14">
      <sharedItems containsSemiMixedTypes="0" containsNonDate="0" containsDate="1" containsString="0" minDate="2017-12-07T00:00:00" maxDate="2018-07-14T00:00:00"/>
    </cacheField>
    <cacheField name="recebimento" numFmtId="14">
      <sharedItems containsSemiMixedTypes="0" containsNonDate="0" containsDate="1" containsString="0" minDate="2018-01-15T00:00:00" maxDate="2018-07-24T00:00:00"/>
    </cacheField>
    <cacheField name="dias corridos p/ recebimento" numFmtId="1">
      <sharedItems containsSemiMixedTypes="0" containsString="0" containsNumber="1" containsInteger="1" minValue="10" maxValue="45"/>
    </cacheField>
    <cacheField name="receita (fat)" numFmtId="165">
      <sharedItems containsSemiMixedTypes="0" containsString="0" containsNumber="1" minValue="188316.17" maxValue="426360.95100000006"/>
    </cacheField>
    <cacheField name="transferência recebida" numFmtId="165">
      <sharedItems containsSemiMixedTypes="0" containsString="0" containsNumber="1" minValue="0" maxValue="3910.43"/>
    </cacheField>
    <cacheField name="resultado" numFmtId="165">
      <sharedItems containsSemiMixedTypes="0" containsString="0" containsNumber="1" minValue="56925.73900000006" maxValue="114517.37000000001"/>
    </cacheField>
    <cacheField name="despesa total" numFmtId="165">
      <sharedItems containsSemiMixedTypes="0" containsString="0" containsNumber="1" minValue="73798.8" maxValue="339104.24"/>
    </cacheField>
    <cacheField name="custo" numFmtId="165">
      <sharedItems containsSemiMixedTypes="0" containsString="0" containsNumber="1" minValue="7094.0387000000001" maxValue="142272.7923"/>
    </cacheField>
    <cacheField name="despesa" numFmtId="164">
      <sharedItems containsSemiMixedTypes="0" containsString="0" containsNumber="1" minValue="0" maxValue="2605.6351999999997"/>
    </cacheField>
    <cacheField name="custo + despesa" numFmtId="164">
      <sharedItems containsSemiMixedTypes="0" containsString="0" containsNumber="1" minValue="7094.0387000000001" maxValue="142756.43609999999"/>
    </cacheField>
    <cacheField name="imposto" numFmtId="164">
      <sharedItems containsSemiMixedTypes="0" containsString="0" containsNumber="1" minValue="37672.767000000007" maxValue="91604.513000000006"/>
    </cacheField>
    <cacheField name="juros" numFmtId="164">
      <sharedItems containsSemiMixedTypes="0" containsString="0" containsNumber="1" minValue="0" maxValue="4675.8"/>
    </cacheField>
    <cacheField name="salários e ordenados" numFmtId="165">
      <sharedItems containsSemiMixedTypes="0" containsString="0" containsNumber="1" minValue="0" maxValue="94974.421440000006"/>
    </cacheField>
    <cacheField name="glosa" numFmtId="165">
      <sharedItems containsSemiMixedTypes="0" containsString="0" containsNumber="1" minValue="0" maxValue="2087.4499999999998"/>
    </cacheField>
    <cacheField name="meta faturamento" numFmtId="169">
      <sharedItems containsSemiMixedTypes="0" containsString="0" containsNumber="1" minValue="1.7566666666666668E-2" maxValue="7.8333333333333324E-2"/>
    </cacheField>
    <cacheField name="meta fat acumulado" numFmtId="169">
      <sharedItems containsSemiMixedTypes="0" containsString="0" containsNumber="1" minValue="1.7566666666666668E-2" maxValue="0.40589999999999998"/>
    </cacheField>
    <cacheField name="meta fat (ums)" numFmtId="3">
      <sharedItems containsSemiMixedTypes="0" containsString="0" containsNumber="1" minValue="3326.1780666666668" maxValue="14832.103333333331"/>
    </cacheField>
    <cacheField name="meta fat (ums) acum" numFmtId="3">
      <sharedItems containsSemiMixedTypes="0" containsString="0" containsNumber="1" minValue="3326.1780666666668" maxValue="76855.541400000002"/>
    </cacheField>
    <cacheField name="meta fat (ums) acima" numFmtId="171">
      <sharedItems containsSemiMixedTypes="0" containsString="0" containsNumber="1" minValue="2462.8219333333332" maxValue="18049.311933333345"/>
    </cacheField>
    <cacheField name="meta fat (ums) abaixo" numFmtId="171">
      <sharedItems/>
    </cacheField>
    <cacheField name="meta fat acima" numFmtId="172">
      <sharedItems containsSemiMixedTypes="0" containsString="0" containsNumber="1" minValue="0.20335952769698418" maxValue="0.74043598507684627"/>
    </cacheField>
    <cacheField name="meta fat abaixo" numFmtId="172">
      <sharedItems/>
    </cacheField>
    <cacheField name="custo + despesa + imposto" numFmtId="165">
      <sharedItems containsSemiMixedTypes="0" containsString="0" containsNumber="1" minValue="44766.805700000004" maxValue="227844.27409999998"/>
    </cacheField>
    <cacheField name="faturamento + transf recebida" numFmtId="165">
      <sharedItems containsSemiMixedTypes="0" containsString="0" containsNumber="1" minValue="188316.17" maxValue="426360.95100000006"/>
    </cacheField>
    <cacheField name="meta receita/desp" numFmtId="9">
      <sharedItems containsSemiMixedTypes="0" containsString="0" containsNumber="1" minValue="0.4399678111411876" maxValue="0.4399678111411876"/>
    </cacheField>
    <cacheField name="razão" numFmtId="9">
      <sharedItems containsSemiMixedTypes="0" containsString="0" containsNumber="1" minValue="0.23772151748838138" maxValue="0.56969555706985331"/>
    </cacheField>
    <cacheField name="meta razão abaixo" numFmtId="9">
      <sharedItems containsMixedTypes="1" containsNumber="1" minValue="0.4898624621261326" maxValue="0.56969555706985331"/>
    </cacheField>
  </cacheFields>
  <extLst>
    <ext xmlns:x14="http://schemas.microsoft.com/office/spreadsheetml/2009/9/main" uri="{725AE2AE-9491-48be-B2B4-4EB974FC3084}">
      <x14:pivotCacheDefinition pivotCacheId="1936058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x v="0"/>
    <n v="32.53"/>
    <x v="0"/>
    <x v="0"/>
    <x v="0"/>
    <n v="5789"/>
    <n v="5789"/>
    <n v="3.0573658804516599E-2"/>
    <n v="3.0573658804516599E-2"/>
    <d v="2017-12-07T00:00:00"/>
    <d v="2018-01-21T00:00:00"/>
    <n v="45"/>
    <n v="188316.17"/>
    <n v="0"/>
    <n v="114517.37000000001"/>
    <n v="73798.8"/>
    <n v="7094.0387000000001"/>
    <n v="0"/>
    <n v="7094.0387000000001"/>
    <n v="37672.767000000007"/>
    <n v="0"/>
    <n v="0"/>
    <n v="0"/>
    <n v="1.7566666666666668E-2"/>
    <n v="1.7566666666666668E-2"/>
    <n v="3326.1780666666668"/>
    <n v="3326.1780666666668"/>
    <n v="2462.8219333333332"/>
    <e v="#N/A"/>
    <n v="0.74043598507684627"/>
    <e v="#N/A"/>
    <n v="44766.805700000004"/>
    <n v="188316.17"/>
    <n v="0.4399678111411876"/>
    <n v="0.23772151748838138"/>
    <e v="#N/A"/>
  </r>
  <r>
    <n v="2"/>
    <x v="0"/>
    <n v="32.53"/>
    <x v="1"/>
    <x v="1"/>
    <x v="0"/>
    <n v="12174.300000000001"/>
    <n v="17963.300000000003"/>
    <n v="6.4296578750013211E-2"/>
    <n v="9.4870237554529807E-2"/>
    <d v="2017-12-30T00:00:00"/>
    <d v="2018-01-15T00:00:00"/>
    <n v="16"/>
    <n v="396029.97900000005"/>
    <n v="3910.43"/>
    <n v="56925.73900000006"/>
    <n v="339104.24"/>
    <n v="142272.7923"/>
    <n v="483.6438"/>
    <n v="142756.43609999999"/>
    <n v="85087.838000000003"/>
    <n v="0"/>
    <n v="94974.421440000006"/>
    <n v="0"/>
    <n v="5.1666666666666666E-2"/>
    <n v="6.9233333333333341E-2"/>
    <n v="9782.876666666667"/>
    <n v="13109.054733333334"/>
    <n v="4854.2452666666686"/>
    <e v="#N/A"/>
    <n v="0.37029712404231785"/>
    <e v="#N/A"/>
    <n v="227844.27409999998"/>
    <n v="399940.40900000004"/>
    <n v="0.4399678111411876"/>
    <n v="0.56969555706985331"/>
    <n v="0.56969555706985331"/>
  </r>
  <r>
    <n v="3"/>
    <x v="0"/>
    <n v="32.53"/>
    <x v="2"/>
    <x v="2"/>
    <x v="1"/>
    <n v="13106.7"/>
    <n v="31070.000000000004"/>
    <n v="6.9220897193497624E-2"/>
    <n v="0.16409113474802745"/>
    <d v="2018-02-05T00:00:00"/>
    <d v="2018-03-08T00:00:00"/>
    <n v="31"/>
    <n v="426360.95100000006"/>
    <n v="0"/>
    <n v="103144.99100000004"/>
    <n v="323215.96000000002"/>
    <n v="116889.8143"/>
    <n v="588.59260000000006"/>
    <n v="117478.4069"/>
    <n v="91604.513000000006"/>
    <n v="0"/>
    <n v="75551.530079999997"/>
    <n v="0"/>
    <n v="5.1666666666666666E-2"/>
    <n v="0.12090000000000001"/>
    <n v="9782.876666666667"/>
    <n v="22891.931400000001"/>
    <n v="8178.0686000000023"/>
    <e v="#N/A"/>
    <n v="0.35724677210940792"/>
    <e v="#N/A"/>
    <n v="209082.91990000001"/>
    <n v="426360.95100000006"/>
    <n v="0.4399678111411876"/>
    <n v="0.49038946791353782"/>
    <n v="0.49038946791353782"/>
  </r>
  <r>
    <n v="4"/>
    <x v="0"/>
    <n v="32.53"/>
    <x v="3"/>
    <x v="3"/>
    <x v="1"/>
    <n v="11335.95"/>
    <n v="42405.950000000004"/>
    <n v="5.9868970033694929E-2"/>
    <n v="0.22396010478172237"/>
    <d v="2018-03-13T00:00:00"/>
    <d v="2018-04-09T00:00:00"/>
    <n v="27"/>
    <n v="368758.45350000006"/>
    <n v="0"/>
    <n v="82932.283500000078"/>
    <n v="285826.17"/>
    <n v="105533.5478"/>
    <n v="2605.6351999999997"/>
    <n v="108139.183"/>
    <n v="79228.501000000004"/>
    <n v="0"/>
    <n v="69131.606400000004"/>
    <n v="0"/>
    <n v="5.1666666666666666E-2"/>
    <n v="0.17256666666666667"/>
    <n v="9782.876666666667"/>
    <n v="32674.808066666668"/>
    <n v="9731.1419333333361"/>
    <e v="#N/A"/>
    <n v="0.29781787588403907"/>
    <e v="#N/A"/>
    <n v="187367.68400000001"/>
    <n v="368758.45350000006"/>
    <n v="0.4399678111411876"/>
    <n v="0.50810410506290937"/>
    <n v="0.50810410506290937"/>
  </r>
  <r>
    <n v="5"/>
    <x v="0"/>
    <n v="32.53"/>
    <x v="4"/>
    <x v="4"/>
    <x v="1"/>
    <n v="12431.7"/>
    <n v="54837.650000000009"/>
    <n v="6.5655994845415275E-2"/>
    <n v="0.28961609962713764"/>
    <d v="2018-04-14T00:00:00"/>
    <d v="2018-05-25T00:00:00"/>
    <n v="41"/>
    <n v="404403.20100000006"/>
    <n v="0"/>
    <n v="85716.451000000059"/>
    <n v="318686.75"/>
    <n v="119761.1501"/>
    <n v="234.91549999999998"/>
    <n v="119996.0656"/>
    <n v="86886.843999999997"/>
    <n v="4675.8"/>
    <n v="77730.197759999995"/>
    <n v="0"/>
    <n v="5.1666666666666666E-2"/>
    <n v="0.22423333333333334"/>
    <n v="9782.876666666667"/>
    <n v="42457.684733333335"/>
    <n v="12379.965266666673"/>
    <e v="#N/A"/>
    <n v="0.29158361659196208"/>
    <e v="#N/A"/>
    <n v="206882.90960000001"/>
    <n v="404403.20100000006"/>
    <n v="0.4399678111411876"/>
    <n v="0.51157584581037974"/>
    <n v="0.51157584581037974"/>
  </r>
  <r>
    <n v="6"/>
    <x v="0"/>
    <n v="32.53"/>
    <x v="5"/>
    <x v="5"/>
    <x v="1"/>
    <n v="12594.6"/>
    <n v="67432.250000000015"/>
    <n v="6.6516324612085814E-2"/>
    <n v="0.35613242423922342"/>
    <d v="2018-05-02T00:00:00"/>
    <d v="2018-06-16T00:00:00"/>
    <n v="45"/>
    <n v="409702.33800000005"/>
    <n v="0"/>
    <n v="83913.388000000035"/>
    <n v="325788.95"/>
    <n v="125035.55710000002"/>
    <n v="2.2694999999999999"/>
    <n v="125037.82660000001"/>
    <n v="88025.377000000008"/>
    <n v="0"/>
    <n v="84196.852320000005"/>
    <n v="0"/>
    <n v="5.1666666666666666E-2"/>
    <n v="0.27590000000000003"/>
    <n v="9782.876666666667"/>
    <n v="52240.561400000006"/>
    <n v="15191.688600000009"/>
    <e v="#N/A"/>
    <n v="0.29080255251621412"/>
    <e v="#N/A"/>
    <n v="213063.20360000001"/>
    <n v="409702.33800000005"/>
    <n v="0.4399678111411876"/>
    <n v="0.52004390465548178"/>
    <n v="0.52004390465548178"/>
  </r>
  <r>
    <n v="7"/>
    <x v="0"/>
    <n v="32.53"/>
    <x v="6"/>
    <x v="6"/>
    <x v="1"/>
    <n v="12640.5"/>
    <n v="80072.750000000015"/>
    <n v="6.6758737971755411E-2"/>
    <n v="0.42289116221097883"/>
    <d v="2018-06-10T00:00:00"/>
    <d v="2018-07-10T00:00:00"/>
    <n v="30"/>
    <n v="411195.46500000003"/>
    <n v="0"/>
    <n v="101266.315"/>
    <n v="309929.15000000002"/>
    <n v="112778.9221"/>
    <n v="304.13080000000002"/>
    <n v="113083.0529"/>
    <n v="88346.17"/>
    <n v="0"/>
    <n v="76190.741760000004"/>
    <n v="0"/>
    <n v="5.1666666666666666E-2"/>
    <n v="0.32756666666666667"/>
    <n v="9782.876666666667"/>
    <n v="62023.438066666669"/>
    <n v="18049.311933333345"/>
    <e v="#N/A"/>
    <n v="0.29100792371317463"/>
    <e v="#N/A"/>
    <n v="201429.22289999999"/>
    <n v="411195.46500000003"/>
    <n v="0.4399678111411876"/>
    <n v="0.4898624621261326"/>
    <n v="0.4898624621261326"/>
  </r>
  <r>
    <n v="8"/>
    <x v="1"/>
    <n v="32.53"/>
    <x v="7"/>
    <x v="7"/>
    <x v="1"/>
    <n v="12412.098"/>
    <n v="92484.848000000013"/>
    <n v="6.5552470081226957E-2"/>
    <n v="0.48844363229220578"/>
    <d v="2018-07-13T00:00:00"/>
    <d v="2018-07-23T00:00:00"/>
    <n v="10"/>
    <n v="403765.54794000002"/>
    <n v="0"/>
    <n v="74322.25794000004"/>
    <n v="329443.28999999998"/>
    <n v="131872.05650000001"/>
    <n v="248.88849999999999"/>
    <n v="132120.94500000001"/>
    <n v="86517.354000000007"/>
    <n v="0"/>
    <n v="81284.571840000004"/>
    <n v="2087.4499999999998"/>
    <n v="7.8333333333333324E-2"/>
    <n v="0.40589999999999998"/>
    <n v="14832.103333333331"/>
    <n v="76855.541400000002"/>
    <n v="15629.306600000011"/>
    <e v="#N/A"/>
    <n v="0.20335952769698418"/>
    <e v="#N/A"/>
    <n v="218638.299"/>
    <n v="403765.54794000002"/>
    <n v="0.4399678111411876"/>
    <n v="0.54149815435092519"/>
    <n v="0.541498154350925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8000000}" name="tab_inicioSemestre" cacheId="7" applyNumberFormats="0" applyBorderFormats="0" applyFontFormats="0" applyPatternFormats="0" applyAlignmentFormats="0" applyWidthHeightFormats="1" dataCaption="Valores" updatedVersion="8" minRefreshableVersion="3" useAutoFormatting="1" rowGrandTotals="0" itemPrintTitles="1" mergeItem="1" createdVersion="6" indent="0" multipleFieldFilters="0">
  <location ref="AT2:AT4" firstHeaderRow="1" firstDataRow="1" firstDataCol="1"/>
  <pivotFields count="37">
    <pivotField showAll="0"/>
    <pivotField name="tab_inicioSemestre" axis="axisRow" showAll="0">
      <items count="3">
        <item x="0"/>
        <item x="1"/>
        <item t="default"/>
      </items>
    </pivotField>
    <pivotField numFmtId="164" showAll="0"/>
    <pivotField name="tab_fimPeriodo" numFmtId="166" showAll="0" sortType="descending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1"/>
  </rowFields>
  <rowItems count="2">
    <i>
      <x/>
    </i>
    <i>
      <x v="1"/>
    </i>
  </rowItems>
  <colItems count="1">
    <i/>
  </colItems>
  <formats count="14">
    <format dxfId="374">
      <pivotArea outline="0" collapsedLevelsAreSubtotals="1" fieldPosition="0"/>
    </format>
    <format dxfId="373">
      <pivotArea type="all" dataOnly="0" outline="0" fieldPosition="0"/>
    </format>
    <format dxfId="372">
      <pivotArea outline="0" collapsedLevelsAreSubtotals="1" fieldPosition="0"/>
    </format>
    <format dxfId="371">
      <pivotArea dataOnly="0" labelOnly="1" outline="0" axis="axisValues" fieldPosition="0"/>
    </format>
    <format dxfId="370">
      <pivotArea type="all" dataOnly="0" outline="0" fieldPosition="0"/>
    </format>
    <format dxfId="369">
      <pivotArea outline="0" collapsedLevelsAreSubtotals="1" fieldPosition="0"/>
    </format>
    <format dxfId="368">
      <pivotArea dataOnly="0" labelOnly="1" outline="0" axis="axisValues" fieldPosition="0"/>
    </format>
    <format dxfId="367">
      <pivotArea type="all" dataOnly="0" outline="0" fieldPosition="0"/>
    </format>
    <format dxfId="366">
      <pivotArea outline="0" collapsedLevelsAreSubtotals="1" fieldPosition="0"/>
    </format>
    <format dxfId="365">
      <pivotArea dataOnly="0" labelOnly="1" outline="0" axis="axisValues" fieldPosition="0"/>
    </format>
    <format dxfId="364">
      <pivotArea outline="0" collapsedLevelsAreSubtotals="1" fieldPosition="0"/>
    </format>
    <format dxfId="363">
      <pivotArea dataOnly="0" labelOnly="1" outline="0" axis="axisValues" fieldPosition="0"/>
    </format>
    <format dxfId="362">
      <pivotArea field="3" type="button" dataOnly="0" labelOnly="1" outline="0"/>
    </format>
    <format dxfId="361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F000000}" name="tab_despesa" cacheId="7" applyNumberFormats="0" applyBorderFormats="0" applyFontFormats="0" applyPatternFormats="0" applyAlignmentFormats="0" applyWidthHeightFormats="1" dataCaption="Valores" updatedVersion="8" minRefreshableVersion="3" itemPrintTitles="1" mergeItem="1" createdVersion="6" indent="0" multipleFieldFilters="0">
  <location ref="C6:C7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despesa" fld="18" baseField="0" baseItem="0"/>
  </dataFields>
  <formats count="11">
    <format dxfId="506">
      <pivotArea outline="0" collapsedLevelsAreSubtotals="1" fieldPosition="0"/>
    </format>
    <format dxfId="505">
      <pivotArea type="all" dataOnly="0" outline="0" fieldPosition="0"/>
    </format>
    <format dxfId="504">
      <pivotArea outline="0" collapsedLevelsAreSubtotals="1" fieldPosition="0"/>
    </format>
    <format dxfId="503">
      <pivotArea dataOnly="0" labelOnly="1" outline="0" axis="axisValues" fieldPosition="0"/>
    </format>
    <format dxfId="502">
      <pivotArea type="all" dataOnly="0" outline="0" fieldPosition="0"/>
    </format>
    <format dxfId="501">
      <pivotArea outline="0" collapsedLevelsAreSubtotals="1" fieldPosition="0"/>
    </format>
    <format dxfId="500">
      <pivotArea dataOnly="0" labelOnly="1" outline="0" axis="axisValues" fieldPosition="0"/>
    </format>
    <format dxfId="499">
      <pivotArea type="all" dataOnly="0" outline="0" fieldPosition="0"/>
    </format>
    <format dxfId="498">
      <pivotArea outline="0" collapsedLevelsAreSubtotals="1" fieldPosition="0"/>
    </format>
    <format dxfId="497">
      <pivotArea dataOnly="0" labelOnly="1" outline="0" axis="axisValues" fieldPosition="0"/>
    </format>
    <format dxfId="49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E000000}" name="tab_despesaTotalTipo" cacheId="7" applyNumberFormats="0" applyBorderFormats="0" applyFontFormats="0" applyPatternFormats="0" applyAlignmentFormats="0" applyWidthHeightFormats="1" dataCaption="Valores" updatedVersion="8" minRefreshableVersion="3" rowGrandTotals="0" itemPrintTitles="1" mergeItem="1" createdVersion="6" indent="0" multipleFieldFilters="0" chartFormat="21">
  <location ref="AI2:AL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dataField="1" numFmtId="165" showAll="0"/>
    <pivotField numFmtId="165" showAll="0"/>
    <pivotField numFmtId="164" showAll="0"/>
    <pivotField dataField="1" numFmtId="164" showAll="0"/>
    <pivotField numFmtId="164" showAll="0"/>
    <pivotField numFmtId="164" showAll="0"/>
    <pivotField dataField="1"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espesa total" fld="16" baseField="0" baseItem="0"/>
    <dataField name="Soma de custo + despesa" fld="19" baseField="0" baseItem="0"/>
    <dataField name="Soma de salários e ordenados" fld="22" baseField="0" baseItem="0"/>
  </dataFields>
  <formats count="18">
    <format dxfId="524">
      <pivotArea outline="0" collapsedLevelsAreSubtotals="1" fieldPosition="0"/>
    </format>
    <format dxfId="523">
      <pivotArea outline="0" collapsedLevelsAreSubtotals="1" fieldPosition="0"/>
    </format>
    <format dxfId="522">
      <pivotArea field="3" type="button" dataOnly="0" labelOnly="1" outline="0" axis="axisRow" fieldPosition="0"/>
    </format>
    <format dxfId="521">
      <pivotArea dataOnly="0" labelOnly="1" fieldPosition="0">
        <references count="1">
          <reference field="3" count="0"/>
        </references>
      </pivotArea>
    </format>
    <format dxfId="520">
      <pivotArea type="all" dataOnly="0" outline="0" fieldPosition="0"/>
    </format>
    <format dxfId="519">
      <pivotArea outline="0" collapsedLevelsAreSubtotals="1" fieldPosition="0"/>
    </format>
    <format dxfId="518">
      <pivotArea field="3" type="button" dataOnly="0" labelOnly="1" outline="0" axis="axisRow" fieldPosition="0"/>
    </format>
    <format dxfId="517">
      <pivotArea dataOnly="0" labelOnly="1" fieldPosition="0">
        <references count="1">
          <reference field="3" count="0"/>
        </references>
      </pivotArea>
    </format>
    <format dxfId="516">
      <pivotArea type="all" dataOnly="0" outline="0" fieldPosition="0"/>
    </format>
    <format dxfId="515">
      <pivotArea outline="0" collapsedLevelsAreSubtotals="1" fieldPosition="0"/>
    </format>
    <format dxfId="514">
      <pivotArea field="3" type="button" dataOnly="0" labelOnly="1" outline="0" axis="axisRow" fieldPosition="0"/>
    </format>
    <format dxfId="513">
      <pivotArea dataOnly="0" labelOnly="1" fieldPosition="0">
        <references count="1">
          <reference field="3" count="0"/>
        </references>
      </pivotArea>
    </format>
    <format dxfId="512">
      <pivotArea type="all" dataOnly="0" outline="0" fieldPosition="0"/>
    </format>
    <format dxfId="511">
      <pivotArea outline="0" collapsedLevelsAreSubtotals="1" fieldPosition="0"/>
    </format>
    <format dxfId="510">
      <pivotArea field="3" type="button" dataOnly="0" labelOnly="1" outline="0" axis="axisRow" fieldPosition="0"/>
    </format>
    <format dxfId="509">
      <pivotArea dataOnly="0" labelOnly="1" fieldPosition="0">
        <references count="1">
          <reference field="3" count="0"/>
        </references>
      </pivotArea>
    </format>
    <format dxfId="508">
      <pivotArea field="3" type="button" dataOnly="0" labelOnly="1" outline="0" axis="axisRow" fieldPosition="0"/>
    </format>
    <format dxfId="50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4"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D000000}" name="tab_maiorResultado" cacheId="7" applyNumberFormats="0" applyBorderFormats="0" applyFontFormats="0" applyPatternFormats="0" applyAlignmentFormats="0" applyWidthHeightFormats="1" dataCaption="Valores" updatedVersion="8" minRefreshableVersion="3" rowGrandTotals="0" itemPrintTitles="1" mergeItem="1" createdVersion="6" indent="0" multipleFieldFilters="0" chartFormat="8">
  <location ref="AZ2:BA3" firstHeaderRow="1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aiorResultado" axis="axisRow" numFmtId="166" showAll="0" measureFilter="1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dataField="1"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1">
    <i>
      <x/>
    </i>
  </rowItems>
  <colItems count="1">
    <i/>
  </colItems>
  <dataFields count="1">
    <dataField name="Soma de resultado" fld="15" baseField="0" baseItem="0"/>
  </dataFields>
  <formats count="18">
    <format dxfId="542">
      <pivotArea outline="0" collapsedLevelsAreSubtotals="1" fieldPosition="0"/>
    </format>
    <format dxfId="541">
      <pivotArea outline="0" collapsedLevelsAreSubtotals="1" fieldPosition="0"/>
    </format>
    <format dxfId="540">
      <pivotArea field="3" type="button" dataOnly="0" labelOnly="1" outline="0" axis="axisRow" fieldPosition="0"/>
    </format>
    <format dxfId="539">
      <pivotArea dataOnly="0" labelOnly="1" fieldPosition="0">
        <references count="1">
          <reference field="3" count="0"/>
        </references>
      </pivotArea>
    </format>
    <format dxfId="538">
      <pivotArea type="all" dataOnly="0" outline="0" fieldPosition="0"/>
    </format>
    <format dxfId="537">
      <pivotArea outline="0" collapsedLevelsAreSubtotals="1" fieldPosition="0"/>
    </format>
    <format dxfId="536">
      <pivotArea field="3" type="button" dataOnly="0" labelOnly="1" outline="0" axis="axisRow" fieldPosition="0"/>
    </format>
    <format dxfId="535">
      <pivotArea dataOnly="0" labelOnly="1" fieldPosition="0">
        <references count="1">
          <reference field="3" count="0"/>
        </references>
      </pivotArea>
    </format>
    <format dxfId="534">
      <pivotArea type="all" dataOnly="0" outline="0" fieldPosition="0"/>
    </format>
    <format dxfId="533">
      <pivotArea outline="0" collapsedLevelsAreSubtotals="1" fieldPosition="0"/>
    </format>
    <format dxfId="532">
      <pivotArea field="3" type="button" dataOnly="0" labelOnly="1" outline="0" axis="axisRow" fieldPosition="0"/>
    </format>
    <format dxfId="531">
      <pivotArea dataOnly="0" labelOnly="1" fieldPosition="0">
        <references count="1">
          <reference field="3" count="0"/>
        </references>
      </pivotArea>
    </format>
    <format dxfId="530">
      <pivotArea type="all" dataOnly="0" outline="0" fieldPosition="0"/>
    </format>
    <format dxfId="529">
      <pivotArea outline="0" collapsedLevelsAreSubtotals="1" fieldPosition="0"/>
    </format>
    <format dxfId="528">
      <pivotArea field="3" type="button" dataOnly="0" labelOnly="1" outline="0" axis="axisRow" fieldPosition="0"/>
    </format>
    <format dxfId="527">
      <pivotArea dataOnly="0" labelOnly="1" fieldPosition="0">
        <references count="1">
          <reference field="3" count="0"/>
        </references>
      </pivotArea>
    </format>
    <format dxfId="526">
      <pivotArea field="3" type="button" dataOnly="0" labelOnly="1" outline="0" axis="axisRow" fieldPosition="0"/>
    </format>
    <format dxfId="525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C000000}" name="tab_entradaSaida" cacheId="7" applyNumberFormats="0" applyBorderFormats="0" applyFontFormats="0" applyPatternFormats="0" applyAlignmentFormats="0" applyWidthHeightFormats="1" dataCaption="Valores" updatedVersion="8" minRefreshableVersion="3" rowGrandTotals="0" itemPrintTitles="1" mergeItem="1" createdVersion="6" indent="0" multipleFieldFilters="0" chartFormat="8">
  <location ref="E2:H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dataField="1" numFmtId="165" showAll="0"/>
    <pivotField numFmtId="165" showAll="0"/>
    <pivotField dataField="1" numFmtId="165" showAll="0"/>
    <pivotField dataField="1"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tab_receitaMes" fld="13" baseField="0" baseItem="0"/>
    <dataField name="tab_despesaMes" fld="16" baseField="0" baseItem="0"/>
    <dataField name="tab_resultadoMes" fld="15" baseField="0" baseItem="0"/>
  </dataFields>
  <formats count="23">
    <format dxfId="565">
      <pivotArea outline="0" collapsedLevelsAreSubtotals="1" fieldPosition="0"/>
    </format>
    <format dxfId="5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3">
      <pivotArea outline="0" collapsedLevelsAreSubtotals="1" fieldPosition="0"/>
    </format>
    <format dxfId="5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1">
      <pivotArea field="3" type="button" dataOnly="0" labelOnly="1" outline="0" axis="axisRow" fieldPosition="0"/>
    </format>
    <format dxfId="560">
      <pivotArea dataOnly="0" labelOnly="1" fieldPosition="0">
        <references count="1">
          <reference field="3" count="0"/>
        </references>
      </pivotArea>
    </format>
    <format dxfId="559">
      <pivotArea type="all" dataOnly="0" outline="0" fieldPosition="0"/>
    </format>
    <format dxfId="558">
      <pivotArea outline="0" collapsedLevelsAreSubtotals="1" fieldPosition="0"/>
    </format>
    <format dxfId="557">
      <pivotArea field="3" type="button" dataOnly="0" labelOnly="1" outline="0" axis="axisRow" fieldPosition="0"/>
    </format>
    <format dxfId="556">
      <pivotArea dataOnly="0" labelOnly="1" fieldPosition="0">
        <references count="1">
          <reference field="3" count="0"/>
        </references>
      </pivotArea>
    </format>
    <format dxfId="5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4">
      <pivotArea type="all" dataOnly="0" outline="0" fieldPosition="0"/>
    </format>
    <format dxfId="553">
      <pivotArea outline="0" collapsedLevelsAreSubtotals="1" fieldPosition="0"/>
    </format>
    <format dxfId="552">
      <pivotArea field="3" type="button" dataOnly="0" labelOnly="1" outline="0" axis="axisRow" fieldPosition="0"/>
    </format>
    <format dxfId="551">
      <pivotArea dataOnly="0" labelOnly="1" fieldPosition="0">
        <references count="1">
          <reference field="3" count="0"/>
        </references>
      </pivotArea>
    </format>
    <format dxfId="5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9">
      <pivotArea type="all" dataOnly="0" outline="0" fieldPosition="0"/>
    </format>
    <format dxfId="548">
      <pivotArea outline="0" collapsedLevelsAreSubtotals="1" fieldPosition="0"/>
    </format>
    <format dxfId="547">
      <pivotArea field="3" type="button" dataOnly="0" labelOnly="1" outline="0" axis="axisRow" fieldPosition="0"/>
    </format>
    <format dxfId="546">
      <pivotArea dataOnly="0" labelOnly="1" fieldPosition="0">
        <references count="1">
          <reference field="3" count="0"/>
        </references>
      </pivotArea>
    </format>
    <format dxfId="5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4">
      <pivotArea field="3" type="button" dataOnly="0" labelOnly="1" outline="0" axis="axisRow" fieldPosition="0"/>
    </format>
    <format dxfId="5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tab_custoDesp" cacheId="7" applyNumberFormats="0" applyBorderFormats="0" applyFontFormats="0" applyPatternFormats="0" applyAlignmentFormats="0" applyWidthHeightFormats="1" dataCaption="Valores" updatedVersion="8" minRefreshableVersion="3" itemPrintTitles="1" mergeItem="1" createdVersion="6" indent="0" multipleFieldFilters="0">
  <location ref="C14:C15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dataField="1"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custoDesp" fld="19" baseField="0" baseItem="0"/>
  </dataFields>
  <formats count="11">
    <format dxfId="576">
      <pivotArea outline="0" collapsedLevelsAreSubtotals="1" fieldPosition="0"/>
    </format>
    <format dxfId="575">
      <pivotArea type="all" dataOnly="0" outline="0" fieldPosition="0"/>
    </format>
    <format dxfId="574">
      <pivotArea outline="0" collapsedLevelsAreSubtotals="1" fieldPosition="0"/>
    </format>
    <format dxfId="573">
      <pivotArea dataOnly="0" labelOnly="1" outline="0" axis="axisValues" fieldPosition="0"/>
    </format>
    <format dxfId="572">
      <pivotArea type="all" dataOnly="0" outline="0" fieldPosition="0"/>
    </format>
    <format dxfId="571">
      <pivotArea outline="0" collapsedLevelsAreSubtotals="1" fieldPosition="0"/>
    </format>
    <format dxfId="570">
      <pivotArea dataOnly="0" labelOnly="1" outline="0" axis="axisValues" fieldPosition="0"/>
    </format>
    <format dxfId="569">
      <pivotArea type="all" dataOnly="0" outline="0" fieldPosition="0"/>
    </format>
    <format dxfId="568">
      <pivotArea outline="0" collapsedLevelsAreSubtotals="1" fieldPosition="0"/>
    </format>
    <format dxfId="567">
      <pivotArea dataOnly="0" labelOnly="1" outline="0" axis="axisValues" fieldPosition="0"/>
    </format>
    <format dxfId="56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tab_custo" cacheId="7" applyNumberFormats="0" applyBorderFormats="0" applyFontFormats="0" applyPatternFormats="0" applyAlignmentFormats="0" applyWidthHeightFormats="1" dataCaption="Valores" updatedVersion="8" minRefreshableVersion="3" itemPrintTitles="1" mergeItem="1" createdVersion="6" indent="0" multipleFieldFilters="0">
  <location ref="C10:C11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custo" fld="17" baseField="0" baseItem="0"/>
  </dataFields>
  <formats count="11">
    <format dxfId="587">
      <pivotArea outline="0" collapsedLevelsAreSubtotals="1" fieldPosition="0"/>
    </format>
    <format dxfId="586">
      <pivotArea type="all" dataOnly="0" outline="0" fieldPosition="0"/>
    </format>
    <format dxfId="585">
      <pivotArea outline="0" collapsedLevelsAreSubtotals="1" fieldPosition="0"/>
    </format>
    <format dxfId="584">
      <pivotArea dataOnly="0" labelOnly="1" outline="0" axis="axisValues" fieldPosition="0"/>
    </format>
    <format dxfId="583">
      <pivotArea type="all" dataOnly="0" outline="0" fieldPosition="0"/>
    </format>
    <format dxfId="582">
      <pivotArea outline="0" collapsedLevelsAreSubtotals="1" fieldPosition="0"/>
    </format>
    <format dxfId="581">
      <pivotArea dataOnly="0" labelOnly="1" outline="0" axis="axisValues" fieldPosition="0"/>
    </format>
    <format dxfId="580">
      <pivotArea type="all" dataOnly="0" outline="0" fieldPosition="0"/>
    </format>
    <format dxfId="579">
      <pivotArea outline="0" collapsedLevelsAreSubtotals="1" fieldPosition="0"/>
    </format>
    <format dxfId="578">
      <pivotArea dataOnly="0" labelOnly="1" outline="0" axis="axisValues" fieldPosition="0"/>
    </format>
    <format dxfId="57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tab_metaFatUMS" cacheId="7" applyNumberFormats="0" applyBorderFormats="0" applyFontFormats="0" applyPatternFormats="0" applyAlignmentFormats="0" applyWidthHeightFormats="1" dataCaption="Valores" updatedVersion="8" minRefreshableVersion="5" itemPrintTitles="1" mergeItem="1" createdVersion="6" indent="0" multipleFieldFilters="0" chartFormat="20">
  <location ref="O2:P3" firstHeaderRow="0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dataField="1"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dataField="1"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ab_metaFat" fld="26" baseField="0" baseItem="0" numFmtId="3"/>
    <dataField name="tab_executadoFat" fld="6" baseField="0" baseItem="0"/>
  </dataFields>
  <formats count="12">
    <format dxfId="599">
      <pivotArea outline="0" collapsedLevelsAreSubtotals="1" fieldPosition="0"/>
    </format>
    <format dxfId="598">
      <pivotArea type="all" dataOnly="0" outline="0" fieldPosition="0"/>
    </format>
    <format dxfId="597">
      <pivotArea outline="0" collapsedLevelsAreSubtotals="1" fieldPosition="0"/>
    </format>
    <format dxfId="596">
      <pivotArea dataOnly="0" labelOnly="1" outline="0" axis="axisValues" fieldPosition="0"/>
    </format>
    <format dxfId="595">
      <pivotArea type="all" dataOnly="0" outline="0" fieldPosition="0"/>
    </format>
    <format dxfId="594">
      <pivotArea outline="0" collapsedLevelsAreSubtotals="1" fieldPosition="0"/>
    </format>
    <format dxfId="593">
      <pivotArea dataOnly="0" labelOnly="1" outline="0" axis="axisValues" fieldPosition="0"/>
    </format>
    <format dxfId="592">
      <pivotArea type="all" dataOnly="0" outline="0" fieldPosition="0"/>
    </format>
    <format dxfId="591">
      <pivotArea outline="0" collapsedLevelsAreSubtotals="1" fieldPosition="0"/>
    </format>
    <format dxfId="590">
      <pivotArea dataOnly="0" labelOnly="1" outline="0" axis="axisValues" fieldPosition="0"/>
    </format>
    <format dxfId="589">
      <pivotArea outline="0" collapsedLevelsAreSubtotals="1" fieldPosition="0"/>
    </format>
    <format dxfId="5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4" name="mês_ano">
      <autoFilter ref="A1">
        <filterColumn colId="0">
          <customFilters and="1">
            <customFilter operator="greaterThanOrEqual" val="42795"/>
            <customFilter operator="lessThanOrEqual" val="4282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tab_receita" cacheId="7" applyNumberFormats="0" applyBorderFormats="0" applyFontFormats="0" applyPatternFormats="0" applyAlignmentFormats="0" applyWidthHeightFormats="1" dataCaption="Valores" updatedVersion="8" minRefreshableVersion="3" useAutoFormatting="1" itemPrintTitles="1" mergeItem="1" createdVersion="6" indent="0" multipleFieldFilters="0">
  <location ref="A2:A3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receita" fld="13" baseField="0" baseItem="0" numFmtId="165"/>
  </dataFields>
  <formats count="11">
    <format dxfId="610">
      <pivotArea outline="0" collapsedLevelsAreSubtotals="1" fieldPosition="0"/>
    </format>
    <format dxfId="609">
      <pivotArea type="all" dataOnly="0" outline="0" fieldPosition="0"/>
    </format>
    <format dxfId="608">
      <pivotArea outline="0" collapsedLevelsAreSubtotals="1" fieldPosition="0"/>
    </format>
    <format dxfId="607">
      <pivotArea dataOnly="0" labelOnly="1" outline="0" axis="axisValues" fieldPosition="0"/>
    </format>
    <format dxfId="606">
      <pivotArea type="all" dataOnly="0" outline="0" fieldPosition="0"/>
    </format>
    <format dxfId="605">
      <pivotArea outline="0" collapsedLevelsAreSubtotals="1" fieldPosition="0"/>
    </format>
    <format dxfId="604">
      <pivotArea dataOnly="0" labelOnly="1" outline="0" axis="axisValues" fieldPosition="0"/>
    </format>
    <format dxfId="603">
      <pivotArea type="all" dataOnly="0" outline="0" fieldPosition="0"/>
    </format>
    <format dxfId="602">
      <pivotArea outline="0" collapsedLevelsAreSubtotals="1" fieldPosition="0"/>
    </format>
    <format dxfId="601">
      <pivotArea dataOnly="0" labelOnly="1" outline="0" axis="axisValues" fieldPosition="0"/>
    </format>
    <format dxfId="60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tab_resultado" cacheId="7" applyNumberFormats="0" applyBorderFormats="0" applyFontFormats="0" applyPatternFormats="0" applyAlignmentFormats="0" applyWidthHeightFormats="1" dataCaption="Valores" updatedVersion="8" minRefreshableVersion="3" useAutoFormatting="1" itemPrintTitles="1" mergeItem="1" createdVersion="6" indent="0" multipleFieldFilters="0">
  <location ref="A6:A7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dataField="1"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resultado" fld="15" baseField="0" baseItem="0"/>
  </dataFields>
  <formats count="11">
    <format dxfId="621">
      <pivotArea outline="0" collapsedLevelsAreSubtotals="1" fieldPosition="0"/>
    </format>
    <format dxfId="620">
      <pivotArea type="all" dataOnly="0" outline="0" fieldPosition="0"/>
    </format>
    <format dxfId="619">
      <pivotArea outline="0" collapsedLevelsAreSubtotals="1" fieldPosition="0"/>
    </format>
    <format dxfId="618">
      <pivotArea dataOnly="0" labelOnly="1" outline="0" axis="axisValues" fieldPosition="0"/>
    </format>
    <format dxfId="617">
      <pivotArea type="all" dataOnly="0" outline="0" fieldPosition="0"/>
    </format>
    <format dxfId="616">
      <pivotArea outline="0" collapsedLevelsAreSubtotals="1" fieldPosition="0"/>
    </format>
    <format dxfId="615">
      <pivotArea dataOnly="0" labelOnly="1" outline="0" axis="axisValues" fieldPosition="0"/>
    </format>
    <format dxfId="614">
      <pivotArea type="all" dataOnly="0" outline="0" fieldPosition="0"/>
    </format>
    <format dxfId="613">
      <pivotArea outline="0" collapsedLevelsAreSubtotals="1" fieldPosition="0"/>
    </format>
    <format dxfId="612">
      <pivotArea dataOnly="0" labelOnly="1" outline="0" axis="axisValues" fieldPosition="0"/>
    </format>
    <format dxfId="6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tab_metaAcumuladaUMS" cacheId="7" applyNumberFormats="0" applyBorderFormats="0" applyFontFormats="0" applyPatternFormats="0" applyAlignmentFormats="0" applyWidthHeightFormats="1" dataCaption="Valores" updatedVersion="8" minRefreshableVersion="3" useAutoFormatting="1" rowGrandTotals="0" itemPrintTitles="1" mergeItem="1" createdVersion="6" indent="0" multipleFieldFilters="0" chartFormat="17">
  <location ref="X2:AC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dataField="1"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dataField="1" numFmtId="3" showAll="0"/>
    <pivotField dataField="1" numFmtId="3" showAll="0"/>
    <pivotField dataField="1"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eta acumulada" fld="27" baseField="0" baseItem="0" numFmtId="3"/>
    <dataField name="Exec acumulado" fld="7" baseField="0" baseItem="0"/>
    <dataField name="Soma de meta fat (ums) acum2" fld="27" baseField="0" baseItem="0"/>
    <dataField name="Soma de meta fat (ums) abaixo" fld="29" baseField="0" baseItem="0" numFmtId="171"/>
    <dataField name="Soma de meta fat (ums) acima" fld="28" baseField="0" baseItem="0" numFmtId="171"/>
  </dataFields>
  <formats count="16">
    <format dxfId="637">
      <pivotArea outline="0" collapsedLevelsAreSubtotals="1" fieldPosition="0"/>
    </format>
    <format dxfId="636">
      <pivotArea outline="0" collapsedLevelsAreSubtotals="1" fieldPosition="0"/>
    </format>
    <format dxfId="635">
      <pivotArea outline="0" collapsedLevelsAreSubtotals="1" fieldPosition="0"/>
    </format>
    <format dxfId="634">
      <pivotArea type="all" dataOnly="0" outline="0" fieldPosition="0"/>
    </format>
    <format dxfId="633">
      <pivotArea outline="0" collapsedLevelsAreSubtotals="1" fieldPosition="0"/>
    </format>
    <format dxfId="632">
      <pivotArea type="all" dataOnly="0" outline="0" fieldPosition="0"/>
    </format>
    <format dxfId="631">
      <pivotArea outline="0" collapsedLevelsAreSubtotals="1" fieldPosition="0"/>
    </format>
    <format dxfId="630">
      <pivotArea outline="0" collapsedLevelsAreSubtotals="1" fieldPosition="0"/>
    </format>
    <format dxfId="629">
      <pivotArea dataOnly="0" labelOnly="1" outline="0" axis="axisValues" fieldPosition="0"/>
    </format>
    <format dxfId="628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  <format dxfId="627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626">
      <pivotArea field="3" type="button" dataOnly="0" labelOnly="1" outline="0" axis="axisRow" fieldPosition="0"/>
    </format>
    <format dxfId="625">
      <pivotArea field="3" type="button" dataOnly="0" labelOnly="1" outline="0" axis="axisRow" fieldPosition="0"/>
    </format>
    <format dxfId="624">
      <pivotArea field="3" type="button" dataOnly="0" labelOnly="1" outline="0" axis="axisRow" fieldPosition="0"/>
    </format>
    <format dxfId="623">
      <pivotArea field="3" type="button" dataOnly="0" labelOnly="1" outline="0" axis="axisRow" fieldPosition="0"/>
    </format>
    <format dxfId="6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18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5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5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3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16" format="54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16" format="55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16" format="56">
      <pivotArea type="data" outline="0" fieldPosition="0">
        <references count="2">
          <reference field="4294967294" count="1" selected="0">
            <x v="4"/>
          </reference>
          <reference field="3" count="1" selected="0">
            <x v="3"/>
          </reference>
        </references>
      </pivotArea>
    </chartFormat>
    <chartFormat chart="16" format="57">
      <pivotArea type="data" outline="0" fieldPosition="0">
        <references count="2">
          <reference field="4294967294" count="1" selected="0">
            <x v="4"/>
          </reference>
          <reference field="3" count="1" selected="0">
            <x v="4"/>
          </reference>
        </references>
      </pivotArea>
    </chartFormat>
    <chartFormat chart="16" format="58">
      <pivotArea type="data" outline="0" fieldPosition="0">
        <references count="2">
          <reference field="4294967294" count="1" selected="0">
            <x v="4"/>
          </reference>
          <reference field="3" count="1" selected="0">
            <x v="5"/>
          </reference>
        </references>
      </pivotArea>
    </chartFormat>
    <chartFormat chart="16" format="59">
      <pivotArea type="data" outline="0" fieldPosition="0">
        <references count="2">
          <reference field="4294967294" count="1" selected="0">
            <x v="4"/>
          </reference>
          <reference field="3" count="1" selected="0">
            <x v="6"/>
          </reference>
        </references>
      </pivotArea>
    </chartFormat>
    <chartFormat chart="16" format="60">
      <pivotArea type="data" outline="0" fieldPosition="0">
        <references count="2">
          <reference field="4294967294" count="1" selected="0">
            <x v="4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7000000}" name="tab_maiorReceita" cacheId="7" applyNumberFormats="0" applyBorderFormats="0" applyFontFormats="0" applyPatternFormats="0" applyAlignmentFormats="0" applyWidthHeightFormats="1" dataCaption="Valores" updatedVersion="8" minRefreshableVersion="3" rowGrandTotals="0" itemPrintTitles="1" mergeItem="1" createdVersion="6" indent="0" multipleFieldFilters="0" chartFormat="8">
  <location ref="AW2:AX3" firstHeaderRow="1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 measureFilter="1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1">
    <i>
      <x v="2"/>
    </i>
  </rowItems>
  <colItems count="1">
    <i/>
  </colItems>
  <dataFields count="1">
    <dataField name="tab_maiorReceita" fld="13" baseField="0" baseItem="0"/>
  </dataFields>
  <formats count="24">
    <format dxfId="398">
      <pivotArea outline="0" collapsedLevelsAreSubtotals="1" fieldPosition="0"/>
    </format>
    <format dxfId="3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6">
      <pivotArea outline="0" collapsedLevelsAreSubtotals="1" fieldPosition="0"/>
    </format>
    <format dxfId="3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4">
      <pivotArea field="3" type="button" dataOnly="0" labelOnly="1" outline="0" axis="axisRow" fieldPosition="0"/>
    </format>
    <format dxfId="393">
      <pivotArea dataOnly="0" labelOnly="1" fieldPosition="0">
        <references count="1">
          <reference field="3" count="0"/>
        </references>
      </pivotArea>
    </format>
    <format dxfId="392">
      <pivotArea type="all" dataOnly="0" outline="0" fieldPosition="0"/>
    </format>
    <format dxfId="391">
      <pivotArea outline="0" collapsedLevelsAreSubtotals="1" fieldPosition="0"/>
    </format>
    <format dxfId="390">
      <pivotArea field="3" type="button" dataOnly="0" labelOnly="1" outline="0" axis="axisRow" fieldPosition="0"/>
    </format>
    <format dxfId="389">
      <pivotArea dataOnly="0" labelOnly="1" fieldPosition="0">
        <references count="1">
          <reference field="3" count="0"/>
        </references>
      </pivotArea>
    </format>
    <format dxfId="3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7">
      <pivotArea type="all" dataOnly="0" outline="0" fieldPosition="0"/>
    </format>
    <format dxfId="386">
      <pivotArea outline="0" collapsedLevelsAreSubtotals="1" fieldPosition="0"/>
    </format>
    <format dxfId="385">
      <pivotArea field="3" type="button" dataOnly="0" labelOnly="1" outline="0" axis="axisRow" fieldPosition="0"/>
    </format>
    <format dxfId="384">
      <pivotArea dataOnly="0" labelOnly="1" fieldPosition="0">
        <references count="1">
          <reference field="3" count="0"/>
        </references>
      </pivotArea>
    </format>
    <format dxfId="3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2">
      <pivotArea type="all" dataOnly="0" outline="0" fieldPosition="0"/>
    </format>
    <format dxfId="381">
      <pivotArea outline="0" collapsedLevelsAreSubtotals="1" fieldPosition="0"/>
    </format>
    <format dxfId="380">
      <pivotArea field="3" type="button" dataOnly="0" labelOnly="1" outline="0" axis="axisRow" fieldPosition="0"/>
    </format>
    <format dxfId="379">
      <pivotArea dataOnly="0" labelOnly="1" fieldPosition="0">
        <references count="1">
          <reference field="3" count="0"/>
        </references>
      </pivotArea>
    </format>
    <format dxfId="3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7">
      <pivotArea field="3" type="button" dataOnly="0" labelOnly="1" outline="0" axis="axisRow" fieldPosition="0"/>
    </format>
    <format dxfId="3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5">
      <pivotArea dataOnly="0" labelOnly="1" outline="0" axis="axisValues" fieldPosition="0"/>
    </format>
  </formats>
  <chartFormats count="2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tab_metaFat%" cacheId="7" applyNumberFormats="0" applyBorderFormats="0" applyFontFormats="0" applyPatternFormats="0" applyAlignmentFormats="0" applyWidthHeightFormats="1" dataCaption="Valores" updatedVersion="8" minRefreshableVersion="5" itemPrintTitles="1" mergeItem="1" createdVersion="6" indent="0" multipleFieldFilters="0" chartFormat="12">
  <location ref="T2:U3" firstHeaderRow="0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dataField="1"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dataField="1"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meta faturamento" fld="24" baseField="0" baseItem="0" numFmtId="9"/>
    <dataField name="Soma de executado" fld="8" baseField="0" baseItem="0" numFmtId="9"/>
  </dataFields>
  <formats count="14">
    <format dxfId="651">
      <pivotArea outline="0" collapsedLevelsAreSubtotals="1" fieldPosition="0"/>
    </format>
    <format dxfId="650">
      <pivotArea type="all" dataOnly="0" outline="0" fieldPosition="0"/>
    </format>
    <format dxfId="649">
      <pivotArea outline="0" collapsedLevelsAreSubtotals="1" fieldPosition="0"/>
    </format>
    <format dxfId="648">
      <pivotArea dataOnly="0" labelOnly="1" outline="0" axis="axisValues" fieldPosition="0"/>
    </format>
    <format dxfId="647">
      <pivotArea type="all" dataOnly="0" outline="0" fieldPosition="0"/>
    </format>
    <format dxfId="646">
      <pivotArea outline="0" collapsedLevelsAreSubtotals="1" fieldPosition="0"/>
    </format>
    <format dxfId="645">
      <pivotArea dataOnly="0" labelOnly="1" outline="0" axis="axisValues" fieldPosition="0"/>
    </format>
    <format dxfId="644">
      <pivotArea type="all" dataOnly="0" outline="0" fieldPosition="0"/>
    </format>
    <format dxfId="643">
      <pivotArea outline="0" collapsedLevelsAreSubtotals="1" fieldPosition="0"/>
    </format>
    <format dxfId="642">
      <pivotArea dataOnly="0" labelOnly="1" outline="0" axis="axisValues" fieldPosition="0"/>
    </format>
    <format dxfId="6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38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3" type="dateBetween" evalOrder="-1" id="4" name="mês_ano">
      <autoFilter ref="A1">
        <filterColumn colId="0">
          <customFilters and="1">
            <customFilter operator="greaterThanOrEqual" val="42795"/>
            <customFilter operator="lessThanOrEqual" val="4282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tab_juros" cacheId="7" applyNumberFormats="0" applyBorderFormats="0" applyFontFormats="0" applyPatternFormats="0" applyAlignmentFormats="0" applyWidthHeightFormats="1" dataCaption="Valores" updatedVersion="8" minRefreshableVersion="3" useAutoFormatting="1" itemPrintTitles="1" mergeItem="1" createdVersion="6" indent="0" multipleFieldFilters="0">
  <location ref="C26:C27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dataField="1"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juros" fld="21" baseField="0" baseItem="0"/>
  </dataFields>
  <formats count="11">
    <format dxfId="662">
      <pivotArea outline="0" collapsedLevelsAreSubtotals="1" fieldPosition="0"/>
    </format>
    <format dxfId="661">
      <pivotArea type="all" dataOnly="0" outline="0" fieldPosition="0"/>
    </format>
    <format dxfId="660">
      <pivotArea outline="0" collapsedLevelsAreSubtotals="1" fieldPosition="0"/>
    </format>
    <format dxfId="659">
      <pivotArea dataOnly="0" labelOnly="1" outline="0" axis="axisValues" fieldPosition="0"/>
    </format>
    <format dxfId="658">
      <pivotArea type="all" dataOnly="0" outline="0" fieldPosition="0"/>
    </format>
    <format dxfId="657">
      <pivotArea outline="0" collapsedLevelsAreSubtotals="1" fieldPosition="0"/>
    </format>
    <format dxfId="656">
      <pivotArea dataOnly="0" labelOnly="1" outline="0" axis="axisValues" fieldPosition="0"/>
    </format>
    <format dxfId="655">
      <pivotArea type="all" dataOnly="0" outline="0" fieldPosition="0"/>
    </format>
    <format dxfId="654">
      <pivotArea outline="0" collapsedLevelsAreSubtotals="1" fieldPosition="0"/>
    </format>
    <format dxfId="653">
      <pivotArea dataOnly="0" labelOnly="1" outline="0" axis="axisValues" fieldPosition="0"/>
    </format>
    <format dxfId="6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_salarioOrd" cacheId="7" applyNumberFormats="0" applyBorderFormats="0" applyFontFormats="0" applyPatternFormats="0" applyAlignmentFormats="0" applyWidthHeightFormats="1" dataCaption="Valores" updatedVersion="8" minRefreshableVersion="3" itemPrintTitles="1" mergeItem="1" createdVersion="6" indent="0" multipleFieldFilters="0">
  <location ref="C18:C19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dataField="1"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salarioOrd" fld="22" baseField="0" baseItem="0"/>
  </dataFields>
  <formats count="11">
    <format dxfId="673">
      <pivotArea outline="0" collapsedLevelsAreSubtotals="1" fieldPosition="0"/>
    </format>
    <format dxfId="672">
      <pivotArea type="all" dataOnly="0" outline="0" fieldPosition="0"/>
    </format>
    <format dxfId="671">
      <pivotArea outline="0" collapsedLevelsAreSubtotals="1" fieldPosition="0"/>
    </format>
    <format dxfId="670">
      <pivotArea dataOnly="0" labelOnly="1" outline="0" axis="axisValues" fieldPosition="0"/>
    </format>
    <format dxfId="669">
      <pivotArea type="all" dataOnly="0" outline="0" fieldPosition="0"/>
    </format>
    <format dxfId="668">
      <pivotArea outline="0" collapsedLevelsAreSubtotals="1" fieldPosition="0"/>
    </format>
    <format dxfId="667">
      <pivotArea dataOnly="0" labelOnly="1" outline="0" axis="axisValues" fieldPosition="0"/>
    </format>
    <format dxfId="666">
      <pivotArea type="all" dataOnly="0" outline="0" fieldPosition="0"/>
    </format>
    <format dxfId="665">
      <pivotArea outline="0" collapsedLevelsAreSubtotals="1" fieldPosition="0"/>
    </format>
    <format dxfId="664">
      <pivotArea dataOnly="0" labelOnly="1" outline="0" axis="axisValues" fieldPosition="0"/>
    </format>
    <format dxfId="6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_diasReceb" cacheId="7" applyNumberFormats="0" applyBorderFormats="0" applyFontFormats="0" applyPatternFormats="0" applyAlignmentFormats="0" applyWidthHeightFormats="1" dataCaption="Valores" updatedVersion="8" minRefreshableVersion="3" useAutoFormatting="1" itemPrintTitles="1" mergeItem="1" createdVersion="6" indent="0" multipleFieldFilters="0">
  <location ref="A10:A11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dataField="1"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diasReceb" fld="12" subtotal="average" baseField="0" baseItem="89996360" numFmtId="1"/>
  </dataFields>
  <formats count="12">
    <format dxfId="685">
      <pivotArea outline="0" collapsedLevelsAreSubtotals="1" fieldPosition="0"/>
    </format>
    <format dxfId="684">
      <pivotArea type="all" dataOnly="0" outline="0" fieldPosition="0"/>
    </format>
    <format dxfId="683">
      <pivotArea outline="0" collapsedLevelsAreSubtotals="1" fieldPosition="0"/>
    </format>
    <format dxfId="682">
      <pivotArea dataOnly="0" labelOnly="1" outline="0" axis="axisValues" fieldPosition="0"/>
    </format>
    <format dxfId="681">
      <pivotArea type="all" dataOnly="0" outline="0" fieldPosition="0"/>
    </format>
    <format dxfId="680">
      <pivotArea outline="0" collapsedLevelsAreSubtotals="1" fieldPosition="0"/>
    </format>
    <format dxfId="679">
      <pivotArea dataOnly="0" labelOnly="1" outline="0" axis="axisValues" fieldPosition="0"/>
    </format>
    <format dxfId="678">
      <pivotArea type="all" dataOnly="0" outline="0" fieldPosition="0"/>
    </format>
    <format dxfId="677">
      <pivotArea outline="0" collapsedLevelsAreSubtotals="1" fieldPosition="0"/>
    </format>
    <format dxfId="676">
      <pivotArea dataOnly="0" labelOnly="1" outline="0" axis="axisValues" fieldPosition="0"/>
    </format>
    <format dxfId="675">
      <pivotArea outline="0" collapsedLevelsAreSubtotals="1" fieldPosition="0"/>
    </format>
    <format dxfId="6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_despesaTotal" cacheId="7" applyNumberFormats="0" applyBorderFormats="0" applyFontFormats="0" applyPatternFormats="0" applyAlignmentFormats="0" applyWidthHeightFormats="1" dataCaption="Valores" updatedVersion="8" minRefreshableVersion="3" itemPrintTitles="1" mergeItem="1" createdVersion="6" indent="0" multipleFieldFilters="0">
  <location ref="C2:C3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dataField="1"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despesaTotal" fld="16" baseField="0" baseItem="0"/>
  </dataFields>
  <formats count="11">
    <format dxfId="696">
      <pivotArea outline="0" collapsedLevelsAreSubtotals="1" fieldPosition="0"/>
    </format>
    <format dxfId="695">
      <pivotArea type="all" dataOnly="0" outline="0" fieldPosition="0"/>
    </format>
    <format dxfId="694">
      <pivotArea outline="0" collapsedLevelsAreSubtotals="1" fieldPosition="0"/>
    </format>
    <format dxfId="693">
      <pivotArea dataOnly="0" labelOnly="1" outline="0" axis="axisValues" fieldPosition="0"/>
    </format>
    <format dxfId="692">
      <pivotArea type="all" dataOnly="0" outline="0" fieldPosition="0"/>
    </format>
    <format dxfId="691">
      <pivotArea outline="0" collapsedLevelsAreSubtotals="1" fieldPosition="0"/>
    </format>
    <format dxfId="690">
      <pivotArea dataOnly="0" labelOnly="1" outline="0" axis="axisValues" fieldPosition="0"/>
    </format>
    <format dxfId="689">
      <pivotArea type="all" dataOnly="0" outline="0" fieldPosition="0"/>
    </format>
    <format dxfId="688">
      <pivotArea outline="0" collapsedLevelsAreSubtotals="1" fieldPosition="0"/>
    </format>
    <format dxfId="687">
      <pivotArea dataOnly="0" labelOnly="1" outline="0" axis="axisValues" fieldPosition="0"/>
    </format>
    <format dxfId="68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_receitaXdespesa" cacheId="7" applyNumberFormats="0" applyBorderFormats="0" applyFontFormats="0" applyPatternFormats="0" applyAlignmentFormats="0" applyWidthHeightFormats="1" dataCaption="Valores" updatedVersion="8" minRefreshableVersion="3" useAutoFormatting="1" rowGrandTotals="0" itemPrintTitles="1" mergeItem="1" createdVersion="6" indent="0" multipleFieldFilters="0" chartFormat="16">
  <location ref="J2:M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dataField="1" numFmtId="9" showAll="0"/>
    <pivotField dataField="1" numFmtId="9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tab_meta" fld="34" baseField="0" baseItem="0"/>
    <dataField name="tab_metaExec" fld="35" baseField="0" baseItem="0"/>
    <dataField name="tab_metaAbaixo" fld="36" baseField="0" baseItem="2"/>
  </dataFields>
  <formats count="19">
    <format dxfId="715">
      <pivotArea outline="0" collapsedLevelsAreSubtotals="1" fieldPosition="0"/>
    </format>
    <format dxfId="7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3">
      <pivotArea outline="0" collapsedLevelsAreSubtotals="1" fieldPosition="0"/>
    </format>
    <format dxfId="7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1">
      <pivotArea outline="0" collapsedLevelsAreSubtotals="1" fieldPosition="0"/>
    </format>
    <format dxfId="710">
      <pivotArea type="all" dataOnly="0" outline="0" fieldPosition="0"/>
    </format>
    <format dxfId="709">
      <pivotArea outline="0" collapsedLevelsAreSubtotals="1" fieldPosition="0"/>
    </format>
    <format dxfId="708">
      <pivotArea field="3" type="button" dataOnly="0" labelOnly="1" outline="0" axis="axisRow" fieldPosition="0"/>
    </format>
    <format dxfId="707">
      <pivotArea dataOnly="0" labelOnly="1" fieldPosition="0">
        <references count="1">
          <reference field="3" count="0"/>
        </references>
      </pivotArea>
    </format>
    <format dxfId="7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05">
      <pivotArea type="all" dataOnly="0" outline="0" fieldPosition="0"/>
    </format>
    <format dxfId="704">
      <pivotArea outline="0" collapsedLevelsAreSubtotals="1" fieldPosition="0"/>
    </format>
    <format dxfId="703">
      <pivotArea field="3" type="button" dataOnly="0" labelOnly="1" outline="0" axis="axisRow" fieldPosition="0"/>
    </format>
    <format dxfId="702">
      <pivotArea dataOnly="0" labelOnly="1" fieldPosition="0">
        <references count="1">
          <reference field="3" count="0"/>
        </references>
      </pivotArea>
    </format>
    <format dxfId="7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00">
      <pivotArea field="3" type="button" dataOnly="0" labelOnly="1" outline="0" axis="axisRow" fieldPosition="0"/>
    </format>
    <format dxfId="699">
      <pivotArea dataOnly="0" labelOnly="1" fieldPosition="0">
        <references count="1">
          <reference field="3" count="0"/>
        </references>
      </pivotArea>
    </format>
    <format dxfId="698">
      <pivotArea field="3" type="button" dataOnly="0" labelOnly="1" outline="0" axis="axisRow" fieldPosition="0"/>
    </format>
    <format dxfId="6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4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5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5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5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6000000}" name="Tabela dinâmica4" cacheId="7" applyNumberFormats="0" applyBorderFormats="0" applyFontFormats="0" applyPatternFormats="0" applyAlignmentFormats="0" applyWidthHeightFormats="1" dataCaption="Valores" updatedVersion="8" minRefreshableVersion="3" rowGrandTotals="0" itemPrintTitles="1" mergeItem="1" createdVersion="6" indent="0" multipleFieldFilters="0" chartFormat="21">
  <location ref="BC2:BE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dataField="1" numFmtId="165" showAll="0"/>
    <pivotField dataField="1"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Soma de faturamento + transf recebida" fld="33" baseField="0" baseItem="0"/>
    <dataField name="Soma de custo + despesa + imposto" fld="32" baseField="0" baseItem="0"/>
  </dataFields>
  <formats count="19">
    <format dxfId="417">
      <pivotArea outline="0" collapsedLevelsAreSubtotals="1" fieldPosition="0"/>
    </format>
    <format dxfId="416">
      <pivotArea outline="0" collapsedLevelsAreSubtotals="1" fieldPosition="0"/>
    </format>
    <format dxfId="415">
      <pivotArea field="3" type="button" dataOnly="0" labelOnly="1" outline="0" axis="axisRow" fieldPosition="0"/>
    </format>
    <format dxfId="414">
      <pivotArea dataOnly="0" labelOnly="1" fieldPosition="0">
        <references count="1">
          <reference field="3" count="0"/>
        </references>
      </pivotArea>
    </format>
    <format dxfId="413">
      <pivotArea type="all" dataOnly="0" outline="0" fieldPosition="0"/>
    </format>
    <format dxfId="412">
      <pivotArea outline="0" collapsedLevelsAreSubtotals="1" fieldPosition="0"/>
    </format>
    <format dxfId="411">
      <pivotArea field="3" type="button" dataOnly="0" labelOnly="1" outline="0" axis="axisRow" fieldPosition="0"/>
    </format>
    <format dxfId="410">
      <pivotArea dataOnly="0" labelOnly="1" fieldPosition="0">
        <references count="1">
          <reference field="3" count="0"/>
        </references>
      </pivotArea>
    </format>
    <format dxfId="409">
      <pivotArea type="all" dataOnly="0" outline="0" fieldPosition="0"/>
    </format>
    <format dxfId="408">
      <pivotArea outline="0" collapsedLevelsAreSubtotals="1" fieldPosition="0"/>
    </format>
    <format dxfId="407">
      <pivotArea field="3" type="button" dataOnly="0" labelOnly="1" outline="0" axis="axisRow" fieldPosition="0"/>
    </format>
    <format dxfId="406">
      <pivotArea dataOnly="0" labelOnly="1" fieldPosition="0">
        <references count="1">
          <reference field="3" count="0"/>
        </references>
      </pivotArea>
    </format>
    <format dxfId="405">
      <pivotArea type="all" dataOnly="0" outline="0" fieldPosition="0"/>
    </format>
    <format dxfId="404">
      <pivotArea outline="0" collapsedLevelsAreSubtotals="1" fieldPosition="0"/>
    </format>
    <format dxfId="403">
      <pivotArea field="3" type="button" dataOnly="0" labelOnly="1" outline="0" axis="axisRow" fieldPosition="0"/>
    </format>
    <format dxfId="402">
      <pivotArea dataOnly="0" labelOnly="1" fieldPosition="0">
        <references count="1">
          <reference field="3" count="0"/>
        </references>
      </pivotArea>
    </format>
    <format dxfId="401">
      <pivotArea field="3" type="button" dataOnly="0" labelOnly="1" outline="0" axis="axisRow" fieldPosition="0"/>
    </format>
    <format dxfId="400">
      <pivotArea dataOnly="0" labelOnly="1" outline="0" axis="axisValues" fieldPosition="0"/>
    </format>
    <format dxfId="3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5000000}" name="tab_glosa" cacheId="7" applyNumberFormats="0" applyBorderFormats="0" applyFontFormats="0" applyPatternFormats="0" applyAlignmentFormats="0" applyWidthHeightFormats="1" dataCaption="Valores" updatedVersion="8" minRefreshableVersion="3" useAutoFormatting="1" itemPrintTitles="1" mergeItem="1" createdVersion="6" indent="0" multipleFieldFilters="0">
  <location ref="C22:C23" firstHeaderRow="1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dataField="1"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Items count="1">
    <i/>
  </rowItems>
  <colItems count="1">
    <i/>
  </colItems>
  <dataFields count="1">
    <dataField name="tab_glosa" fld="23" baseField="0" baseItem="0"/>
  </dataFields>
  <formats count="11">
    <format dxfId="428">
      <pivotArea outline="0" collapsedLevelsAreSubtotals="1" fieldPosition="0"/>
    </format>
    <format dxfId="427">
      <pivotArea type="all" dataOnly="0" outline="0" fieldPosition="0"/>
    </format>
    <format dxfId="426">
      <pivotArea outline="0" collapsedLevelsAreSubtotals="1" fieldPosition="0"/>
    </format>
    <format dxfId="425">
      <pivotArea dataOnly="0" labelOnly="1" outline="0" axis="axisValues" fieldPosition="0"/>
    </format>
    <format dxfId="424">
      <pivotArea type="all" dataOnly="0" outline="0" fieldPosition="0"/>
    </format>
    <format dxfId="423">
      <pivotArea outline="0" collapsedLevelsAreSubtotals="1" fieldPosition="0"/>
    </format>
    <format dxfId="422">
      <pivotArea dataOnly="0" labelOnly="1" outline="0" axis="axisValues" fieldPosition="0"/>
    </format>
    <format dxfId="421">
      <pivotArea type="all" dataOnly="0" outline="0" fieldPosition="0"/>
    </format>
    <format dxfId="420">
      <pivotArea outline="0" collapsedLevelsAreSubtotals="1" fieldPosition="0"/>
    </format>
    <format dxfId="419">
      <pivotArea dataOnly="0" labelOnly="1" outline="0" axis="axisValues" fieldPosition="0"/>
    </format>
    <format dxfId="4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4000000}" name="tab_inicioMes" cacheId="7" applyNumberFormats="0" applyBorderFormats="0" applyFontFormats="0" applyPatternFormats="0" applyAlignmentFormats="0" applyWidthHeightFormats="1" dataCaption="Valores" updatedVersion="8" minRefreshableVersion="3" useAutoFormatting="1" rowGrandTotals="0" itemPrintTitles="1" mergeItem="1" createdVersion="6" indent="0" multipleFieldFilters="0">
  <location ref="AR2:AR10" firstHeaderRow="1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inicioMes" axis="axisRow" numFmtId="166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formats count="13">
    <format dxfId="441">
      <pivotArea outline="0" collapsedLevelsAreSubtotals="1" fieldPosition="0"/>
    </format>
    <format dxfId="440">
      <pivotArea type="all" dataOnly="0" outline="0" fieldPosition="0"/>
    </format>
    <format dxfId="439">
      <pivotArea outline="0" collapsedLevelsAreSubtotals="1" fieldPosition="0"/>
    </format>
    <format dxfId="438">
      <pivotArea dataOnly="0" labelOnly="1" outline="0" axis="axisValues" fieldPosition="0"/>
    </format>
    <format dxfId="437">
      <pivotArea type="all" dataOnly="0" outline="0" fieldPosition="0"/>
    </format>
    <format dxfId="436">
      <pivotArea outline="0" collapsedLevelsAreSubtotals="1" fieldPosition="0"/>
    </format>
    <format dxfId="435">
      <pivotArea dataOnly="0" labelOnly="1" outline="0" axis="axisValues" fieldPosition="0"/>
    </format>
    <format dxfId="434">
      <pivotArea type="all" dataOnly="0" outline="0" fieldPosition="0"/>
    </format>
    <format dxfId="433">
      <pivotArea outline="0" collapsedLevelsAreSubtotals="1" fieldPosition="0"/>
    </format>
    <format dxfId="432">
      <pivotArea dataOnly="0" labelOnly="1" outline="0" axis="axisValues" fieldPosition="0"/>
    </format>
    <format dxfId="431">
      <pivotArea outline="0" collapsedLevelsAreSubtotals="1" fieldPosition="0"/>
    </format>
    <format dxfId="430">
      <pivotArea dataOnly="0" labelOnly="1" outline="0" axis="axisValues" fieldPosition="0"/>
    </format>
    <format dxfId="429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3000000}" name="tab_fimMes" cacheId="7" applyNumberFormats="0" applyBorderFormats="0" applyFontFormats="0" applyPatternFormats="0" applyAlignmentFormats="0" applyWidthHeightFormats="1" dataCaption="Valores" updatedVersion="8" minRefreshableVersion="3" useAutoFormatting="1" rowGrandTotals="0" itemPrintTitles="1" mergeItem="1" createdVersion="6" indent="0" multipleFieldFilters="0">
  <location ref="AS2:AS10" firstHeaderRow="1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fimMes" axis="axisRow" numFmtId="166" showAll="0" sortType="descending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formats count="13">
    <format dxfId="454">
      <pivotArea outline="0" collapsedLevelsAreSubtotals="1" fieldPosition="0"/>
    </format>
    <format dxfId="453">
      <pivotArea type="all" dataOnly="0" outline="0" fieldPosition="0"/>
    </format>
    <format dxfId="452">
      <pivotArea outline="0" collapsedLevelsAreSubtotals="1" fieldPosition="0"/>
    </format>
    <format dxfId="451">
      <pivotArea dataOnly="0" labelOnly="1" outline="0" axis="axisValues" fieldPosition="0"/>
    </format>
    <format dxfId="450">
      <pivotArea type="all" dataOnly="0" outline="0" fieldPosition="0"/>
    </format>
    <format dxfId="449">
      <pivotArea outline="0" collapsedLevelsAreSubtotals="1" fieldPosition="0"/>
    </format>
    <format dxfId="448">
      <pivotArea dataOnly="0" labelOnly="1" outline="0" axis="axisValues" fieldPosition="0"/>
    </format>
    <format dxfId="447">
      <pivotArea type="all" dataOnly="0" outline="0" fieldPosition="0"/>
    </format>
    <format dxfId="446">
      <pivotArea outline="0" collapsedLevelsAreSubtotals="1" fieldPosition="0"/>
    </format>
    <format dxfId="445">
      <pivotArea dataOnly="0" labelOnly="1" outline="0" axis="axisValues" fieldPosition="0"/>
    </format>
    <format dxfId="444">
      <pivotArea outline="0" collapsedLevelsAreSubtotals="1" fieldPosition="0"/>
    </format>
    <format dxfId="443">
      <pivotArea dataOnly="0" labelOnly="1" outline="0" axis="axisValues" fieldPosition="0"/>
    </format>
    <format dxfId="442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2000000}" name="Tabela dinâmica1" cacheId="7" applyNumberFormats="0" applyBorderFormats="0" applyFontFormats="0" applyPatternFormats="0" applyAlignmentFormats="0" applyWidthHeightFormats="1" dataCaption="Valores" updatedVersion="8" minRefreshableVersion="5" itemPrintTitles="1" mergeItem="1" createdVersion="6" indent="0" multipleFieldFilters="0" chartFormat="12">
  <location ref="O8:P9" firstHeaderRow="0" firstDataRow="1" firstDataCol="0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umFmtId="166" showAll="0"/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dataField="1" numFmtId="165" showAll="0"/>
    <pivotField dataField="1" numFmtId="165" showAll="0"/>
    <pivotField numFmtId="9" showAll="0"/>
    <pivotField numFmtId="9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custo + despesa + imposto" fld="32" baseField="0" baseItem="0"/>
    <dataField name="Soma de faturamento + transf recebida" fld="33" baseField="0" baseItem="0"/>
  </dataFields>
  <formats count="12">
    <format dxfId="466">
      <pivotArea outline="0" collapsedLevelsAreSubtotals="1" fieldPosition="0"/>
    </format>
    <format dxfId="465">
      <pivotArea type="all" dataOnly="0" outline="0" fieldPosition="0"/>
    </format>
    <format dxfId="464">
      <pivotArea outline="0" collapsedLevelsAreSubtotals="1" fieldPosition="0"/>
    </format>
    <format dxfId="463">
      <pivotArea dataOnly="0" labelOnly="1" outline="0" axis="axisValues" fieldPosition="0"/>
    </format>
    <format dxfId="462">
      <pivotArea type="all" dataOnly="0" outline="0" fieldPosition="0"/>
    </format>
    <format dxfId="461">
      <pivotArea outline="0" collapsedLevelsAreSubtotals="1" fieldPosition="0"/>
    </format>
    <format dxfId="460">
      <pivotArea dataOnly="0" labelOnly="1" outline="0" axis="axisValues" fieldPosition="0"/>
    </format>
    <format dxfId="459">
      <pivotArea type="all" dataOnly="0" outline="0" fieldPosition="0"/>
    </format>
    <format dxfId="458">
      <pivotArea outline="0" collapsedLevelsAreSubtotals="1" fieldPosition="0"/>
    </format>
    <format dxfId="457">
      <pivotArea dataOnly="0" labelOnly="1" outline="0" axis="axisValues" fieldPosition="0"/>
    </format>
    <format dxfId="456">
      <pivotArea outline="0" collapsedLevelsAreSubtotals="1" fieldPosition="0"/>
    </format>
    <format dxfId="4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dateBetween" evalOrder="-1" id="4" name="mês_ano">
      <autoFilter ref="A1">
        <filterColumn colId="0">
          <customFilters and="1">
            <customFilter operator="greaterThanOrEqual" val="42795"/>
            <customFilter operator="lessThanOrEqual" val="4282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1000000}" name="tab_metaFatAcimaAbaixo" cacheId="7" applyNumberFormats="0" applyBorderFormats="0" applyFontFormats="0" applyPatternFormats="0" applyAlignmentFormats="0" applyWidthHeightFormats="1" dataCaption="Valores" updatedVersion="8" minRefreshableVersion="3" useAutoFormatting="1" rowGrandTotals="0" itemPrintTitles="1" mergeItem="1" createdVersion="6" indent="0" multipleFieldFilters="0" chartFormat="13">
  <location ref="AE2:AG10" firstHeaderRow="0" firstDataRow="1" firstDataCol="1"/>
  <pivotFields count="37">
    <pivotField showAll="0"/>
    <pivotField showAll="0">
      <items count="3">
        <item x="0"/>
        <item x="1"/>
        <item t="default"/>
      </items>
    </pivotField>
    <pivotField numFmtId="164" showAll="0"/>
    <pivotField name="tab_mesAno" axis="axisRow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dataField="1" numFmtId="9" showAll="0"/>
    <pivotField dataField="1"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Soma de meta fat acima" fld="30" baseField="0" baseItem="0"/>
    <dataField name="Soma de meta fat abaixo" fld="31" baseField="4" baseItem="2"/>
  </dataFields>
  <formats count="15">
    <format dxfId="481">
      <pivotArea outline="0" collapsedLevelsAreSubtotals="1" fieldPosition="0"/>
    </format>
    <format dxfId="480">
      <pivotArea outline="0" collapsedLevelsAreSubtotals="1" fieldPosition="0"/>
    </format>
    <format dxfId="479">
      <pivotArea outline="0" collapsedLevelsAreSubtotals="1" fieldPosition="0"/>
    </format>
    <format dxfId="478">
      <pivotArea type="all" dataOnly="0" outline="0" fieldPosition="0"/>
    </format>
    <format dxfId="477">
      <pivotArea outline="0" collapsedLevelsAreSubtotals="1" fieldPosition="0"/>
    </format>
    <format dxfId="476">
      <pivotArea type="all" dataOnly="0" outline="0" fieldPosition="0"/>
    </format>
    <format dxfId="475">
      <pivotArea outline="0" collapsedLevelsAreSubtotals="1" fieldPosition="0"/>
    </format>
    <format dxfId="474">
      <pivotArea dataOnly="0" labelOnly="1" outline="0" axis="axisValues" fieldPosition="0"/>
    </format>
    <format dxfId="473">
      <pivotArea field="3" type="button" dataOnly="0" labelOnly="1" outline="0" axis="axisRow" fieldPosition="0"/>
    </format>
    <format dxfId="472">
      <pivotArea field="3" type="button" dataOnly="0" labelOnly="1" outline="0" axis="axisRow" fieldPosition="0"/>
    </format>
    <format dxfId="471">
      <pivotArea field="3" type="button" dataOnly="0" labelOnly="1" outline="0" axis="axisRow" fieldPosition="0"/>
    </format>
    <format dxfId="470">
      <pivotArea outline="0" collapsedLevelsAreSubtotals="1" fieldPosition="0"/>
    </format>
    <format dxfId="4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8">
      <pivotArea field="3" type="button" dataOnly="0" labelOnly="1" outline="0" axis="axisRow" fieldPosition="0"/>
    </format>
    <format dxfId="4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0000000}" name="tab_fimSemestre" cacheId="7" applyNumberFormats="0" applyBorderFormats="0" applyFontFormats="0" applyPatternFormats="0" applyAlignmentFormats="0" applyWidthHeightFormats="1" dataCaption="Valores" updatedVersion="8" minRefreshableVersion="3" useAutoFormatting="1" rowGrandTotals="0" itemPrintTitles="1" mergeItem="1" createdVersion="6" indent="0" multipleFieldFilters="0">
  <location ref="AU2:AU4" firstHeaderRow="1" firstDataRow="1" firstDataCol="1"/>
  <pivotFields count="37">
    <pivotField showAll="0"/>
    <pivotField name="tab_fimSemestre" axis="axisRow" showAll="0" sortType="descending">
      <items count="3">
        <item x="1"/>
        <item x="0"/>
        <item t="default"/>
      </items>
    </pivotField>
    <pivotField numFmtId="164" showAll="0"/>
    <pivotField name="tab_fimPeriodo" numFmtId="166" showAll="0" sortType="descending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numFmtId="167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numFmtId="3" showAll="0"/>
    <pivotField numFmtId="3" showAll="0"/>
    <pivotField numFmtId="169" showAll="0"/>
    <pivotField numFmtId="169" showAll="0"/>
    <pivotField numFmtId="14" showAll="0"/>
    <pivotField numFmtId="14"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4" showAll="0"/>
    <pivotField numFmtId="164" showAll="0"/>
    <pivotField numFmtId="164" showAll="0"/>
    <pivotField numFmtId="164" showAll="0"/>
    <pivotField numFmtId="165" showAll="0"/>
    <pivotField numFmtId="165" showAll="0"/>
    <pivotField numFmtId="169" showAll="0"/>
    <pivotField numFmtId="169" showAll="0"/>
    <pivotField numFmtId="3" showAll="0"/>
    <pivotField numFmtId="3" showAll="0"/>
    <pivotField numFmtId="3" showAll="0"/>
    <pivotField numFmtId="3" showAll="0"/>
    <pivotField numFmtId="9" showAll="0"/>
    <pivotField numFmtId="9" showAll="0"/>
    <pivotField numFmtId="165" showAll="0"/>
    <pivotField numFmtId="165" showAll="0"/>
    <pivotField numFmtId="9" showAll="0"/>
    <pivotField numFmtId="9" showAll="0"/>
    <pivotField showAll="0"/>
  </pivotFields>
  <rowFields count="1">
    <field x="1"/>
  </rowFields>
  <rowItems count="2">
    <i>
      <x/>
    </i>
    <i>
      <x v="1"/>
    </i>
  </rowItems>
  <colItems count="1">
    <i/>
  </colItems>
  <formats count="14">
    <format dxfId="495">
      <pivotArea outline="0" collapsedLevelsAreSubtotals="1" fieldPosition="0"/>
    </format>
    <format dxfId="494">
      <pivotArea type="all" dataOnly="0" outline="0" fieldPosition="0"/>
    </format>
    <format dxfId="493">
      <pivotArea outline="0" collapsedLevelsAreSubtotals="1" fieldPosition="0"/>
    </format>
    <format dxfId="492">
      <pivotArea dataOnly="0" labelOnly="1" outline="0" axis="axisValues" fieldPosition="0"/>
    </format>
    <format dxfId="491">
      <pivotArea type="all" dataOnly="0" outline="0" fieldPosition="0"/>
    </format>
    <format dxfId="490">
      <pivotArea outline="0" collapsedLevelsAreSubtotals="1" fieldPosition="0"/>
    </format>
    <format dxfId="489">
      <pivotArea dataOnly="0" labelOnly="1" outline="0" axis="axisValues" fieldPosition="0"/>
    </format>
    <format dxfId="488">
      <pivotArea type="all" dataOnly="0" outline="0" fieldPosition="0"/>
    </format>
    <format dxfId="487">
      <pivotArea outline="0" collapsedLevelsAreSubtotals="1" fieldPosition="0"/>
    </format>
    <format dxfId="486">
      <pivotArea dataOnly="0" labelOnly="1" outline="0" axis="axisValues" fieldPosition="0"/>
    </format>
    <format dxfId="485">
      <pivotArea outline="0" collapsedLevelsAreSubtotals="1" fieldPosition="0"/>
    </format>
    <format dxfId="484">
      <pivotArea dataOnly="0" labelOnly="1" outline="0" axis="axisValues" fieldPosition="0"/>
    </format>
    <format dxfId="483">
      <pivotArea field="3" type="button" dataOnly="0" labelOnly="1" outline="0"/>
    </format>
    <format dxfId="482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0000000-0013-0000-FFFF-FFFF01000000}" sourceName="mês">
  <pivotTables>
    <pivotTable tabId="10" name="tab_receitaXdespesa"/>
    <pivotTable tabId="10" name="tab_entradaSaida"/>
    <pivotTable tabId="10" name="tab_despesaTotal"/>
    <pivotTable tabId="10" name="tab_glosa"/>
    <pivotTable tabId="10" name="tab_receita"/>
    <pivotTable tabId="10" name="tab_resultado"/>
    <pivotTable tabId="10" name="tab_diasReceb"/>
    <pivotTable tabId="10" name="tab_juros"/>
    <pivotTable tabId="10" name="tab_despesaTotalTipo"/>
    <pivotTable tabId="10" name="tab_inicioMes"/>
    <pivotTable tabId="10" name="tab_fimMes"/>
    <pivotTable tabId="10" name="tab_metaAcumuladaUMS"/>
    <pivotTable tabId="10" name="tab_metaFatAcimaAbaixo"/>
    <pivotTable tabId="10" name="tab_inicioSemestre"/>
    <pivotTable tabId="10" name="tab_fimSemestre"/>
    <pivotTable tabId="10" name="tab_custo"/>
    <pivotTable tabId="10" name="tab_custoDesp"/>
    <pivotTable tabId="10" name="tab_despesa"/>
    <pivotTable tabId="10" name="tab_metaFatUMS"/>
    <pivotTable tabId="10" name="tab_salarioOrd"/>
    <pivotTable tabId="10" name="tab_metaFat%"/>
    <pivotTable tabId="10" name="Tabela dinâmica1"/>
    <pivotTable tabId="10" name="tab_maiorReceita"/>
    <pivotTable tabId="10" name="tab_maiorResultado"/>
    <pivotTable tabId="10" name="Tabela dinâmica4"/>
  </pivotTables>
  <data>
    <tabular pivotCacheId="193605893">
      <items count="8">
        <i x="2" s="1"/>
        <i x="3" s="1"/>
        <i x="4" s="1"/>
        <i x="5" s="1"/>
        <i x="6" s="1"/>
        <i x="7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0000000-0013-0000-FFFF-FFFF02000000}" sourceName="ano">
  <pivotTables>
    <pivotTable tabId="10" name="tab_receitaXdespesa"/>
    <pivotTable tabId="10" name="tab_entradaSaida"/>
    <pivotTable tabId="10" name="tab_despesaTotal"/>
    <pivotTable tabId="10" name="tab_glosa"/>
    <pivotTable tabId="10" name="tab_receita"/>
    <pivotTable tabId="10" name="tab_resultado"/>
    <pivotTable tabId="10" name="tab_diasReceb"/>
    <pivotTable tabId="10" name="tab_juros"/>
    <pivotTable tabId="10" name="tab_despesaTotalTipo"/>
    <pivotTable tabId="10" name="tab_inicioMes"/>
    <pivotTable tabId="10" name="tab_fimMes"/>
    <pivotTable tabId="10" name="tab_metaAcumuladaUMS"/>
    <pivotTable tabId="10" name="tab_metaFatAcimaAbaixo"/>
    <pivotTable tabId="10" name="tab_inicioSemestre"/>
    <pivotTable tabId="10" name="tab_fimSemestre"/>
    <pivotTable tabId="10" name="tab_custoDesp"/>
    <pivotTable tabId="10" name="tab_despesa"/>
    <pivotTable tabId="10" name="tab_metaFatUMS"/>
    <pivotTable tabId="10" name="tab_salarioOrd"/>
    <pivotTable tabId="10" name="tab_metaFat%"/>
    <pivotTable tabId="10" name="tab_custo"/>
    <pivotTable tabId="10" name="Tabela dinâmica1"/>
    <pivotTable tabId="10" name="tab_maiorReceita"/>
    <pivotTable tabId="10" name="tab_maiorResultado"/>
    <pivotTable tabId="10" name="Tabela dinâmica4"/>
  </pivotTables>
  <data>
    <tabular pivotCacheId="193605893" showMissing="0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mestre" xr10:uid="{00000000-0013-0000-FFFF-FFFF03000000}" sourceName="semestre">
  <pivotTables>
    <pivotTable tabId="10" name="tab_inicioSemestre"/>
    <pivotTable tabId="10" name="tab_custo"/>
    <pivotTable tabId="10" name="tab_custoDesp"/>
    <pivotTable tabId="10" name="tab_despesa"/>
    <pivotTable tabId="10" name="tab_despesaTotal"/>
    <pivotTable tabId="10" name="tab_despesaTotalTipo"/>
    <pivotTable tabId="10" name="tab_diasReceb"/>
    <pivotTable tabId="10" name="tab_entradaSaida"/>
    <pivotTable tabId="10" name="tab_fimMes"/>
    <pivotTable tabId="10" name="tab_glosa"/>
    <pivotTable tabId="10" name="tab_inicioMes"/>
    <pivotTable tabId="10" name="tab_juros"/>
    <pivotTable tabId="10" name="tab_metaFatUMS"/>
    <pivotTable tabId="10" name="tab_receita"/>
    <pivotTable tabId="10" name="tab_receitaXdespesa"/>
    <pivotTable tabId="10" name="tab_resultado"/>
    <pivotTable tabId="10" name="tab_salarioOrd"/>
    <pivotTable tabId="10" name="tab_fimSemestre"/>
    <pivotTable tabId="10" name="tab_metaFat%"/>
    <pivotTable tabId="10" name="tab_metaAcumuladaUMS"/>
    <pivotTable tabId="10" name="tab_metaFatAcimaAbaixo"/>
    <pivotTable tabId="10" name="Tabela dinâmica1"/>
    <pivotTable tabId="10" name="tab_maiorReceita"/>
    <pivotTable tabId="10" name="tab_maiorResultado"/>
    <pivotTable tabId="10" name="Tabela dinâmica4"/>
  </pivotTables>
  <data>
    <tabular pivotCacheId="19360589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0000000-0014-0000-FFFF-FFFF01000000}" cache="SegmentaçãodeDados_mês" caption="mês" columnCount="2" style="Estilo de Segmentação de Dados 2" rowHeight="216000"/>
  <slicer name="ano" xr10:uid="{00000000-0014-0000-FFFF-FFFF02000000}" cache="SegmentaçãodeDados_ano" caption="ano" columnCount="2" style="Estilo de Segmentação de Dados 2" rowHeight="216000"/>
  <slicer name="semestre" xr10:uid="{00000000-0014-0000-FFFF-FFFF03000000}" cache="SegmentaçãodeDados_semestre" caption="semestre" columnCount="2" style="Estilo de Segmentação de Dados 2" rowHeight="216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2" xr10:uid="{00000000-0014-0000-FFFF-FFFF04000000}" cache="SegmentaçãodeDados_mês" caption="mês" columnCount="2" style="Dashboard" rowHeight="216000"/>
  <slicer name="ano 2" xr10:uid="{00000000-0014-0000-FFFF-FFFF05000000}" cache="SegmentaçãodeDados_ano" caption="ano" columnCount="2" style="Dashboard" rowHeight="216000"/>
  <slicer name="semestre 1" xr10:uid="{00000000-0014-0000-FFFF-FFFF06000000}" cache="SegmentaçãodeDados_semestre" caption="semestre" columnCount="2" style="Dashboard" rowHeight="21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10:E14" totalsRowShown="0" headerRowDxfId="763" dataDxfId="761" headerRowBorderDxfId="762">
  <autoFilter ref="B10:E14" xr:uid="{00000000-0009-0000-0100-000001000000}"/>
  <tableColumns count="4">
    <tableColumn id="1" xr3:uid="{00000000-0010-0000-0000-000001000000}" name="período" dataDxfId="760"/>
    <tableColumn id="2" xr3:uid="{00000000-0010-0000-0000-000002000000}" name="meta faturamento" dataDxfId="759" dataCellStyle="Porcentagem"/>
    <tableColumn id="4" xr3:uid="{00000000-0010-0000-0000-000004000000}" name="meta fat acumulada" dataDxfId="758" dataCellStyle="Porcentagem"/>
    <tableColumn id="3" xr3:uid="{00000000-0010-0000-0000-000003000000}" name="meta ums" dataDxfId="757">
      <calculatedColumnFormula>$C$3*C11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_dadosBase" displayName="tab_dadosBase" ref="A2:AK10" totalsRowShown="0" dataDxfId="755" headerRowBorderDxfId="756" tableBorderDxfId="754" totalsRowBorderDxfId="753">
  <autoFilter ref="A2:AK10" xr:uid="{00000000-0009-0000-0100-000003000000}"/>
  <tableColumns count="37">
    <tableColumn id="1" xr3:uid="{00000000-0010-0000-0100-000001000000}" name="id_tab" dataDxfId="752"/>
    <tableColumn id="4" xr3:uid="{00000000-0010-0000-0100-000004000000}" name="semestre" dataDxfId="751"/>
    <tableColumn id="5" xr3:uid="{00000000-0010-0000-0100-000005000000}" name="valor ums" dataDxfId="750"/>
    <tableColumn id="28" xr3:uid="{00000000-0010-0000-0100-00001C000000}" name="mês_ano" dataDxfId="749"/>
    <tableColumn id="29" xr3:uid="{00000000-0010-0000-0100-00001D000000}" name="mês" dataDxfId="748">
      <calculatedColumnFormula>TEXT(D3,"mmm")</calculatedColumnFormula>
    </tableColumn>
    <tableColumn id="30" xr3:uid="{00000000-0010-0000-0100-00001E000000}" name="ano" dataDxfId="747">
      <calculatedColumnFormula>TEXT(D3,"aaaa")</calculatedColumnFormula>
    </tableColumn>
    <tableColumn id="7" xr3:uid="{00000000-0010-0000-0100-000007000000}" name="executado (ums)" dataDxfId="746"/>
    <tableColumn id="23" xr3:uid="{00000000-0010-0000-0100-000017000000}" name="exec (ums) acumulado" dataDxfId="745"/>
    <tableColumn id="16" xr3:uid="{00000000-0010-0000-0100-000010000000}" name="executado" dataDxfId="744" dataCellStyle="Porcentagem">
      <calculatedColumnFormula>G3/apoio!$C$3</calculatedColumnFormula>
    </tableColumn>
    <tableColumn id="24" xr3:uid="{00000000-0010-0000-0100-000018000000}" name="executado acumulado" dataDxfId="743" dataCellStyle="Porcentagem"/>
    <tableColumn id="32" xr3:uid="{00000000-0010-0000-0100-000020000000}" name="emissão nf" dataDxfId="742" dataCellStyle="Porcentagem"/>
    <tableColumn id="31" xr3:uid="{00000000-0010-0000-0100-00001F000000}" name="recebimento" dataDxfId="741" dataCellStyle="Porcentagem"/>
    <tableColumn id="27" xr3:uid="{00000000-0010-0000-0100-00001B000000}" name="dias corridos p/ recebimento" dataDxfId="740" dataCellStyle="Porcentagem">
      <calculatedColumnFormula>IF(L3&lt;&gt;"",L3-K3,"")</calculatedColumnFormula>
    </tableColumn>
    <tableColumn id="8" xr3:uid="{00000000-0010-0000-0100-000008000000}" name="receita (fat)" dataDxfId="739">
      <calculatedColumnFormula>IF(L3&lt;&gt;"",G3*C3,"")</calculatedColumnFormula>
    </tableColumn>
    <tableColumn id="36" xr3:uid="{00000000-0010-0000-0100-000024000000}" name="transferência recebida" dataDxfId="738"/>
    <tableColumn id="11" xr3:uid="{00000000-0010-0000-0100-00000B000000}" name="resultado" dataDxfId="737">
      <calculatedColumnFormula>IF(N3&lt;&gt;"",N3-Q3,"")</calculatedColumnFormula>
    </tableColumn>
    <tableColumn id="9" xr3:uid="{00000000-0010-0000-0100-000009000000}" name="despesa total" dataDxfId="736"/>
    <tableColumn id="13" xr3:uid="{00000000-0010-0000-0100-00000D000000}" name="custo" dataDxfId="735"/>
    <tableColumn id="14" xr3:uid="{00000000-0010-0000-0100-00000E000000}" name="despesa" dataDxfId="734"/>
    <tableColumn id="39" xr3:uid="{00000000-0010-0000-0100-000027000000}" name="custo + despesa" dataDxfId="733">
      <calculatedColumnFormula>R3+S3</calculatedColumnFormula>
    </tableColumn>
    <tableColumn id="35" xr3:uid="{00000000-0010-0000-0100-000023000000}" name="imposto" dataDxfId="732"/>
    <tableColumn id="33" xr3:uid="{00000000-0010-0000-0100-000021000000}" name="juros" dataDxfId="731"/>
    <tableColumn id="12" xr3:uid="{00000000-0010-0000-0100-00000C000000}" name="salários e ordenados" dataDxfId="730"/>
    <tableColumn id="10" xr3:uid="{00000000-0010-0000-0100-00000A000000}" name="glosa" dataDxfId="729">
      <calculatedColumnFormula>IF(#REF!&gt;G3,(#REF!-G3)*C3,0)</calculatedColumnFormula>
    </tableColumn>
    <tableColumn id="2" xr3:uid="{00000000-0010-0000-0100-000002000000}" name="meta faturamento" dataDxfId="728" dataCellStyle="Porcentagem">
      <calculatedColumnFormula>VLOOKUP(B3,apoio!B$10:C$14,2,FALSE)/6</calculatedColumnFormula>
    </tableColumn>
    <tableColumn id="20" xr3:uid="{00000000-0010-0000-0100-000014000000}" name="meta fat acumulado" dataDxfId="727" dataCellStyle="Porcentagem"/>
    <tableColumn id="19" xr3:uid="{00000000-0010-0000-0100-000013000000}" name="meta fat (ums)" dataDxfId="726" dataCellStyle="Porcentagem">
      <calculatedColumnFormula>apoio!$C$3*Y3</calculatedColumnFormula>
    </tableColumn>
    <tableColumn id="21" xr3:uid="{00000000-0010-0000-0100-000015000000}" name="meta fat (ums) acum" dataDxfId="725" dataCellStyle="Porcentagem"/>
    <tableColumn id="3" xr3:uid="{00000000-0010-0000-0100-000003000000}" name="meta fat (ums) acima" dataDxfId="724" dataCellStyle="Porcentagem">
      <calculatedColumnFormula>IF(H3&gt;=AB3,H3-AB3,0)</calculatedColumnFormula>
    </tableColumn>
    <tableColumn id="17" xr3:uid="{00000000-0010-0000-0100-000011000000}" name="meta fat (ums) abaixo" dataDxfId="723" dataCellStyle="Porcentagem">
      <calculatedColumnFormula>IF(H3&lt;=AB3,AB3-H3,NA())</calculatedColumnFormula>
    </tableColumn>
    <tableColumn id="18" xr3:uid="{00000000-0010-0000-0100-000012000000}" name="meta fat acima" dataDxfId="722" dataCellStyle="Porcentagem">
      <calculatedColumnFormula>IF(H3&gt;=AB3,(H3/AB3)-1,0)</calculatedColumnFormula>
    </tableColumn>
    <tableColumn id="25" xr3:uid="{00000000-0010-0000-0100-000019000000}" name="meta fat abaixo" dataDxfId="721" dataCellStyle="Porcentagem">
      <calculatedColumnFormula>IF(H3&lt;=AB3,(H3/AB3)-1,NA())</calculatedColumnFormula>
    </tableColumn>
    <tableColumn id="15" xr3:uid="{00000000-0010-0000-0100-00000F000000}" name="custo + despesa + imposto" dataDxfId="720" dataCellStyle="Porcentagem">
      <calculatedColumnFormula>T3+U3</calculatedColumnFormula>
    </tableColumn>
    <tableColumn id="38" xr3:uid="{00000000-0010-0000-0100-000026000000}" name="faturamento + transf recebida" dataDxfId="719">
      <calculatedColumnFormula>N3+O3</calculatedColumnFormula>
    </tableColumn>
    <tableColumn id="26" xr3:uid="{00000000-0010-0000-0100-00001A000000}" name="meta receita/desp" dataDxfId="718" dataCellStyle="Porcentagem">
      <calculatedColumnFormula>apoio!$I$7</calculatedColumnFormula>
    </tableColumn>
    <tableColumn id="6" xr3:uid="{00000000-0010-0000-0100-000006000000}" name="razão" dataDxfId="717" dataCellStyle="Porcentagem">
      <calculatedColumnFormula>AG3/AH3</calculatedColumnFormula>
    </tableColumn>
    <tableColumn id="22" xr3:uid="{00000000-0010-0000-0100-000016000000}" name="meta razão abaixo" dataDxfId="716" dataCellStyle="Porcentagem">
      <calculatedColumnFormula>IF(AJ3&lt;=AI3,NA(),AJ3)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showGridLines="0" workbookViewId="0">
      <selection activeCell="G11" sqref="G11"/>
    </sheetView>
  </sheetViews>
  <sheetFormatPr defaultColWidth="8.6640625" defaultRowHeight="13.8" x14ac:dyDescent="0.3"/>
  <cols>
    <col min="1" max="1" width="2.88671875" style="9" customWidth="1"/>
    <col min="2" max="2" width="19.109375" style="9" bestFit="1" customWidth="1"/>
    <col min="3" max="3" width="11.88671875" style="1" customWidth="1"/>
    <col min="4" max="4" width="11.33203125" style="1" customWidth="1"/>
    <col min="5" max="5" width="8.88671875" style="9" bestFit="1" customWidth="1"/>
    <col min="6" max="7" width="8.88671875" style="9" customWidth="1"/>
    <col min="8" max="8" width="14.109375" style="9" customWidth="1"/>
    <col min="9" max="9" width="13.88671875" style="1" bestFit="1" customWidth="1"/>
    <col min="10" max="16384" width="8.6640625" style="9"/>
  </cols>
  <sheetData>
    <row r="2" spans="2:9" ht="14.4" customHeight="1" x14ac:dyDescent="0.3">
      <c r="B2" s="131" t="s">
        <v>9</v>
      </c>
      <c r="C2" s="131"/>
      <c r="D2" s="89"/>
      <c r="E2" s="131" t="s">
        <v>47</v>
      </c>
      <c r="F2" s="131"/>
      <c r="G2" s="90"/>
      <c r="H2" s="131" t="s">
        <v>114</v>
      </c>
      <c r="I2" s="131"/>
    </row>
    <row r="3" spans="2:9" x14ac:dyDescent="0.3">
      <c r="B3" s="91" t="s">
        <v>10</v>
      </c>
      <c r="C3" s="92">
        <v>189346</v>
      </c>
      <c r="D3" s="11"/>
      <c r="E3" s="20" t="s">
        <v>115</v>
      </c>
      <c r="F3" s="79"/>
      <c r="H3" s="91" t="s">
        <v>49</v>
      </c>
      <c r="I3" s="93">
        <v>283654.78000000003</v>
      </c>
    </row>
    <row r="4" spans="2:9" x14ac:dyDescent="0.3">
      <c r="B4" s="50" t="s">
        <v>16</v>
      </c>
      <c r="C4" s="60">
        <f>C3/12</f>
        <v>15778.833333333334</v>
      </c>
      <c r="D4" s="11"/>
      <c r="H4" s="51" t="s">
        <v>54</v>
      </c>
      <c r="I4" s="52">
        <v>590987.09</v>
      </c>
    </row>
    <row r="5" spans="2:9" x14ac:dyDescent="0.3">
      <c r="H5" s="51" t="s">
        <v>53</v>
      </c>
      <c r="I5" s="58">
        <f>I3/I4</f>
        <v>0.47996781114118758</v>
      </c>
    </row>
    <row r="6" spans="2:9" x14ac:dyDescent="0.3">
      <c r="H6" s="51" t="s">
        <v>33</v>
      </c>
      <c r="I6" s="53">
        <v>0.04</v>
      </c>
    </row>
    <row r="7" spans="2:9" x14ac:dyDescent="0.3">
      <c r="H7" s="51" t="s">
        <v>34</v>
      </c>
      <c r="I7" s="59">
        <f>I5-I6</f>
        <v>0.4399678111411876</v>
      </c>
    </row>
    <row r="8" spans="2:9" x14ac:dyDescent="0.3">
      <c r="H8" s="20"/>
      <c r="I8" s="49"/>
    </row>
    <row r="9" spans="2:9" x14ac:dyDescent="0.3">
      <c r="H9" s="20"/>
      <c r="I9" s="49"/>
    </row>
    <row r="10" spans="2:9" s="90" customFormat="1" ht="27.6" x14ac:dyDescent="0.3">
      <c r="B10" s="94" t="s">
        <v>8</v>
      </c>
      <c r="C10" s="95" t="s">
        <v>15</v>
      </c>
      <c r="D10" s="95" t="s">
        <v>31</v>
      </c>
      <c r="E10" s="94" t="s">
        <v>14</v>
      </c>
      <c r="G10" s="86"/>
      <c r="I10" s="89"/>
    </row>
    <row r="11" spans="2:9" x14ac:dyDescent="0.3">
      <c r="B11" s="54" t="s">
        <v>92</v>
      </c>
      <c r="C11" s="55">
        <v>0.31</v>
      </c>
      <c r="D11" s="61">
        <f>C11</f>
        <v>0.31</v>
      </c>
      <c r="E11" s="62">
        <f t="shared" ref="E11:E14" si="0">$C$3*C11</f>
        <v>58697.26</v>
      </c>
      <c r="G11" s="11"/>
    </row>
    <row r="12" spans="2:9" x14ac:dyDescent="0.3">
      <c r="B12" s="56" t="s">
        <v>93</v>
      </c>
      <c r="C12" s="53">
        <v>0.47</v>
      </c>
      <c r="D12" s="58">
        <f>C11+C12</f>
        <v>0.78</v>
      </c>
      <c r="E12" s="63">
        <f t="shared" si="0"/>
        <v>88992.62</v>
      </c>
      <c r="G12" s="11"/>
      <c r="I12" s="76"/>
    </row>
    <row r="13" spans="2:9" x14ac:dyDescent="0.3">
      <c r="B13" s="56" t="s">
        <v>95</v>
      </c>
      <c r="C13" s="57">
        <v>0.495</v>
      </c>
      <c r="D13" s="64">
        <f t="shared" ref="D13:D14" si="1">C12+C13</f>
        <v>0.96499999999999997</v>
      </c>
      <c r="E13" s="63">
        <f t="shared" si="0"/>
        <v>93726.27</v>
      </c>
      <c r="G13" s="11"/>
    </row>
    <row r="14" spans="2:9" x14ac:dyDescent="0.3">
      <c r="B14" s="56" t="s">
        <v>96</v>
      </c>
      <c r="C14" s="57">
        <v>0.505</v>
      </c>
      <c r="D14" s="64">
        <f t="shared" si="1"/>
        <v>1</v>
      </c>
      <c r="E14" s="63">
        <f t="shared" si="0"/>
        <v>95619.73</v>
      </c>
      <c r="G14" s="11"/>
    </row>
    <row r="17" spans="7:9" x14ac:dyDescent="0.3">
      <c r="G17" s="119"/>
    </row>
    <row r="19" spans="7:9" x14ac:dyDescent="0.3">
      <c r="I19" s="76"/>
    </row>
  </sheetData>
  <mergeCells count="3">
    <mergeCell ref="H2:I2"/>
    <mergeCell ref="B2:C2"/>
    <mergeCell ref="E2:F2"/>
  </mergeCell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6"/>
  <sheetViews>
    <sheetView showGridLines="0" topLeftCell="H1" zoomScale="80" zoomScaleNormal="80" workbookViewId="0">
      <selection activeCell="H2" sqref="A2:XFD2"/>
    </sheetView>
  </sheetViews>
  <sheetFormatPr defaultColWidth="8.6640625" defaultRowHeight="14.4" x14ac:dyDescent="0.3"/>
  <cols>
    <col min="1" max="1" width="8.109375" style="1" customWidth="1"/>
    <col min="2" max="2" width="11.109375" style="1" customWidth="1"/>
    <col min="4" max="4" width="8.88671875" style="1" customWidth="1"/>
    <col min="5" max="5" width="8.109375" style="22" customWidth="1"/>
    <col min="6" max="6" width="8.109375" style="24" customWidth="1"/>
    <col min="7" max="7" width="10.44140625" customWidth="1"/>
    <col min="8" max="8" width="10.5546875" customWidth="1"/>
    <col min="9" max="10" width="11.5546875" customWidth="1"/>
    <col min="11" max="15" width="11.5546875" style="28" customWidth="1"/>
    <col min="16" max="16" width="11.44140625" customWidth="1"/>
    <col min="17" max="17" width="12.44140625" customWidth="1"/>
    <col min="18" max="18" width="11.44140625" customWidth="1"/>
    <col min="19" max="19" width="10.6640625" style="1" customWidth="1"/>
    <col min="20" max="20" width="13.44140625" style="1" bestFit="1" customWidth="1"/>
    <col min="21" max="24" width="10.5546875" style="1" customWidth="1"/>
    <col min="25" max="25" width="12.109375" customWidth="1"/>
    <col min="26" max="26" width="10.5546875" style="1" customWidth="1"/>
    <col min="27" max="27" width="11.5546875" style="1" customWidth="1"/>
    <col min="28" max="28" width="11.5546875" style="10" customWidth="1"/>
    <col min="29" max="29" width="11.5546875" style="107" customWidth="1"/>
    <col min="30" max="30" width="11.5546875" style="108" customWidth="1"/>
    <col min="31" max="31" width="11.5546875" style="114" customWidth="1"/>
    <col min="32" max="32" width="11.5546875" style="113" customWidth="1"/>
    <col min="33" max="33" width="11.5546875" style="31" customWidth="1"/>
    <col min="34" max="34" width="11.5546875" style="30" customWidth="1"/>
    <col min="35" max="35" width="12.44140625" style="46" customWidth="1"/>
    <col min="36" max="36" width="11.44140625" style="46" customWidth="1"/>
    <col min="37" max="38" width="10.5546875" style="46" customWidth="1"/>
    <col min="39" max="39" width="8.6640625" style="30"/>
    <col min="40" max="40" width="9.5546875" customWidth="1"/>
    <col min="42" max="42" width="12.109375" style="1" customWidth="1"/>
    <col min="43" max="43" width="11.109375" style="46" customWidth="1"/>
    <col min="44" max="44" width="8.44140625" style="1" bestFit="1" customWidth="1"/>
    <col min="45" max="45" width="6.109375" style="1" bestFit="1" customWidth="1"/>
    <col min="46" max="46" width="5.88671875" style="1" bestFit="1" customWidth="1"/>
    <col min="47" max="47" width="5.44140625" style="1" bestFit="1" customWidth="1"/>
    <col min="48" max="48" width="7.88671875" style="1" bestFit="1" customWidth="1"/>
    <col min="49" max="49" width="9" style="1" bestFit="1" customWidth="1"/>
    <col min="50" max="50" width="11.33203125" style="1" bestFit="1" customWidth="1"/>
    <col min="51" max="51" width="4" style="1" customWidth="1"/>
    <col min="52" max="52" width="8.6640625" style="1" customWidth="1"/>
    <col min="53" max="61" width="8.6640625" style="1"/>
    <col min="62" max="62" width="10.109375" style="1" bestFit="1" customWidth="1"/>
    <col min="63" max="63" width="8.6640625" style="1"/>
    <col min="64" max="64" width="9.44140625" style="1" bestFit="1" customWidth="1"/>
    <col min="65" max="65" width="8.6640625" style="1"/>
    <col min="66" max="66" width="10.109375" style="1" bestFit="1" customWidth="1"/>
    <col min="67" max="67" width="11.33203125" style="1" bestFit="1" customWidth="1"/>
    <col min="68" max="78" width="8.6640625" style="1"/>
    <col min="79" max="79" width="11.33203125" style="1" bestFit="1" customWidth="1"/>
    <col min="80" max="89" width="8.6640625" style="1"/>
    <col min="90" max="90" width="10.109375" style="1" bestFit="1" customWidth="1"/>
    <col min="91" max="16384" width="8.6640625" style="1"/>
  </cols>
  <sheetData>
    <row r="1" spans="1:43" ht="20.100000000000001" customHeight="1" x14ac:dyDescent="0.3">
      <c r="B1" s="133" t="s">
        <v>55</v>
      </c>
      <c r="C1" s="134"/>
      <c r="D1" s="132" t="s">
        <v>20</v>
      </c>
      <c r="E1" s="133"/>
      <c r="F1" s="133"/>
      <c r="G1" s="133"/>
      <c r="H1" s="133"/>
      <c r="I1" s="133"/>
      <c r="J1" s="134"/>
      <c r="K1" s="132" t="s">
        <v>45</v>
      </c>
      <c r="L1" s="133"/>
      <c r="M1" s="134"/>
      <c r="N1" s="132" t="s">
        <v>18</v>
      </c>
      <c r="O1" s="133"/>
      <c r="P1" s="134"/>
      <c r="Q1" s="132" t="s">
        <v>19</v>
      </c>
      <c r="R1" s="133"/>
      <c r="S1" s="133"/>
      <c r="T1" s="133"/>
      <c r="U1" s="133"/>
      <c r="V1" s="133"/>
      <c r="W1" s="133"/>
      <c r="X1" s="134"/>
      <c r="Y1" s="137" t="s">
        <v>30</v>
      </c>
      <c r="Z1" s="138"/>
      <c r="AA1" s="138"/>
      <c r="AB1" s="138"/>
      <c r="AC1" s="138"/>
      <c r="AD1" s="138"/>
      <c r="AE1" s="138"/>
      <c r="AF1" s="138"/>
      <c r="AG1" s="135" t="s">
        <v>35</v>
      </c>
      <c r="AH1" s="136"/>
      <c r="AI1" s="136"/>
      <c r="AJ1" s="136"/>
      <c r="AK1" s="136"/>
      <c r="AL1" s="1"/>
      <c r="AM1" s="1"/>
      <c r="AN1" s="1"/>
      <c r="AO1" s="1"/>
      <c r="AQ1" s="1"/>
    </row>
    <row r="2" spans="1:43" ht="55.2" x14ac:dyDescent="0.3">
      <c r="A2" s="5" t="s">
        <v>7</v>
      </c>
      <c r="B2" s="7" t="s">
        <v>94</v>
      </c>
      <c r="C2" s="6" t="s">
        <v>11</v>
      </c>
      <c r="D2" s="5" t="s">
        <v>6</v>
      </c>
      <c r="E2" s="21" t="s">
        <v>1</v>
      </c>
      <c r="F2" s="23" t="s">
        <v>0</v>
      </c>
      <c r="G2" s="7" t="s">
        <v>12</v>
      </c>
      <c r="H2" s="7" t="s">
        <v>26</v>
      </c>
      <c r="I2" s="29" t="s">
        <v>22</v>
      </c>
      <c r="J2" s="29" t="s">
        <v>27</v>
      </c>
      <c r="K2" s="29" t="s">
        <v>43</v>
      </c>
      <c r="L2" s="29" t="s">
        <v>44</v>
      </c>
      <c r="M2" s="29" t="s">
        <v>46</v>
      </c>
      <c r="N2" s="13" t="s">
        <v>13</v>
      </c>
      <c r="O2" s="13" t="s">
        <v>51</v>
      </c>
      <c r="P2" s="14" t="s">
        <v>4</v>
      </c>
      <c r="Q2" s="12" t="s">
        <v>17</v>
      </c>
      <c r="R2" s="16" t="s">
        <v>2</v>
      </c>
      <c r="S2" s="17" t="s">
        <v>49</v>
      </c>
      <c r="T2" s="17" t="s">
        <v>72</v>
      </c>
      <c r="U2" s="17" t="s">
        <v>48</v>
      </c>
      <c r="V2" s="18" t="s">
        <v>47</v>
      </c>
      <c r="W2" s="18" t="s">
        <v>5</v>
      </c>
      <c r="X2" s="15" t="s">
        <v>3</v>
      </c>
      <c r="Y2" s="38" t="s">
        <v>15</v>
      </c>
      <c r="Z2" s="38" t="s">
        <v>23</v>
      </c>
      <c r="AA2" s="39" t="s">
        <v>24</v>
      </c>
      <c r="AB2" s="42" t="s">
        <v>25</v>
      </c>
      <c r="AC2" s="102" t="s">
        <v>28</v>
      </c>
      <c r="AD2" s="103" t="s">
        <v>29</v>
      </c>
      <c r="AE2" s="109" t="s">
        <v>36</v>
      </c>
      <c r="AF2" s="109" t="s">
        <v>37</v>
      </c>
      <c r="AG2" s="17" t="s">
        <v>50</v>
      </c>
      <c r="AH2" s="13" t="s">
        <v>52</v>
      </c>
      <c r="AI2" s="45" t="s">
        <v>38</v>
      </c>
      <c r="AJ2" s="47" t="s">
        <v>32</v>
      </c>
      <c r="AK2" s="47" t="s">
        <v>39</v>
      </c>
      <c r="AL2" s="1"/>
      <c r="AM2" s="1"/>
      <c r="AN2" s="1"/>
      <c r="AO2" s="1"/>
      <c r="AQ2" s="1"/>
    </row>
    <row r="3" spans="1:43" ht="13.8" x14ac:dyDescent="0.3">
      <c r="A3" s="32">
        <f>IF(D3&lt;&gt;"",1,"")</f>
        <v>1</v>
      </c>
      <c r="B3" s="2" t="s">
        <v>92</v>
      </c>
      <c r="C3" s="3">
        <v>32.53</v>
      </c>
      <c r="D3" s="8">
        <v>43040</v>
      </c>
      <c r="E3" s="33" t="str">
        <f t="shared" ref="E3:E10" si="0">TEXT(D3,"mmm")</f>
        <v>nov</v>
      </c>
      <c r="F3" s="34" t="str">
        <f t="shared" ref="F3:F10" si="1">TEXT(D3,"aaaa")</f>
        <v>2017</v>
      </c>
      <c r="G3" s="19">
        <v>5789</v>
      </c>
      <c r="H3" s="43">
        <f>G3</f>
        <v>5789</v>
      </c>
      <c r="I3" s="35">
        <f>G3/apoio!$C$3</f>
        <v>3.0573658804516599E-2</v>
      </c>
      <c r="J3" s="35">
        <f>I3</f>
        <v>3.0573658804516599E-2</v>
      </c>
      <c r="K3" s="77">
        <v>43076</v>
      </c>
      <c r="L3" s="77">
        <v>43121</v>
      </c>
      <c r="M3" s="75">
        <f>IF(L3&lt;&gt;"",L3-K3,"")</f>
        <v>45</v>
      </c>
      <c r="N3" s="36">
        <f t="shared" ref="N3:N10" si="2">IF(L3&lt;&gt;"",G3*C3,"")</f>
        <v>188316.17</v>
      </c>
      <c r="O3" s="4">
        <v>0</v>
      </c>
      <c r="P3" s="36">
        <f>IF(N3&lt;&gt;"",N3-Q3,"")</f>
        <v>114517.37000000001</v>
      </c>
      <c r="Q3" s="4">
        <v>73798.8</v>
      </c>
      <c r="R3" s="4">
        <v>7094.0387000000001</v>
      </c>
      <c r="S3" s="3">
        <v>0</v>
      </c>
      <c r="T3" s="128">
        <f>R3+S3</f>
        <v>7094.0387000000001</v>
      </c>
      <c r="U3" s="3">
        <v>37672.767000000007</v>
      </c>
      <c r="V3" s="3">
        <v>0</v>
      </c>
      <c r="W3" s="4">
        <v>0</v>
      </c>
      <c r="X3" s="37">
        <v>0</v>
      </c>
      <c r="Y3" s="101">
        <f>VLOOKUP(B3,apoio!B$10:C$14,2,FALSE)/6*0.34</f>
        <v>1.7566666666666668E-2</v>
      </c>
      <c r="Z3" s="101">
        <f>Y3</f>
        <v>1.7566666666666668E-2</v>
      </c>
      <c r="AA3" s="40">
        <f>apoio!$C$3*Y3</f>
        <v>3326.1780666666668</v>
      </c>
      <c r="AB3" s="40">
        <f>AA3</f>
        <v>3326.1780666666668</v>
      </c>
      <c r="AC3" s="104">
        <f>IF(H3&gt;=AB3,H3-AB3,0)</f>
        <v>2462.8219333333332</v>
      </c>
      <c r="AD3" s="104" t="e">
        <f>IF(H3&lt;=AB3,AB3-H3,NA())</f>
        <v>#N/A</v>
      </c>
      <c r="AE3" s="110">
        <f t="shared" ref="AE3:AE10" si="3">IF(H3&gt;=AB3,(H3/AB3)-1,0)</f>
        <v>0.74043598507684627</v>
      </c>
      <c r="AF3" s="111" t="e">
        <f>IF(H3&lt;=AB3,(H3/AB3)-1,NA())</f>
        <v>#N/A</v>
      </c>
      <c r="AG3" s="80">
        <f>T3+U3</f>
        <v>44766.805700000004</v>
      </c>
      <c r="AH3" s="83">
        <f t="shared" ref="AH3:AH10" si="4">N3+O3</f>
        <v>188316.17</v>
      </c>
      <c r="AI3" s="81">
        <f>apoio!$I$7</f>
        <v>0.4399678111411876</v>
      </c>
      <c r="AJ3" s="48">
        <f>AG3/AH3</f>
        <v>0.23772151748838138</v>
      </c>
      <c r="AK3" s="48" t="e">
        <f>IF(AJ3&lt;=AI3,NA(),AJ3)</f>
        <v>#N/A</v>
      </c>
      <c r="AL3" s="1"/>
      <c r="AM3" s="1"/>
      <c r="AN3" s="1"/>
      <c r="AO3" s="1"/>
      <c r="AQ3" s="1"/>
    </row>
    <row r="4" spans="1:43" ht="13.8" x14ac:dyDescent="0.3">
      <c r="A4" s="32">
        <f>IF(A3&lt;&gt;"",A3+1)</f>
        <v>2</v>
      </c>
      <c r="B4" s="2" t="s">
        <v>92</v>
      </c>
      <c r="C4" s="3">
        <v>32.53</v>
      </c>
      <c r="D4" s="8">
        <v>43070</v>
      </c>
      <c r="E4" s="33" t="str">
        <f t="shared" si="0"/>
        <v>dez</v>
      </c>
      <c r="F4" s="34" t="str">
        <f t="shared" si="1"/>
        <v>2017</v>
      </c>
      <c r="G4" s="19">
        <v>12174.300000000001</v>
      </c>
      <c r="H4" s="43">
        <f>H3+G4</f>
        <v>17963.300000000003</v>
      </c>
      <c r="I4" s="35">
        <f>G4/apoio!$C$3</f>
        <v>6.4296578750013211E-2</v>
      </c>
      <c r="J4" s="35">
        <f>J3+I4</f>
        <v>9.4870237554529807E-2</v>
      </c>
      <c r="K4" s="77">
        <v>43099</v>
      </c>
      <c r="L4" s="77">
        <v>43115</v>
      </c>
      <c r="M4" s="75">
        <f t="shared" ref="M4:M10" si="5">IF(L4&lt;&gt;"",L4-K4,"")</f>
        <v>16</v>
      </c>
      <c r="N4" s="36">
        <f t="shared" si="2"/>
        <v>396029.97900000005</v>
      </c>
      <c r="O4" s="4">
        <v>3910.43</v>
      </c>
      <c r="P4" s="36">
        <f t="shared" ref="P4:P10" si="6">IF(N4&lt;&gt;"",N4-Q4,"")</f>
        <v>56925.73900000006</v>
      </c>
      <c r="Q4" s="4">
        <v>339104.24</v>
      </c>
      <c r="R4" s="4">
        <v>142272.7923</v>
      </c>
      <c r="S4" s="3">
        <v>483.6438</v>
      </c>
      <c r="T4" s="128">
        <f t="shared" ref="T4:T10" si="7">R4+S4</f>
        <v>142756.43609999999</v>
      </c>
      <c r="U4" s="3">
        <v>85087.838000000003</v>
      </c>
      <c r="V4" s="3">
        <v>0</v>
      </c>
      <c r="W4" s="4">
        <v>94974.421440000006</v>
      </c>
      <c r="X4" s="37">
        <v>0</v>
      </c>
      <c r="Y4" s="41">
        <f>VLOOKUP(B4,apoio!B$10:C$14,2,FALSE)/6</f>
        <v>5.1666666666666666E-2</v>
      </c>
      <c r="Z4" s="41">
        <f>Z3+Y4</f>
        <v>6.9233333333333341E-2</v>
      </c>
      <c r="AA4" s="40">
        <f>apoio!$C$3*Y4</f>
        <v>9782.876666666667</v>
      </c>
      <c r="AB4" s="40">
        <f>AB3+AA4</f>
        <v>13109.054733333334</v>
      </c>
      <c r="AC4" s="104">
        <f>IF(H4&gt;=AB4,H4-AB4,0)</f>
        <v>4854.2452666666686</v>
      </c>
      <c r="AD4" s="104" t="e">
        <f t="shared" ref="AD4:AD10" si="8">IF(H4&lt;=AB4,AB4-H4,NA())</f>
        <v>#N/A</v>
      </c>
      <c r="AE4" s="110">
        <f t="shared" si="3"/>
        <v>0.37029712404231785</v>
      </c>
      <c r="AF4" s="111" t="e">
        <f t="shared" ref="AF4:AF10" si="9">IF(H4&lt;=AB4,(H4/AB4)-1,NA())</f>
        <v>#N/A</v>
      </c>
      <c r="AG4" s="80">
        <f t="shared" ref="AG4:AG10" si="10">T4+U4</f>
        <v>227844.27409999998</v>
      </c>
      <c r="AH4" s="83">
        <f t="shared" si="4"/>
        <v>399940.40900000004</v>
      </c>
      <c r="AI4" s="81">
        <f>apoio!$I$7</f>
        <v>0.4399678111411876</v>
      </c>
      <c r="AJ4" s="48">
        <f t="shared" ref="AJ4:AJ10" si="11">AG4/AH4</f>
        <v>0.56969555706985331</v>
      </c>
      <c r="AK4" s="48">
        <f t="shared" ref="AK4:AK9" si="12">IF(AJ4&lt;=AI4,NA(),AJ4)</f>
        <v>0.56969555706985331</v>
      </c>
      <c r="AL4" s="1"/>
      <c r="AM4" s="1"/>
      <c r="AN4" s="1"/>
      <c r="AO4" s="1"/>
      <c r="AQ4" s="1"/>
    </row>
    <row r="5" spans="1:43" ht="13.8" x14ac:dyDescent="0.3">
      <c r="A5" s="32">
        <f t="shared" ref="A5:A10" si="13">IF(A4&lt;&gt;"",A4+1)</f>
        <v>3</v>
      </c>
      <c r="B5" s="2" t="s">
        <v>92</v>
      </c>
      <c r="C5" s="3">
        <v>32.53</v>
      </c>
      <c r="D5" s="8">
        <v>43101</v>
      </c>
      <c r="E5" s="33" t="str">
        <f t="shared" si="0"/>
        <v>jan</v>
      </c>
      <c r="F5" s="34" t="str">
        <f t="shared" si="1"/>
        <v>2018</v>
      </c>
      <c r="G5" s="19">
        <v>13106.7</v>
      </c>
      <c r="H5" s="43">
        <f t="shared" ref="H5:H10" si="14">H4+G5</f>
        <v>31070.000000000004</v>
      </c>
      <c r="I5" s="35">
        <f>G5/apoio!$C$3</f>
        <v>6.9220897193497624E-2</v>
      </c>
      <c r="J5" s="35">
        <f t="shared" ref="J5:J10" si="15">J4+I5</f>
        <v>0.16409113474802745</v>
      </c>
      <c r="K5" s="77">
        <v>43136</v>
      </c>
      <c r="L5" s="77">
        <v>43167</v>
      </c>
      <c r="M5" s="75">
        <f t="shared" si="5"/>
        <v>31</v>
      </c>
      <c r="N5" s="36">
        <f t="shared" si="2"/>
        <v>426360.95100000006</v>
      </c>
      <c r="O5" s="4">
        <v>0</v>
      </c>
      <c r="P5" s="36">
        <f t="shared" si="6"/>
        <v>103144.99100000004</v>
      </c>
      <c r="Q5" s="4">
        <v>323215.96000000002</v>
      </c>
      <c r="R5" s="4">
        <v>116889.8143</v>
      </c>
      <c r="S5" s="3">
        <v>588.59260000000006</v>
      </c>
      <c r="T5" s="128">
        <f t="shared" si="7"/>
        <v>117478.4069</v>
      </c>
      <c r="U5" s="3">
        <v>91604.513000000006</v>
      </c>
      <c r="V5" s="3">
        <v>0</v>
      </c>
      <c r="W5" s="4">
        <v>75551.530079999997</v>
      </c>
      <c r="X5" s="37">
        <v>0</v>
      </c>
      <c r="Y5" s="41">
        <f>VLOOKUP(B5,apoio!B$10:C$14,2,FALSE)/6</f>
        <v>5.1666666666666666E-2</v>
      </c>
      <c r="Z5" s="41">
        <f t="shared" ref="Z5:Z10" si="16">Z4+Y5</f>
        <v>0.12090000000000001</v>
      </c>
      <c r="AA5" s="40">
        <f>apoio!$C$3*Y5</f>
        <v>9782.876666666667</v>
      </c>
      <c r="AB5" s="40">
        <f t="shared" ref="AB5:AB10" si="17">AB4+AA5</f>
        <v>22891.931400000001</v>
      </c>
      <c r="AC5" s="104">
        <f t="shared" ref="AC5:AC10" si="18">IF(H5&gt;=AB5,H5-AB5,0)</f>
        <v>8178.0686000000023</v>
      </c>
      <c r="AD5" s="104" t="e">
        <f t="shared" si="8"/>
        <v>#N/A</v>
      </c>
      <c r="AE5" s="110">
        <f t="shared" si="3"/>
        <v>0.35724677210940792</v>
      </c>
      <c r="AF5" s="111" t="e">
        <f t="shared" si="9"/>
        <v>#N/A</v>
      </c>
      <c r="AG5" s="80">
        <f t="shared" si="10"/>
        <v>209082.91990000001</v>
      </c>
      <c r="AH5" s="83">
        <f t="shared" si="4"/>
        <v>426360.95100000006</v>
      </c>
      <c r="AI5" s="81">
        <f>apoio!$I$7</f>
        <v>0.4399678111411876</v>
      </c>
      <c r="AJ5" s="48">
        <f t="shared" si="11"/>
        <v>0.49038946791353782</v>
      </c>
      <c r="AK5" s="48">
        <f t="shared" si="12"/>
        <v>0.49038946791353782</v>
      </c>
      <c r="AL5" s="1"/>
      <c r="AM5" s="1"/>
      <c r="AN5" s="1"/>
      <c r="AO5" s="1"/>
      <c r="AQ5" s="1"/>
    </row>
    <row r="6" spans="1:43" ht="13.8" x14ac:dyDescent="0.3">
      <c r="A6" s="32">
        <f t="shared" si="13"/>
        <v>4</v>
      </c>
      <c r="B6" s="2" t="s">
        <v>92</v>
      </c>
      <c r="C6" s="3">
        <v>32.53</v>
      </c>
      <c r="D6" s="8">
        <v>43132</v>
      </c>
      <c r="E6" s="33" t="str">
        <f t="shared" si="0"/>
        <v>fev</v>
      </c>
      <c r="F6" s="34" t="str">
        <f t="shared" si="1"/>
        <v>2018</v>
      </c>
      <c r="G6" s="19">
        <v>11335.95</v>
      </c>
      <c r="H6" s="43">
        <f t="shared" si="14"/>
        <v>42405.950000000004</v>
      </c>
      <c r="I6" s="35">
        <f>G6/apoio!$C$3</f>
        <v>5.9868970033694929E-2</v>
      </c>
      <c r="J6" s="35">
        <f t="shared" si="15"/>
        <v>0.22396010478172237</v>
      </c>
      <c r="K6" s="77">
        <v>43172</v>
      </c>
      <c r="L6" s="77">
        <v>43199</v>
      </c>
      <c r="M6" s="75">
        <f t="shared" si="5"/>
        <v>27</v>
      </c>
      <c r="N6" s="36">
        <f t="shared" si="2"/>
        <v>368758.45350000006</v>
      </c>
      <c r="O6" s="4">
        <v>0</v>
      </c>
      <c r="P6" s="36">
        <f t="shared" si="6"/>
        <v>82932.283500000078</v>
      </c>
      <c r="Q6" s="4">
        <v>285826.17</v>
      </c>
      <c r="R6" s="4">
        <v>105533.5478</v>
      </c>
      <c r="S6" s="3">
        <v>2605.6351999999997</v>
      </c>
      <c r="T6" s="128">
        <f t="shared" si="7"/>
        <v>108139.183</v>
      </c>
      <c r="U6" s="3">
        <v>79228.501000000004</v>
      </c>
      <c r="V6" s="3">
        <v>0</v>
      </c>
      <c r="W6" s="4">
        <v>69131.606400000004</v>
      </c>
      <c r="X6" s="37">
        <v>0</v>
      </c>
      <c r="Y6" s="41">
        <f>VLOOKUP(B6,apoio!B$10:C$14,2,FALSE)/6</f>
        <v>5.1666666666666666E-2</v>
      </c>
      <c r="Z6" s="41">
        <f t="shared" si="16"/>
        <v>0.17256666666666667</v>
      </c>
      <c r="AA6" s="40">
        <f>apoio!$C$3*Y6</f>
        <v>9782.876666666667</v>
      </c>
      <c r="AB6" s="40">
        <f t="shared" si="17"/>
        <v>32674.808066666668</v>
      </c>
      <c r="AC6" s="104">
        <f t="shared" si="18"/>
        <v>9731.1419333333361</v>
      </c>
      <c r="AD6" s="104" t="e">
        <f t="shared" si="8"/>
        <v>#N/A</v>
      </c>
      <c r="AE6" s="110">
        <f t="shared" si="3"/>
        <v>0.29781787588403907</v>
      </c>
      <c r="AF6" s="111" t="e">
        <f t="shared" si="9"/>
        <v>#N/A</v>
      </c>
      <c r="AG6" s="80">
        <f t="shared" si="10"/>
        <v>187367.68400000001</v>
      </c>
      <c r="AH6" s="83">
        <f t="shared" si="4"/>
        <v>368758.45350000006</v>
      </c>
      <c r="AI6" s="81">
        <f>apoio!$I$7</f>
        <v>0.4399678111411876</v>
      </c>
      <c r="AJ6" s="48">
        <f t="shared" si="11"/>
        <v>0.50810410506290937</v>
      </c>
      <c r="AK6" s="48">
        <f t="shared" si="12"/>
        <v>0.50810410506290937</v>
      </c>
      <c r="AL6" s="1"/>
      <c r="AM6" s="1"/>
      <c r="AN6" s="1"/>
      <c r="AO6" s="1"/>
      <c r="AQ6" s="1"/>
    </row>
    <row r="7" spans="1:43" ht="13.8" x14ac:dyDescent="0.3">
      <c r="A7" s="32">
        <f t="shared" si="13"/>
        <v>5</v>
      </c>
      <c r="B7" s="2" t="s">
        <v>92</v>
      </c>
      <c r="C7" s="3">
        <v>32.53</v>
      </c>
      <c r="D7" s="8">
        <v>43160</v>
      </c>
      <c r="E7" s="33" t="str">
        <f t="shared" si="0"/>
        <v>mar</v>
      </c>
      <c r="F7" s="34" t="str">
        <f t="shared" si="1"/>
        <v>2018</v>
      </c>
      <c r="G7" s="19">
        <v>12431.7</v>
      </c>
      <c r="H7" s="43">
        <f t="shared" si="14"/>
        <v>54837.650000000009</v>
      </c>
      <c r="I7" s="35">
        <f>G7/apoio!$C$3</f>
        <v>6.5655994845415275E-2</v>
      </c>
      <c r="J7" s="35">
        <f t="shared" si="15"/>
        <v>0.28961609962713764</v>
      </c>
      <c r="K7" s="77">
        <v>43204</v>
      </c>
      <c r="L7" s="77">
        <v>43245</v>
      </c>
      <c r="M7" s="75">
        <f t="shared" si="5"/>
        <v>41</v>
      </c>
      <c r="N7" s="36">
        <f t="shared" si="2"/>
        <v>404403.20100000006</v>
      </c>
      <c r="O7" s="4">
        <v>0</v>
      </c>
      <c r="P7" s="36">
        <f t="shared" si="6"/>
        <v>85716.451000000059</v>
      </c>
      <c r="Q7" s="4">
        <v>318686.75</v>
      </c>
      <c r="R7" s="4">
        <v>119761.1501</v>
      </c>
      <c r="S7" s="3">
        <v>234.91549999999998</v>
      </c>
      <c r="T7" s="128">
        <f t="shared" si="7"/>
        <v>119996.0656</v>
      </c>
      <c r="U7" s="3">
        <v>86886.843999999997</v>
      </c>
      <c r="V7" s="3">
        <v>4675.8</v>
      </c>
      <c r="W7" s="4">
        <v>77730.197759999995</v>
      </c>
      <c r="X7" s="37">
        <v>0</v>
      </c>
      <c r="Y7" s="41">
        <f>VLOOKUP(B7,apoio!B$10:C$14,2,FALSE)/6</f>
        <v>5.1666666666666666E-2</v>
      </c>
      <c r="Z7" s="41">
        <f t="shared" si="16"/>
        <v>0.22423333333333334</v>
      </c>
      <c r="AA7" s="40">
        <f>apoio!$C$3*Y7</f>
        <v>9782.876666666667</v>
      </c>
      <c r="AB7" s="40">
        <f t="shared" si="17"/>
        <v>42457.684733333335</v>
      </c>
      <c r="AC7" s="104">
        <f t="shared" si="18"/>
        <v>12379.965266666673</v>
      </c>
      <c r="AD7" s="104" t="e">
        <f t="shared" si="8"/>
        <v>#N/A</v>
      </c>
      <c r="AE7" s="110">
        <f t="shared" si="3"/>
        <v>0.29158361659196208</v>
      </c>
      <c r="AF7" s="111" t="e">
        <f t="shared" si="9"/>
        <v>#N/A</v>
      </c>
      <c r="AG7" s="80">
        <f t="shared" si="10"/>
        <v>206882.90960000001</v>
      </c>
      <c r="AH7" s="83">
        <f t="shared" si="4"/>
        <v>404403.20100000006</v>
      </c>
      <c r="AI7" s="81">
        <f>apoio!$I$7</f>
        <v>0.4399678111411876</v>
      </c>
      <c r="AJ7" s="48">
        <f t="shared" si="11"/>
        <v>0.51157584581037974</v>
      </c>
      <c r="AK7" s="48">
        <f t="shared" si="12"/>
        <v>0.51157584581037974</v>
      </c>
      <c r="AL7" s="1"/>
      <c r="AM7" s="1"/>
      <c r="AN7" s="1"/>
      <c r="AO7" s="1"/>
      <c r="AQ7" s="1"/>
    </row>
    <row r="8" spans="1:43" ht="13.8" x14ac:dyDescent="0.3">
      <c r="A8" s="32">
        <f t="shared" si="13"/>
        <v>6</v>
      </c>
      <c r="B8" s="2" t="s">
        <v>92</v>
      </c>
      <c r="C8" s="3">
        <v>32.53</v>
      </c>
      <c r="D8" s="8">
        <v>43191</v>
      </c>
      <c r="E8" s="33" t="str">
        <f t="shared" si="0"/>
        <v>abr</v>
      </c>
      <c r="F8" s="34" t="str">
        <f t="shared" si="1"/>
        <v>2018</v>
      </c>
      <c r="G8" s="19">
        <v>12594.6</v>
      </c>
      <c r="H8" s="43">
        <f t="shared" si="14"/>
        <v>67432.250000000015</v>
      </c>
      <c r="I8" s="35">
        <f>G8/apoio!$C$3</f>
        <v>6.6516324612085814E-2</v>
      </c>
      <c r="J8" s="35">
        <f t="shared" si="15"/>
        <v>0.35613242423922342</v>
      </c>
      <c r="K8" s="77">
        <v>43222</v>
      </c>
      <c r="L8" s="77">
        <v>43267</v>
      </c>
      <c r="M8" s="75">
        <f t="shared" si="5"/>
        <v>45</v>
      </c>
      <c r="N8" s="36">
        <f t="shared" si="2"/>
        <v>409702.33800000005</v>
      </c>
      <c r="O8" s="4">
        <v>0</v>
      </c>
      <c r="P8" s="36">
        <f t="shared" si="6"/>
        <v>83913.388000000035</v>
      </c>
      <c r="Q8" s="4">
        <v>325788.95</v>
      </c>
      <c r="R8" s="4">
        <v>125035.55710000002</v>
      </c>
      <c r="S8" s="3">
        <v>2.2694999999999999</v>
      </c>
      <c r="T8" s="128">
        <f t="shared" si="7"/>
        <v>125037.82660000001</v>
      </c>
      <c r="U8" s="3">
        <v>88025.377000000008</v>
      </c>
      <c r="V8" s="3">
        <v>0</v>
      </c>
      <c r="W8" s="4">
        <v>84196.852320000005</v>
      </c>
      <c r="X8" s="37">
        <v>0</v>
      </c>
      <c r="Y8" s="41">
        <f>VLOOKUP(B8,apoio!B$10:C$14,2,FALSE)/6</f>
        <v>5.1666666666666666E-2</v>
      </c>
      <c r="Z8" s="41">
        <f t="shared" si="16"/>
        <v>0.27590000000000003</v>
      </c>
      <c r="AA8" s="40">
        <f>apoio!$C$3*Y8</f>
        <v>9782.876666666667</v>
      </c>
      <c r="AB8" s="40">
        <f t="shared" si="17"/>
        <v>52240.561400000006</v>
      </c>
      <c r="AC8" s="104">
        <f t="shared" si="18"/>
        <v>15191.688600000009</v>
      </c>
      <c r="AD8" s="104" t="e">
        <f t="shared" si="8"/>
        <v>#N/A</v>
      </c>
      <c r="AE8" s="110">
        <f t="shared" si="3"/>
        <v>0.29080255251621412</v>
      </c>
      <c r="AF8" s="111" t="e">
        <f t="shared" si="9"/>
        <v>#N/A</v>
      </c>
      <c r="AG8" s="80">
        <f t="shared" si="10"/>
        <v>213063.20360000001</v>
      </c>
      <c r="AH8" s="83">
        <f t="shared" si="4"/>
        <v>409702.33800000005</v>
      </c>
      <c r="AI8" s="81">
        <f>apoio!$I$7</f>
        <v>0.4399678111411876</v>
      </c>
      <c r="AJ8" s="48">
        <f t="shared" si="11"/>
        <v>0.52004390465548178</v>
      </c>
      <c r="AK8" s="48">
        <f t="shared" si="12"/>
        <v>0.52004390465548178</v>
      </c>
      <c r="AL8" s="1"/>
      <c r="AM8" s="1"/>
      <c r="AN8" s="1"/>
      <c r="AO8" s="1"/>
      <c r="AQ8" s="1"/>
    </row>
    <row r="9" spans="1:43" ht="13.8" x14ac:dyDescent="0.3">
      <c r="A9" s="32">
        <f t="shared" si="13"/>
        <v>7</v>
      </c>
      <c r="B9" s="2" t="s">
        <v>92</v>
      </c>
      <c r="C9" s="3">
        <v>32.53</v>
      </c>
      <c r="D9" s="8">
        <v>43221</v>
      </c>
      <c r="E9" s="33" t="str">
        <f t="shared" si="0"/>
        <v>mai</v>
      </c>
      <c r="F9" s="34" t="str">
        <f t="shared" si="1"/>
        <v>2018</v>
      </c>
      <c r="G9" s="19">
        <v>12640.5</v>
      </c>
      <c r="H9" s="43">
        <f t="shared" si="14"/>
        <v>80072.750000000015</v>
      </c>
      <c r="I9" s="35">
        <f>G9/apoio!$C$3</f>
        <v>6.6758737971755411E-2</v>
      </c>
      <c r="J9" s="35">
        <f t="shared" si="15"/>
        <v>0.42289116221097883</v>
      </c>
      <c r="K9" s="77">
        <v>43261</v>
      </c>
      <c r="L9" s="77">
        <v>43291</v>
      </c>
      <c r="M9" s="75">
        <f t="shared" si="5"/>
        <v>30</v>
      </c>
      <c r="N9" s="36">
        <f t="shared" si="2"/>
        <v>411195.46500000003</v>
      </c>
      <c r="O9" s="4">
        <v>0</v>
      </c>
      <c r="P9" s="36">
        <f t="shared" si="6"/>
        <v>101266.315</v>
      </c>
      <c r="Q9" s="4">
        <v>309929.15000000002</v>
      </c>
      <c r="R9" s="4">
        <v>112778.9221</v>
      </c>
      <c r="S9" s="3">
        <v>304.13080000000002</v>
      </c>
      <c r="T9" s="128">
        <f t="shared" si="7"/>
        <v>113083.0529</v>
      </c>
      <c r="U9" s="3">
        <v>88346.17</v>
      </c>
      <c r="V9" s="3">
        <v>0</v>
      </c>
      <c r="W9" s="4">
        <v>76190.741760000004</v>
      </c>
      <c r="X9" s="37">
        <v>0</v>
      </c>
      <c r="Y9" s="41">
        <f>VLOOKUP(B9,apoio!B$10:C$14,2,FALSE)/6</f>
        <v>5.1666666666666666E-2</v>
      </c>
      <c r="Z9" s="41">
        <f t="shared" si="16"/>
        <v>0.32756666666666667</v>
      </c>
      <c r="AA9" s="40">
        <f>apoio!$C$3*Y9</f>
        <v>9782.876666666667</v>
      </c>
      <c r="AB9" s="40">
        <f t="shared" si="17"/>
        <v>62023.438066666669</v>
      </c>
      <c r="AC9" s="104">
        <f t="shared" si="18"/>
        <v>18049.311933333345</v>
      </c>
      <c r="AD9" s="104" t="e">
        <f t="shared" si="8"/>
        <v>#N/A</v>
      </c>
      <c r="AE9" s="110">
        <f t="shared" si="3"/>
        <v>0.29100792371317463</v>
      </c>
      <c r="AF9" s="111" t="e">
        <f t="shared" si="9"/>
        <v>#N/A</v>
      </c>
      <c r="AG9" s="80">
        <f t="shared" si="10"/>
        <v>201429.22289999999</v>
      </c>
      <c r="AH9" s="83">
        <f t="shared" si="4"/>
        <v>411195.46500000003</v>
      </c>
      <c r="AI9" s="81">
        <f>apoio!$I$7</f>
        <v>0.4399678111411876</v>
      </c>
      <c r="AJ9" s="48">
        <f t="shared" si="11"/>
        <v>0.4898624621261326</v>
      </c>
      <c r="AK9" s="48">
        <f t="shared" si="12"/>
        <v>0.4898624621261326</v>
      </c>
      <c r="AL9" s="1"/>
      <c r="AM9" s="1"/>
      <c r="AN9" s="1"/>
      <c r="AO9" s="1"/>
      <c r="AQ9" s="1"/>
    </row>
    <row r="10" spans="1:43" x14ac:dyDescent="0.3">
      <c r="A10" s="32">
        <f t="shared" si="13"/>
        <v>8</v>
      </c>
      <c r="B10" s="2" t="s">
        <v>93</v>
      </c>
      <c r="C10" s="3">
        <v>32.53</v>
      </c>
      <c r="D10" s="8">
        <v>43252</v>
      </c>
      <c r="E10" s="33" t="str">
        <f t="shared" si="0"/>
        <v>jun</v>
      </c>
      <c r="F10" s="34" t="str">
        <f t="shared" si="1"/>
        <v>2018</v>
      </c>
      <c r="G10" s="19">
        <v>12412.098</v>
      </c>
      <c r="H10" s="43">
        <f t="shared" si="14"/>
        <v>92484.848000000013</v>
      </c>
      <c r="I10" s="67">
        <f>G10/apoio!$C$3</f>
        <v>6.5552470081226957E-2</v>
      </c>
      <c r="J10" s="35">
        <f t="shared" si="15"/>
        <v>0.48844363229220578</v>
      </c>
      <c r="K10" s="77">
        <v>43294</v>
      </c>
      <c r="L10" s="77">
        <v>43304</v>
      </c>
      <c r="M10" s="75">
        <f t="shared" si="5"/>
        <v>10</v>
      </c>
      <c r="N10" s="36">
        <f t="shared" si="2"/>
        <v>403765.54794000002</v>
      </c>
      <c r="O10" s="68">
        <v>0</v>
      </c>
      <c r="P10" s="36">
        <f t="shared" si="6"/>
        <v>74322.25794000004</v>
      </c>
      <c r="Q10" s="68">
        <v>329443.28999999998</v>
      </c>
      <c r="R10" s="69">
        <v>131872.05650000001</v>
      </c>
      <c r="S10" s="70">
        <v>248.88849999999999</v>
      </c>
      <c r="T10" s="128">
        <f t="shared" si="7"/>
        <v>132120.94500000001</v>
      </c>
      <c r="U10" s="3">
        <v>86517.354000000007</v>
      </c>
      <c r="V10" s="70">
        <v>0</v>
      </c>
      <c r="W10" s="69">
        <v>81284.571840000004</v>
      </c>
      <c r="X10" s="37">
        <v>2087.4499999999998</v>
      </c>
      <c r="Y10" s="71">
        <f>VLOOKUP(B10,apoio!B$10:C$14,2,FALSE)/6</f>
        <v>7.8333333333333324E-2</v>
      </c>
      <c r="Z10" s="41">
        <f t="shared" si="16"/>
        <v>0.40589999999999998</v>
      </c>
      <c r="AA10" s="72">
        <f>apoio!$C$3*Y10</f>
        <v>14832.103333333331</v>
      </c>
      <c r="AB10" s="40">
        <f t="shared" si="17"/>
        <v>76855.541400000002</v>
      </c>
      <c r="AC10" s="105">
        <f t="shared" si="18"/>
        <v>15629.306600000011</v>
      </c>
      <c r="AD10" s="104" t="e">
        <f t="shared" si="8"/>
        <v>#N/A</v>
      </c>
      <c r="AE10" s="112">
        <f t="shared" si="3"/>
        <v>0.20335952769698418</v>
      </c>
      <c r="AF10" s="111" t="e">
        <f t="shared" si="9"/>
        <v>#N/A</v>
      </c>
      <c r="AG10" s="80">
        <f t="shared" si="10"/>
        <v>218638.299</v>
      </c>
      <c r="AH10" s="83">
        <f t="shared" si="4"/>
        <v>403765.54794000002</v>
      </c>
      <c r="AI10" s="82">
        <f>apoio!$I$7</f>
        <v>0.4399678111411876</v>
      </c>
      <c r="AJ10" s="48">
        <f t="shared" si="11"/>
        <v>0.54149815435092519</v>
      </c>
      <c r="AK10" s="73">
        <f>IF(AJ10&lt;=AI10,NA(),AJ10)</f>
        <v>0.54149815435092519</v>
      </c>
      <c r="AL10"/>
      <c r="AM10" s="1"/>
      <c r="AN10" s="46"/>
      <c r="AO10" s="1"/>
      <c r="AQ10" s="1"/>
    </row>
    <row r="11" spans="1:43" x14ac:dyDescent="0.3">
      <c r="X11" s="27"/>
      <c r="Z11" s="44"/>
      <c r="AA11" s="44"/>
      <c r="AB11" s="44"/>
      <c r="AC11" s="106"/>
      <c r="AD11" s="106"/>
      <c r="AE11" s="113"/>
      <c r="AG11" s="44"/>
    </row>
    <row r="12" spans="1:43" x14ac:dyDescent="0.3">
      <c r="X12" s="27"/>
      <c r="Z12" s="44"/>
      <c r="AA12" s="44"/>
      <c r="AB12" s="44"/>
      <c r="AC12" s="106"/>
      <c r="AD12" s="106"/>
      <c r="AE12" s="113"/>
      <c r="AG12" s="44"/>
      <c r="AJ12" s="84"/>
    </row>
    <row r="13" spans="1:43" x14ac:dyDescent="0.3">
      <c r="X13" s="27"/>
      <c r="Z13" s="44"/>
      <c r="AA13" s="44"/>
      <c r="AB13" s="44"/>
      <c r="AC13" s="106"/>
      <c r="AD13" s="106"/>
      <c r="AE13" s="113"/>
      <c r="AG13" s="44"/>
    </row>
    <row r="14" spans="1:43" x14ac:dyDescent="0.3">
      <c r="N14"/>
      <c r="O14"/>
      <c r="X14" s="27"/>
      <c r="Z14" s="44"/>
      <c r="AA14" s="44"/>
      <c r="AB14" s="44"/>
      <c r="AC14" s="106"/>
      <c r="AD14" s="106"/>
      <c r="AE14" s="113"/>
      <c r="AG14" s="44"/>
      <c r="AI14" s="84"/>
      <c r="AJ14" s="84"/>
    </row>
    <row r="15" spans="1:43" x14ac:dyDescent="0.3">
      <c r="M15" s="78"/>
      <c r="N15"/>
      <c r="O15"/>
      <c r="X15" s="27"/>
      <c r="Z15" s="44"/>
      <c r="AA15" s="44"/>
      <c r="AB15" s="44"/>
      <c r="AC15" s="106"/>
      <c r="AD15" s="106"/>
      <c r="AE15" s="113"/>
      <c r="AG15" s="44"/>
    </row>
    <row r="16" spans="1:43" x14ac:dyDescent="0.3">
      <c r="M16" s="78"/>
      <c r="N16"/>
      <c r="O16"/>
      <c r="X16" s="27"/>
      <c r="Z16" s="44"/>
      <c r="AA16" s="44"/>
      <c r="AB16" s="44"/>
      <c r="AC16" s="106"/>
      <c r="AD16" s="106"/>
      <c r="AE16" s="113"/>
      <c r="AG16" s="44"/>
    </row>
    <row r="17" spans="13:33" x14ac:dyDescent="0.3">
      <c r="M17" s="78"/>
      <c r="N17"/>
      <c r="O17"/>
      <c r="X17" s="27"/>
      <c r="Z17" s="44"/>
      <c r="AA17" s="44"/>
      <c r="AB17" s="44"/>
      <c r="AC17" s="106"/>
      <c r="AD17" s="106"/>
      <c r="AE17" s="113"/>
      <c r="AG17" s="44"/>
    </row>
    <row r="18" spans="13:33" x14ac:dyDescent="0.3">
      <c r="M18" s="74"/>
      <c r="N18"/>
      <c r="O18"/>
      <c r="X18" s="27"/>
      <c r="Z18" s="44"/>
      <c r="AA18" s="44"/>
      <c r="AB18" s="44"/>
      <c r="AC18" s="106"/>
      <c r="AD18" s="106"/>
      <c r="AE18" s="113"/>
      <c r="AG18" s="44"/>
    </row>
    <row r="19" spans="13:33" x14ac:dyDescent="0.3">
      <c r="M19" s="74"/>
      <c r="N19"/>
      <c r="O19"/>
      <c r="X19" s="27"/>
      <c r="Z19" s="44"/>
      <c r="AA19" s="44"/>
      <c r="AB19" s="44"/>
      <c r="AC19" s="106"/>
      <c r="AD19" s="106"/>
      <c r="AE19" s="113"/>
      <c r="AG19" s="44"/>
    </row>
    <row r="20" spans="13:33" x14ac:dyDescent="0.3">
      <c r="M20" s="74"/>
      <c r="N20"/>
      <c r="O20"/>
      <c r="X20" s="27"/>
      <c r="Z20" s="44"/>
      <c r="AA20" s="44"/>
      <c r="AB20" s="44"/>
      <c r="AC20" s="106"/>
      <c r="AD20" s="106"/>
      <c r="AE20" s="113"/>
      <c r="AG20" s="44"/>
    </row>
    <row r="21" spans="13:33" x14ac:dyDescent="0.3">
      <c r="M21" s="74"/>
      <c r="N21"/>
      <c r="O21"/>
      <c r="X21" s="27"/>
      <c r="Z21" s="44"/>
      <c r="AA21" s="44"/>
      <c r="AB21" s="44"/>
      <c r="AC21" s="106"/>
      <c r="AD21" s="106"/>
      <c r="AE21" s="113"/>
      <c r="AG21" s="44"/>
    </row>
    <row r="22" spans="13:33" x14ac:dyDescent="0.3">
      <c r="N22"/>
      <c r="O22"/>
      <c r="X22" s="27"/>
      <c r="Z22" s="44"/>
      <c r="AA22" s="44"/>
      <c r="AB22" s="44"/>
      <c r="AC22" s="106"/>
      <c r="AD22" s="106"/>
      <c r="AE22" s="113"/>
      <c r="AG22" s="44"/>
    </row>
    <row r="23" spans="13:33" x14ac:dyDescent="0.3">
      <c r="N23"/>
      <c r="O23"/>
      <c r="X23" s="27"/>
      <c r="Z23" s="44"/>
      <c r="AA23" s="44"/>
      <c r="AB23" s="44"/>
      <c r="AC23" s="106"/>
      <c r="AD23" s="106"/>
      <c r="AE23" s="113"/>
      <c r="AG23" s="44"/>
    </row>
    <row r="24" spans="13:33" x14ac:dyDescent="0.3">
      <c r="N24"/>
      <c r="O24"/>
      <c r="X24" s="27"/>
    </row>
    <row r="25" spans="13:33" x14ac:dyDescent="0.3">
      <c r="N25"/>
      <c r="O25"/>
      <c r="X25" s="27"/>
    </row>
    <row r="26" spans="13:33" x14ac:dyDescent="0.3">
      <c r="X26" s="27"/>
    </row>
  </sheetData>
  <mergeCells count="7">
    <mergeCell ref="D1:J1"/>
    <mergeCell ref="B1:C1"/>
    <mergeCell ref="AG1:AK1"/>
    <mergeCell ref="Y1:AF1"/>
    <mergeCell ref="N1:P1"/>
    <mergeCell ref="K1:M1"/>
    <mergeCell ref="Q1:X1"/>
  </mergeCells>
  <pageMargins left="0.511811024" right="0.511811024" top="0.78740157499999996" bottom="0.78740157499999996" header="0.31496062000000002" footer="0.31496062000000002"/>
  <pageSetup paperSize="9" scale="55" orientation="landscape" r:id="rId1"/>
  <ignoredErrors>
    <ignoredError sqref="X3 Y3 AK3:AK9 X4:X10 AJ3 M3:N3 P3 E3:F3 AG3 AD3 AF3:AF10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28"/>
  <sheetViews>
    <sheetView showGridLines="0" topLeftCell="AC1" zoomScale="80" zoomScaleNormal="80" workbookViewId="0">
      <selection activeCell="G20" sqref="G20"/>
    </sheetView>
  </sheetViews>
  <sheetFormatPr defaultColWidth="8.6640625" defaultRowHeight="13.8" x14ac:dyDescent="0.3"/>
  <cols>
    <col min="1" max="1" width="13.6640625" style="1" bestFit="1" customWidth="1"/>
    <col min="2" max="2" width="11" style="1" customWidth="1"/>
    <col min="3" max="3" width="9.33203125" style="1" bestFit="1" customWidth="1"/>
    <col min="4" max="4" width="6.44140625" style="1" customWidth="1"/>
    <col min="5" max="5" width="20.88671875" style="1" bestFit="1" customWidth="1"/>
    <col min="6" max="6" width="14.44140625" style="27" bestFit="1" customWidth="1"/>
    <col min="7" max="7" width="15.109375" style="27" bestFit="1" customWidth="1"/>
    <col min="8" max="8" width="16.44140625" style="27" bestFit="1" customWidth="1"/>
    <col min="9" max="9" width="6.44140625" style="9" customWidth="1"/>
    <col min="10" max="10" width="21" style="1" customWidth="1"/>
    <col min="11" max="11" width="9.21875" style="46" customWidth="1"/>
    <col min="12" max="12" width="13.109375" style="46" customWidth="1"/>
    <col min="13" max="13" width="15.21875" style="46" customWidth="1"/>
    <col min="14" max="14" width="5.5546875" style="9" customWidth="1"/>
    <col min="15" max="15" width="16.5546875" style="9" customWidth="1"/>
    <col min="16" max="16" width="17.5546875" style="9" customWidth="1"/>
    <col min="17" max="17" width="10.88671875" style="9" bestFit="1" customWidth="1"/>
    <col min="18" max="18" width="6.88671875" style="9" customWidth="1"/>
    <col min="19" max="19" width="10.88671875" style="9" customWidth="1"/>
    <col min="20" max="20" width="24.5546875" style="119" bestFit="1" customWidth="1"/>
    <col min="21" max="21" width="17.5546875" style="119" bestFit="1" customWidth="1"/>
    <col min="22" max="22" width="6.88671875" style="119" customWidth="1"/>
    <col min="23" max="23" width="10.88671875" style="9" customWidth="1"/>
    <col min="24" max="24" width="21" style="9" customWidth="1"/>
    <col min="25" max="25" width="15.44140625" style="115" customWidth="1"/>
    <col min="26" max="26" width="14.88671875" style="115" customWidth="1"/>
    <col min="27" max="28" width="28.33203125" style="116" customWidth="1"/>
    <col min="29" max="29" width="27.6640625" style="117" customWidth="1"/>
    <col min="30" max="30" width="9.33203125" style="117" customWidth="1"/>
    <col min="31" max="31" width="21" style="117" customWidth="1"/>
    <col min="32" max="32" width="22.109375" style="118" customWidth="1"/>
    <col min="33" max="33" width="22.77734375" style="118" customWidth="1"/>
    <col min="34" max="34" width="8.44140625" style="117" customWidth="1"/>
    <col min="35" max="38" width="20.109375" style="9" customWidth="1"/>
    <col min="39" max="39" width="8.6640625" style="9"/>
    <col min="40" max="40" width="27.6640625" style="9" bestFit="1" customWidth="1"/>
    <col min="41" max="42" width="10.88671875" style="1" customWidth="1"/>
    <col min="43" max="43" width="8.6640625" style="9"/>
    <col min="44" max="47" width="21" style="9" customWidth="1"/>
    <col min="48" max="49" width="8.6640625" style="9"/>
    <col min="50" max="50" width="14.44140625" style="9" bestFit="1" customWidth="1"/>
    <col min="51" max="51" width="6.5546875" style="9" customWidth="1"/>
    <col min="52" max="52" width="16.44140625" style="9" bestFit="1" customWidth="1"/>
    <col min="53" max="53" width="14.44140625" style="9" bestFit="1" customWidth="1"/>
    <col min="54" max="55" width="8.6640625" style="9"/>
    <col min="56" max="56" width="19.5546875" style="9" customWidth="1"/>
    <col min="57" max="57" width="15.33203125" style="9" customWidth="1"/>
    <col min="58" max="16384" width="8.6640625" style="9"/>
  </cols>
  <sheetData>
    <row r="1" spans="1:57" s="87" customFormat="1" ht="20.100000000000001" customHeight="1" x14ac:dyDescent="0.3">
      <c r="A1" s="88" t="s">
        <v>18</v>
      </c>
      <c r="B1" s="86"/>
      <c r="C1" s="88" t="s">
        <v>41</v>
      </c>
      <c r="D1" s="86"/>
      <c r="E1" s="139" t="s">
        <v>40</v>
      </c>
      <c r="F1" s="139"/>
      <c r="G1" s="139"/>
      <c r="H1" s="139"/>
      <c r="J1" s="139" t="s">
        <v>42</v>
      </c>
      <c r="K1" s="139"/>
      <c r="L1" s="139"/>
      <c r="M1" s="139"/>
      <c r="O1" s="139" t="s">
        <v>101</v>
      </c>
      <c r="P1" s="139"/>
      <c r="Q1" s="139"/>
      <c r="R1" s="9"/>
      <c r="S1" s="9"/>
      <c r="T1" s="140" t="s">
        <v>102</v>
      </c>
      <c r="U1" s="140"/>
      <c r="V1" s="140"/>
      <c r="X1" s="139" t="s">
        <v>86</v>
      </c>
      <c r="Y1" s="139"/>
      <c r="Z1" s="139"/>
      <c r="AA1" s="139"/>
      <c r="AB1" s="139"/>
      <c r="AC1" s="139"/>
      <c r="AD1"/>
      <c r="AE1" s="139" t="s">
        <v>98</v>
      </c>
      <c r="AF1" s="139"/>
      <c r="AG1" s="139"/>
      <c r="AH1" s="117"/>
      <c r="AI1" s="139" t="s">
        <v>69</v>
      </c>
      <c r="AJ1" s="139"/>
      <c r="AK1" s="139"/>
      <c r="AL1" s="139"/>
      <c r="AN1" s="139" t="s">
        <v>83</v>
      </c>
      <c r="AO1" s="139"/>
      <c r="AP1" s="49"/>
      <c r="AR1" s="139" t="s">
        <v>97</v>
      </c>
      <c r="AS1" s="139"/>
      <c r="AT1" s="139"/>
      <c r="AU1" s="139"/>
      <c r="AW1" s="139" t="s">
        <v>111</v>
      </c>
      <c r="AX1" s="139"/>
      <c r="AY1" s="139"/>
      <c r="AZ1" s="139"/>
      <c r="BA1" s="139"/>
      <c r="BC1" s="139" t="s">
        <v>113</v>
      </c>
      <c r="BD1" s="139"/>
      <c r="BE1" s="139"/>
    </row>
    <row r="2" spans="1:57" ht="14.4" x14ac:dyDescent="0.3">
      <c r="A2" s="142" t="s">
        <v>57</v>
      </c>
      <c r="B2" s="65"/>
      <c r="C2" s="142" t="s">
        <v>76</v>
      </c>
      <c r="D2"/>
      <c r="E2" s="145" t="s">
        <v>21</v>
      </c>
      <c r="F2" s="153" t="s">
        <v>61</v>
      </c>
      <c r="G2" s="153" t="s">
        <v>62</v>
      </c>
      <c r="H2" s="153" t="s">
        <v>63</v>
      </c>
      <c r="J2" s="142" t="s">
        <v>21</v>
      </c>
      <c r="K2" s="145" t="s">
        <v>64</v>
      </c>
      <c r="L2" s="145" t="s">
        <v>65</v>
      </c>
      <c r="M2" s="145" t="s">
        <v>66</v>
      </c>
      <c r="O2" s="142" t="s">
        <v>67</v>
      </c>
      <c r="P2" s="142" t="s">
        <v>68</v>
      </c>
      <c r="Q2" s="97" t="s">
        <v>106</v>
      </c>
      <c r="T2" s="157" t="s">
        <v>99</v>
      </c>
      <c r="U2" s="157" t="s">
        <v>100</v>
      </c>
      <c r="V2" s="122" t="s">
        <v>107</v>
      </c>
      <c r="W2"/>
      <c r="X2" s="145" t="s">
        <v>21</v>
      </c>
      <c r="Y2" s="145" t="s">
        <v>88</v>
      </c>
      <c r="Z2" s="145" t="s">
        <v>89</v>
      </c>
      <c r="AA2" s="145" t="s">
        <v>87</v>
      </c>
      <c r="AB2" s="156" t="s">
        <v>85</v>
      </c>
      <c r="AC2" s="156" t="s">
        <v>84</v>
      </c>
      <c r="AD2"/>
      <c r="AE2" s="145" t="s">
        <v>21</v>
      </c>
      <c r="AF2" s="152" t="s">
        <v>90</v>
      </c>
      <c r="AG2" s="152" t="s">
        <v>91</v>
      </c>
      <c r="AI2" s="145" t="s">
        <v>21</v>
      </c>
      <c r="AJ2" s="145" t="s">
        <v>71</v>
      </c>
      <c r="AK2" s="145" t="s">
        <v>73</v>
      </c>
      <c r="AL2" s="145" t="s">
        <v>70</v>
      </c>
      <c r="AM2"/>
      <c r="AN2" s="96" t="s">
        <v>79</v>
      </c>
      <c r="AO2" s="46">
        <f>C11/C3</f>
        <v>0.373510442226064</v>
      </c>
      <c r="AP2" s="46"/>
      <c r="AR2" s="142" t="s">
        <v>21</v>
      </c>
      <c r="AS2" s="142" t="s">
        <v>21</v>
      </c>
      <c r="AT2" s="142" t="s">
        <v>21</v>
      </c>
      <c r="AU2" s="142" t="s">
        <v>21</v>
      </c>
      <c r="AV2"/>
      <c r="AW2" s="145" t="s">
        <v>21</v>
      </c>
      <c r="AX2" s="145" t="s">
        <v>112</v>
      </c>
      <c r="AY2"/>
      <c r="AZ2" s="145" t="s">
        <v>21</v>
      </c>
      <c r="BA2" s="145" t="s">
        <v>110</v>
      </c>
      <c r="BC2" s="145" t="s">
        <v>21</v>
      </c>
      <c r="BD2" s="145" t="s">
        <v>104</v>
      </c>
      <c r="BE2" s="145" t="s">
        <v>103</v>
      </c>
    </row>
    <row r="3" spans="1:57" ht="14.4" x14ac:dyDescent="0.3">
      <c r="A3" s="146">
        <v>3008532.1054400001</v>
      </c>
      <c r="B3" s="65"/>
      <c r="C3" s="146">
        <v>2305793.31</v>
      </c>
      <c r="D3"/>
      <c r="E3" s="143">
        <v>43040</v>
      </c>
      <c r="F3" s="144">
        <v>188316.17</v>
      </c>
      <c r="G3" s="144">
        <v>73798.8</v>
      </c>
      <c r="H3" s="144">
        <v>114517.37000000001</v>
      </c>
      <c r="J3" s="148">
        <v>43040</v>
      </c>
      <c r="K3" s="150">
        <v>0.4399678111411876</v>
      </c>
      <c r="L3" s="150">
        <v>0.23772151748838138</v>
      </c>
      <c r="M3" s="150" t="e">
        <v>#N/A</v>
      </c>
      <c r="O3" s="149">
        <v>76855.541400000002</v>
      </c>
      <c r="P3" s="149">
        <v>92484.848000000013</v>
      </c>
      <c r="Q3" s="121">
        <f>P3/O3-1</f>
        <v>0.20335952769698418</v>
      </c>
      <c r="T3" s="158">
        <v>0.40589999999999998</v>
      </c>
      <c r="U3" s="158">
        <v>0.48844363229220578</v>
      </c>
      <c r="V3" s="125">
        <f>U3-T3</f>
        <v>8.2543632292205793E-2</v>
      </c>
      <c r="W3"/>
      <c r="X3" s="147">
        <v>43040</v>
      </c>
      <c r="Y3" s="154">
        <v>3326.1780666666668</v>
      </c>
      <c r="Z3" s="154">
        <v>5789</v>
      </c>
      <c r="AA3" s="154">
        <v>3326.1780666666668</v>
      </c>
      <c r="AB3" s="155" t="e">
        <v>#N/A</v>
      </c>
      <c r="AC3" s="155">
        <v>2462.8219333333332</v>
      </c>
      <c r="AD3"/>
      <c r="AE3" s="147">
        <v>43040</v>
      </c>
      <c r="AF3" s="151">
        <v>0.74043598507684627</v>
      </c>
      <c r="AG3" s="151" t="e">
        <v>#N/A</v>
      </c>
      <c r="AI3" s="143">
        <v>43040</v>
      </c>
      <c r="AJ3" s="144">
        <v>73798.8</v>
      </c>
      <c r="AK3" s="144">
        <v>7094.0387000000001</v>
      </c>
      <c r="AL3" s="144">
        <v>0</v>
      </c>
      <c r="AM3"/>
      <c r="AN3" s="96" t="s">
        <v>80</v>
      </c>
      <c r="AO3" s="49">
        <f>1-AO2</f>
        <v>0.626489557773936</v>
      </c>
      <c r="AP3" s="49"/>
      <c r="AR3" s="148">
        <v>43040</v>
      </c>
      <c r="AS3" s="148">
        <v>43252</v>
      </c>
      <c r="AT3" s="141" t="s">
        <v>92</v>
      </c>
      <c r="AU3" s="141" t="s">
        <v>93</v>
      </c>
      <c r="AV3"/>
      <c r="AW3" s="143">
        <v>43101</v>
      </c>
      <c r="AX3" s="144">
        <v>426360.95100000006</v>
      </c>
      <c r="AY3"/>
      <c r="AZ3" s="143">
        <v>43040</v>
      </c>
      <c r="BA3" s="144">
        <v>114517.37000000001</v>
      </c>
      <c r="BC3" s="143">
        <v>43040</v>
      </c>
      <c r="BD3" s="144">
        <v>188316.17</v>
      </c>
      <c r="BE3" s="144">
        <v>44766.805700000004</v>
      </c>
    </row>
    <row r="4" spans="1:57" ht="14.4" x14ac:dyDescent="0.3">
      <c r="A4" s="66"/>
      <c r="B4" s="65"/>
      <c r="C4" s="66"/>
      <c r="D4"/>
      <c r="E4" s="143">
        <v>43070</v>
      </c>
      <c r="F4" s="144">
        <v>396029.97900000005</v>
      </c>
      <c r="G4" s="144">
        <v>339104.24</v>
      </c>
      <c r="H4" s="144">
        <v>56925.73900000006</v>
      </c>
      <c r="J4" s="148">
        <v>43070</v>
      </c>
      <c r="K4" s="150">
        <v>0.4399678111411876</v>
      </c>
      <c r="L4" s="150">
        <v>0.56969555706985331</v>
      </c>
      <c r="M4" s="150">
        <v>0.56969555706985331</v>
      </c>
      <c r="T4" s="30"/>
      <c r="U4" s="30"/>
      <c r="V4" s="30"/>
      <c r="W4"/>
      <c r="X4" s="147">
        <v>43070</v>
      </c>
      <c r="Y4" s="154">
        <v>13109.054733333334</v>
      </c>
      <c r="Z4" s="154">
        <v>17963.300000000003</v>
      </c>
      <c r="AA4" s="154">
        <v>13109.054733333334</v>
      </c>
      <c r="AB4" s="155" t="e">
        <v>#N/A</v>
      </c>
      <c r="AC4" s="155">
        <v>4854.2452666666686</v>
      </c>
      <c r="AD4"/>
      <c r="AE4" s="147">
        <v>43070</v>
      </c>
      <c r="AF4" s="151">
        <v>0.37029712404231785</v>
      </c>
      <c r="AG4" s="151" t="e">
        <v>#N/A</v>
      </c>
      <c r="AI4" s="143">
        <v>43070</v>
      </c>
      <c r="AJ4" s="144">
        <v>339104.24</v>
      </c>
      <c r="AK4" s="144">
        <v>142756.43609999999</v>
      </c>
      <c r="AL4" s="144">
        <v>94974.421440000006</v>
      </c>
      <c r="AM4"/>
      <c r="AO4" s="49"/>
      <c r="AP4" s="49"/>
      <c r="AR4" s="148">
        <v>43070</v>
      </c>
      <c r="AS4" s="148">
        <v>43221</v>
      </c>
      <c r="AT4" s="141" t="s">
        <v>93</v>
      </c>
      <c r="AU4" s="141" t="s">
        <v>92</v>
      </c>
      <c r="AV4"/>
      <c r="AW4"/>
      <c r="AX4"/>
      <c r="AY4"/>
      <c r="AZ4"/>
      <c r="BA4"/>
      <c r="BC4" s="143">
        <v>43070</v>
      </c>
      <c r="BD4" s="144">
        <v>399940.40900000004</v>
      </c>
      <c r="BE4" s="144">
        <v>227844.27409999998</v>
      </c>
    </row>
    <row r="5" spans="1:57" ht="14.4" x14ac:dyDescent="0.3">
      <c r="A5" s="66"/>
      <c r="B5" s="65"/>
      <c r="C5" s="66"/>
      <c r="D5"/>
      <c r="E5" s="143">
        <v>43101</v>
      </c>
      <c r="F5" s="144">
        <v>426360.95100000006</v>
      </c>
      <c r="G5" s="144">
        <v>323215.96000000002</v>
      </c>
      <c r="H5" s="144">
        <v>103144.99100000004</v>
      </c>
      <c r="J5" s="148">
        <v>43101</v>
      </c>
      <c r="K5" s="150">
        <v>0.4399678111411876</v>
      </c>
      <c r="L5" s="150">
        <v>0.49038946791353782</v>
      </c>
      <c r="M5" s="150">
        <v>0.49038946791353782</v>
      </c>
      <c r="O5" s="120"/>
      <c r="T5" s="30"/>
      <c r="U5" s="30"/>
      <c r="V5" s="30"/>
      <c r="W5"/>
      <c r="X5" s="147">
        <v>43101</v>
      </c>
      <c r="Y5" s="154">
        <v>22891.931400000001</v>
      </c>
      <c r="Z5" s="154">
        <v>31070.000000000004</v>
      </c>
      <c r="AA5" s="154">
        <v>22891.931400000001</v>
      </c>
      <c r="AB5" s="155" t="e">
        <v>#N/A</v>
      </c>
      <c r="AC5" s="155">
        <v>8178.0686000000023</v>
      </c>
      <c r="AD5"/>
      <c r="AE5" s="147">
        <v>43101</v>
      </c>
      <c r="AF5" s="151">
        <v>0.35724677210940792</v>
      </c>
      <c r="AG5" s="151" t="e">
        <v>#N/A</v>
      </c>
      <c r="AI5" s="143">
        <v>43101</v>
      </c>
      <c r="AJ5" s="144">
        <v>323215.96000000002</v>
      </c>
      <c r="AK5" s="144">
        <v>117478.4069</v>
      </c>
      <c r="AL5" s="144">
        <v>75551.530079999997</v>
      </c>
      <c r="AM5"/>
      <c r="AN5" s="96" t="s">
        <v>82</v>
      </c>
      <c r="AO5" s="46">
        <f>C15/C3</f>
        <v>0.37544820303082593</v>
      </c>
      <c r="AP5" s="46"/>
      <c r="AR5" s="148">
        <v>43101</v>
      </c>
      <c r="AS5" s="148">
        <v>43191</v>
      </c>
      <c r="AT5"/>
      <c r="AU5"/>
      <c r="AV5"/>
      <c r="AW5"/>
      <c r="AX5"/>
      <c r="AY5"/>
      <c r="AZ5"/>
      <c r="BA5"/>
      <c r="BC5" s="143">
        <v>43101</v>
      </c>
      <c r="BD5" s="144">
        <v>426360.95100000006</v>
      </c>
      <c r="BE5" s="144">
        <v>209082.91990000001</v>
      </c>
    </row>
    <row r="6" spans="1:57" ht="14.4" x14ac:dyDescent="0.3">
      <c r="A6" s="142" t="s">
        <v>58</v>
      </c>
      <c r="B6" s="65"/>
      <c r="C6" s="142" t="s">
        <v>56</v>
      </c>
      <c r="D6"/>
      <c r="E6" s="143">
        <v>43132</v>
      </c>
      <c r="F6" s="144">
        <v>368758.45350000006</v>
      </c>
      <c r="G6" s="144">
        <v>285826.17</v>
      </c>
      <c r="H6" s="144">
        <v>82932.283500000078</v>
      </c>
      <c r="J6" s="148">
        <v>43132</v>
      </c>
      <c r="K6" s="150">
        <v>0.4399678111411876</v>
      </c>
      <c r="L6" s="150">
        <v>0.50810410506290937</v>
      </c>
      <c r="M6" s="150">
        <v>0.50810410506290937</v>
      </c>
      <c r="O6" s="119"/>
      <c r="T6" s="30"/>
      <c r="U6" s="30"/>
      <c r="V6" s="30"/>
      <c r="W6"/>
      <c r="X6" s="147">
        <v>43132</v>
      </c>
      <c r="Y6" s="154">
        <v>32674.808066666668</v>
      </c>
      <c r="Z6" s="154">
        <v>42405.950000000004</v>
      </c>
      <c r="AA6" s="154">
        <v>32674.808066666668</v>
      </c>
      <c r="AB6" s="155" t="e">
        <v>#N/A</v>
      </c>
      <c r="AC6" s="155">
        <v>9731.1419333333361</v>
      </c>
      <c r="AD6"/>
      <c r="AE6" s="147">
        <v>43132</v>
      </c>
      <c r="AF6" s="151">
        <v>0.29781787588403907</v>
      </c>
      <c r="AG6" s="151" t="e">
        <v>#N/A</v>
      </c>
      <c r="AI6" s="143">
        <v>43132</v>
      </c>
      <c r="AJ6" s="144">
        <v>285826.17</v>
      </c>
      <c r="AK6" s="144">
        <v>108139.183</v>
      </c>
      <c r="AL6" s="144">
        <v>69131.606400000004</v>
      </c>
      <c r="AM6"/>
      <c r="AN6" s="96" t="s">
        <v>80</v>
      </c>
      <c r="AO6" s="46">
        <f>1-AO5</f>
        <v>0.62455179696917407</v>
      </c>
      <c r="AP6" s="46"/>
      <c r="AR6" s="148">
        <v>43132</v>
      </c>
      <c r="AS6" s="148">
        <v>43160</v>
      </c>
      <c r="AT6"/>
      <c r="AU6"/>
      <c r="AV6"/>
      <c r="AW6"/>
      <c r="AX6"/>
      <c r="AY6"/>
      <c r="AZ6"/>
      <c r="BA6"/>
      <c r="BC6" s="143">
        <v>43132</v>
      </c>
      <c r="BD6" s="144">
        <v>368758.45350000006</v>
      </c>
      <c r="BE6" s="144">
        <v>187367.68400000001</v>
      </c>
    </row>
    <row r="7" spans="1:57" ht="14.4" x14ac:dyDescent="0.3">
      <c r="A7" s="146">
        <v>702738.79544000037</v>
      </c>
      <c r="B7" s="65"/>
      <c r="C7" s="146">
        <v>4468.0758999999998</v>
      </c>
      <c r="D7"/>
      <c r="E7" s="143">
        <v>43160</v>
      </c>
      <c r="F7" s="144">
        <v>404403.20100000006</v>
      </c>
      <c r="G7" s="144">
        <v>318686.75</v>
      </c>
      <c r="H7" s="144">
        <v>85716.451000000059</v>
      </c>
      <c r="J7" s="148">
        <v>43160</v>
      </c>
      <c r="K7" s="150">
        <v>0.4399678111411876</v>
      </c>
      <c r="L7" s="150">
        <v>0.51157584581037974</v>
      </c>
      <c r="M7" s="150">
        <v>0.51157584581037974</v>
      </c>
      <c r="O7" s="139" t="s">
        <v>105</v>
      </c>
      <c r="P7" s="139"/>
      <c r="Q7" s="139"/>
      <c r="R7" s="88"/>
      <c r="T7" s="30"/>
      <c r="U7" s="30"/>
      <c r="V7" s="123"/>
      <c r="W7"/>
      <c r="X7" s="147">
        <v>43160</v>
      </c>
      <c r="Y7" s="154">
        <v>42457.684733333335</v>
      </c>
      <c r="Z7" s="154">
        <v>54837.650000000009</v>
      </c>
      <c r="AA7" s="154">
        <v>42457.684733333335</v>
      </c>
      <c r="AB7" s="155" t="e">
        <v>#N/A</v>
      </c>
      <c r="AC7" s="155">
        <v>12379.965266666673</v>
      </c>
      <c r="AD7"/>
      <c r="AE7" s="147">
        <v>43160</v>
      </c>
      <c r="AF7" s="151">
        <v>0.29158361659196208</v>
      </c>
      <c r="AG7" s="151" t="e">
        <v>#N/A</v>
      </c>
      <c r="AI7" s="143">
        <v>43160</v>
      </c>
      <c r="AJ7" s="144">
        <v>318686.75</v>
      </c>
      <c r="AK7" s="144">
        <v>119996.0656</v>
      </c>
      <c r="AL7" s="144">
        <v>77730.197759999995</v>
      </c>
      <c r="AM7"/>
      <c r="AR7" s="148">
        <v>43160</v>
      </c>
      <c r="AS7" s="148">
        <v>43132</v>
      </c>
      <c r="AT7"/>
      <c r="AU7"/>
      <c r="AV7"/>
      <c r="AW7"/>
      <c r="AX7"/>
      <c r="AY7"/>
      <c r="AZ7"/>
      <c r="BA7"/>
      <c r="BC7" s="143">
        <v>43160</v>
      </c>
      <c r="BD7" s="144">
        <v>404403.20100000006</v>
      </c>
      <c r="BE7" s="144">
        <v>206882.90960000001</v>
      </c>
    </row>
    <row r="8" spans="1:57" ht="14.4" x14ac:dyDescent="0.3">
      <c r="A8" s="66"/>
      <c r="B8" s="65"/>
      <c r="C8" s="66"/>
      <c r="D8"/>
      <c r="E8" s="143">
        <v>43191</v>
      </c>
      <c r="F8" s="144">
        <v>409702.33800000005</v>
      </c>
      <c r="G8" s="144">
        <v>325788.95</v>
      </c>
      <c r="H8" s="144">
        <v>83913.388000000035</v>
      </c>
      <c r="J8" s="148">
        <v>43191</v>
      </c>
      <c r="K8" s="150">
        <v>0.4399678111411876</v>
      </c>
      <c r="L8" s="150">
        <v>0.52004390465548178</v>
      </c>
      <c r="M8" s="150">
        <v>0.52004390465548178</v>
      </c>
      <c r="O8" s="142" t="s">
        <v>103</v>
      </c>
      <c r="P8" s="142" t="s">
        <v>104</v>
      </c>
      <c r="Q8" s="126" t="s">
        <v>106</v>
      </c>
      <c r="R8" s="126" t="s">
        <v>107</v>
      </c>
      <c r="T8" s="30"/>
      <c r="U8" s="30"/>
      <c r="V8" s="124"/>
      <c r="W8"/>
      <c r="X8" s="147">
        <v>43191</v>
      </c>
      <c r="Y8" s="154">
        <v>52240.561400000006</v>
      </c>
      <c r="Z8" s="154">
        <v>67432.250000000015</v>
      </c>
      <c r="AA8" s="154">
        <v>52240.561400000006</v>
      </c>
      <c r="AB8" s="155" t="e">
        <v>#N/A</v>
      </c>
      <c r="AC8" s="155">
        <v>15191.688600000009</v>
      </c>
      <c r="AD8"/>
      <c r="AE8" s="147">
        <v>43191</v>
      </c>
      <c r="AF8" s="151">
        <v>0.29080255251621412</v>
      </c>
      <c r="AG8" s="151" t="e">
        <v>#N/A</v>
      </c>
      <c r="AI8" s="143">
        <v>43191</v>
      </c>
      <c r="AJ8" s="144">
        <v>325788.95</v>
      </c>
      <c r="AK8" s="144">
        <v>125037.82660000001</v>
      </c>
      <c r="AL8" s="144">
        <v>84196.852320000005</v>
      </c>
      <c r="AM8"/>
      <c r="AN8" s="96" t="s">
        <v>81</v>
      </c>
      <c r="AO8" s="46">
        <f>C19/C3</f>
        <v>0.24245881847926776</v>
      </c>
      <c r="AP8" s="46"/>
      <c r="AR8" s="148">
        <v>43191</v>
      </c>
      <c r="AS8" s="148">
        <v>43101</v>
      </c>
      <c r="AT8"/>
      <c r="AU8"/>
      <c r="AV8"/>
      <c r="AW8"/>
      <c r="AX8"/>
      <c r="AY8"/>
      <c r="AZ8"/>
      <c r="BA8"/>
      <c r="BC8" s="143">
        <v>43191</v>
      </c>
      <c r="BD8" s="144">
        <v>409702.33800000005</v>
      </c>
      <c r="BE8" s="144">
        <v>213063.20360000001</v>
      </c>
    </row>
    <row r="9" spans="1:57" ht="14.4" x14ac:dyDescent="0.3">
      <c r="A9" s="66"/>
      <c r="B9" s="65"/>
      <c r="C9" s="66"/>
      <c r="D9"/>
      <c r="E9" s="143">
        <v>43221</v>
      </c>
      <c r="F9" s="144">
        <v>411195.46500000003</v>
      </c>
      <c r="G9" s="144">
        <v>309929.15000000002</v>
      </c>
      <c r="H9" s="144">
        <v>101266.315</v>
      </c>
      <c r="J9" s="148">
        <v>43221</v>
      </c>
      <c r="K9" s="150">
        <v>0.4399678111411876</v>
      </c>
      <c r="L9" s="150">
        <v>0.4898624621261326</v>
      </c>
      <c r="M9" s="150">
        <v>0.4898624621261326</v>
      </c>
      <c r="O9" s="149">
        <v>1509075.3188</v>
      </c>
      <c r="P9" s="149">
        <v>3012442.5354400002</v>
      </c>
      <c r="Q9" s="127">
        <f>O9/P9</f>
        <v>0.50094742092053979</v>
      </c>
      <c r="R9" s="125">
        <f>apoio!I7-Q9</f>
        <v>-6.0979609779352184E-2</v>
      </c>
      <c r="T9" s="30"/>
      <c r="U9" s="30"/>
      <c r="V9" s="30"/>
      <c r="W9"/>
      <c r="X9" s="147">
        <v>43221</v>
      </c>
      <c r="Y9" s="154">
        <v>62023.438066666669</v>
      </c>
      <c r="Z9" s="154">
        <v>80072.750000000015</v>
      </c>
      <c r="AA9" s="154">
        <v>62023.438066666669</v>
      </c>
      <c r="AB9" s="155" t="e">
        <v>#N/A</v>
      </c>
      <c r="AC9" s="155">
        <v>18049.311933333345</v>
      </c>
      <c r="AD9"/>
      <c r="AE9" s="147">
        <v>43221</v>
      </c>
      <c r="AF9" s="151">
        <v>0.29100792371317463</v>
      </c>
      <c r="AG9" s="151" t="e">
        <v>#N/A</v>
      </c>
      <c r="AH9"/>
      <c r="AI9" s="143">
        <v>43221</v>
      </c>
      <c r="AJ9" s="144">
        <v>309929.15000000002</v>
      </c>
      <c r="AK9" s="144">
        <v>113083.0529</v>
      </c>
      <c r="AL9" s="144">
        <v>76190.741760000004</v>
      </c>
      <c r="AM9"/>
      <c r="AN9" s="96" t="s">
        <v>80</v>
      </c>
      <c r="AO9" s="46">
        <f>1-AO8</f>
        <v>0.75754118152073224</v>
      </c>
      <c r="AP9" s="46"/>
      <c r="AR9" s="148">
        <v>43221</v>
      </c>
      <c r="AS9" s="148">
        <v>43070</v>
      </c>
      <c r="AT9"/>
      <c r="AU9"/>
      <c r="AV9"/>
      <c r="AW9"/>
      <c r="AX9"/>
      <c r="AY9"/>
      <c r="AZ9"/>
      <c r="BA9"/>
      <c r="BC9" s="143">
        <v>43221</v>
      </c>
      <c r="BD9" s="144">
        <v>411195.46500000003</v>
      </c>
      <c r="BE9" s="144">
        <v>201429.22289999999</v>
      </c>
    </row>
    <row r="10" spans="1:57" ht="14.4" x14ac:dyDescent="0.3">
      <c r="A10" s="142" t="s">
        <v>74</v>
      </c>
      <c r="B10" s="65"/>
      <c r="C10" s="142" t="s">
        <v>78</v>
      </c>
      <c r="D10"/>
      <c r="E10" s="143">
        <v>43252</v>
      </c>
      <c r="F10" s="144">
        <v>403765.54794000002</v>
      </c>
      <c r="G10" s="144">
        <v>329443.28999999998</v>
      </c>
      <c r="H10" s="144">
        <v>74322.25794000004</v>
      </c>
      <c r="J10" s="148">
        <v>43252</v>
      </c>
      <c r="K10" s="150">
        <v>0.4399678111411876</v>
      </c>
      <c r="L10" s="150">
        <v>0.54149815435092519</v>
      </c>
      <c r="M10" s="150">
        <v>0.54149815435092519</v>
      </c>
      <c r="T10" s="30"/>
      <c r="U10" s="30"/>
      <c r="V10" s="30"/>
      <c r="W10"/>
      <c r="X10" s="147">
        <v>43252</v>
      </c>
      <c r="Y10" s="154">
        <v>76855.541400000002</v>
      </c>
      <c r="Z10" s="154">
        <v>92484.848000000013</v>
      </c>
      <c r="AA10" s="154">
        <v>76855.541400000002</v>
      </c>
      <c r="AB10" s="155" t="e">
        <v>#N/A</v>
      </c>
      <c r="AC10" s="155">
        <v>15629.306600000011</v>
      </c>
      <c r="AD10"/>
      <c r="AE10" s="147">
        <v>43252</v>
      </c>
      <c r="AF10" s="151">
        <v>0.20335952769698418</v>
      </c>
      <c r="AG10" s="151" t="e">
        <v>#N/A</v>
      </c>
      <c r="AH10"/>
      <c r="AI10" s="143">
        <v>43252</v>
      </c>
      <c r="AJ10" s="144">
        <v>329443.28999999998</v>
      </c>
      <c r="AK10" s="144">
        <v>132120.94500000001</v>
      </c>
      <c r="AL10" s="144">
        <v>81284.571840000004</v>
      </c>
      <c r="AM10"/>
      <c r="AR10" s="148">
        <v>43252</v>
      </c>
      <c r="AS10" s="148">
        <v>43040</v>
      </c>
      <c r="AT10"/>
      <c r="AU10"/>
      <c r="AV10"/>
      <c r="AW10"/>
      <c r="AX10"/>
      <c r="AY10"/>
      <c r="AZ10"/>
      <c r="BA10"/>
      <c r="BC10" s="143">
        <v>43252</v>
      </c>
      <c r="BD10" s="144">
        <v>403765.54794000002</v>
      </c>
      <c r="BE10" s="144">
        <v>218638.299</v>
      </c>
    </row>
    <row r="11" spans="1:57" ht="14.4" x14ac:dyDescent="0.3">
      <c r="A11" s="159">
        <v>30.625</v>
      </c>
      <c r="B11" s="65"/>
      <c r="C11" s="146">
        <v>861237.87889999989</v>
      </c>
      <c r="D11"/>
      <c r="E11"/>
      <c r="F11"/>
      <c r="G11"/>
      <c r="H11"/>
      <c r="J11"/>
      <c r="K11"/>
      <c r="L11"/>
      <c r="M11"/>
      <c r="T11" s="30"/>
      <c r="U11" s="30"/>
      <c r="V11" s="30"/>
      <c r="W11"/>
      <c r="X11"/>
      <c r="Y11"/>
      <c r="Z11"/>
      <c r="AA11"/>
      <c r="AB11"/>
      <c r="AC11"/>
      <c r="AD11"/>
      <c r="AE11"/>
      <c r="AF11" s="113"/>
      <c r="AG11" s="113"/>
      <c r="AI11"/>
      <c r="AJ11"/>
      <c r="AK11"/>
      <c r="AL11"/>
      <c r="AO11" s="9"/>
      <c r="AP11" s="9"/>
      <c r="AR11"/>
      <c r="AT11"/>
      <c r="AU11"/>
      <c r="AV11"/>
    </row>
    <row r="12" spans="1:57" ht="14.4" x14ac:dyDescent="0.3">
      <c r="A12" s="66"/>
      <c r="B12" s="65"/>
      <c r="D12"/>
      <c r="E12"/>
      <c r="F12"/>
      <c r="G12"/>
      <c r="H12"/>
      <c r="J12"/>
      <c r="K12"/>
      <c r="L12"/>
      <c r="M12"/>
      <c r="T12" s="30"/>
      <c r="U12" s="30"/>
      <c r="V12" s="30"/>
      <c r="W12"/>
      <c r="X12"/>
      <c r="Y12"/>
      <c r="Z12"/>
      <c r="AA12"/>
      <c r="AB12"/>
      <c r="AC12"/>
      <c r="AD12"/>
      <c r="AE12"/>
      <c r="AF12" s="113"/>
      <c r="AG12" s="113"/>
      <c r="AI12"/>
      <c r="AJ12"/>
      <c r="AK12"/>
      <c r="AL12"/>
      <c r="AN12" s="139" t="s">
        <v>109</v>
      </c>
      <c r="AO12" s="139"/>
      <c r="AP12" s="139"/>
      <c r="AR12"/>
      <c r="AT12"/>
      <c r="AU12"/>
      <c r="AV12"/>
    </row>
    <row r="13" spans="1:57" ht="14.4" x14ac:dyDescent="0.3">
      <c r="A13" s="66"/>
      <c r="B13" s="65"/>
      <c r="D13"/>
      <c r="E13"/>
      <c r="F13"/>
      <c r="G13"/>
      <c r="H13"/>
      <c r="J13"/>
      <c r="K13"/>
      <c r="L13"/>
      <c r="M13"/>
      <c r="T13" s="30"/>
      <c r="U13" s="30"/>
      <c r="V13" s="30"/>
      <c r="W13"/>
      <c r="X13"/>
      <c r="Y13"/>
      <c r="Z13"/>
      <c r="AA13"/>
      <c r="AB13"/>
      <c r="AC13"/>
      <c r="AD13"/>
      <c r="AE13"/>
      <c r="AF13" s="113"/>
      <c r="AG13" s="113"/>
      <c r="AI13"/>
      <c r="AJ13"/>
      <c r="AK13"/>
      <c r="AL13"/>
      <c r="AN13" s="96" t="s">
        <v>108</v>
      </c>
      <c r="AO13" s="11">
        <f>$P$3</f>
        <v>92484.848000000013</v>
      </c>
      <c r="AP13" s="46">
        <f>AO13/AO14</f>
        <v>0.48844363229220589</v>
      </c>
      <c r="AT13"/>
      <c r="AU13"/>
      <c r="AV13"/>
    </row>
    <row r="14" spans="1:57" ht="14.4" x14ac:dyDescent="0.3">
      <c r="B14"/>
      <c r="C14" s="142" t="s">
        <v>75</v>
      </c>
      <c r="D14"/>
      <c r="E14"/>
      <c r="F14"/>
      <c r="G14"/>
      <c r="H14"/>
      <c r="J14"/>
      <c r="K14"/>
      <c r="L14"/>
      <c r="M14"/>
      <c r="T14" s="30"/>
      <c r="U14" s="30"/>
      <c r="V14" s="30"/>
      <c r="W14"/>
      <c r="X14"/>
      <c r="Y14"/>
      <c r="Z14"/>
      <c r="AA14"/>
      <c r="AB14"/>
      <c r="AC14"/>
      <c r="AD14"/>
      <c r="AE14"/>
      <c r="AF14" s="113"/>
      <c r="AG14" s="113"/>
      <c r="AI14"/>
      <c r="AJ14"/>
      <c r="AK14"/>
      <c r="AL14"/>
      <c r="AN14" s="96" t="s">
        <v>10</v>
      </c>
      <c r="AO14" s="11">
        <f>apoio!$C$3</f>
        <v>189346</v>
      </c>
      <c r="AP14" s="46">
        <f>1-AP13</f>
        <v>0.51155636770779411</v>
      </c>
      <c r="AT14"/>
      <c r="AU14"/>
      <c r="AV14"/>
    </row>
    <row r="15" spans="1:57" ht="14.4" x14ac:dyDescent="0.3">
      <c r="B15"/>
      <c r="C15" s="146">
        <v>865705.95480000018</v>
      </c>
      <c r="D15"/>
      <c r="E15"/>
      <c r="F15"/>
      <c r="G15"/>
      <c r="H15"/>
      <c r="J15"/>
      <c r="K15"/>
      <c r="L15"/>
      <c r="M15"/>
      <c r="T15" s="30"/>
      <c r="U15" s="30"/>
      <c r="V15" s="30"/>
      <c r="W15"/>
      <c r="X15"/>
      <c r="Y15"/>
      <c r="Z15"/>
      <c r="AA15"/>
      <c r="AB15"/>
      <c r="AC15"/>
      <c r="AD15"/>
      <c r="AE15"/>
      <c r="AF15" s="113"/>
      <c r="AG15" s="113"/>
      <c r="AI15"/>
      <c r="AJ15"/>
      <c r="AK15"/>
      <c r="AL15"/>
      <c r="AO15" s="11"/>
      <c r="AP15" s="11"/>
      <c r="AT15"/>
      <c r="AU15"/>
      <c r="AV15"/>
    </row>
    <row r="16" spans="1:57" ht="14.4" x14ac:dyDescent="0.3">
      <c r="B16"/>
      <c r="D16"/>
      <c r="J16" s="66"/>
      <c r="T16" s="30"/>
      <c r="U16" s="30"/>
      <c r="V16" s="30"/>
      <c r="W16"/>
      <c r="AT16"/>
      <c r="AU16"/>
      <c r="AV16"/>
    </row>
    <row r="17" spans="2:48" ht="14.4" x14ac:dyDescent="0.3">
      <c r="B17"/>
      <c r="D17"/>
      <c r="J17" s="66"/>
      <c r="T17" s="30"/>
      <c r="U17" s="30"/>
      <c r="V17" s="30"/>
      <c r="W17"/>
      <c r="AT17"/>
      <c r="AU17"/>
      <c r="AV17"/>
    </row>
    <row r="18" spans="2:48" ht="14.4" x14ac:dyDescent="0.3">
      <c r="B18"/>
      <c r="C18" s="142" t="s">
        <v>59</v>
      </c>
      <c r="D18"/>
      <c r="J18" s="66"/>
      <c r="T18" s="30"/>
      <c r="U18" s="30"/>
      <c r="V18" s="30"/>
      <c r="W18"/>
      <c r="AT18"/>
      <c r="AU18"/>
      <c r="AV18"/>
    </row>
    <row r="19" spans="2:48" ht="14.4" x14ac:dyDescent="0.3">
      <c r="B19"/>
      <c r="C19" s="146">
        <v>559059.9216</v>
      </c>
      <c r="D19"/>
      <c r="J19" s="66"/>
      <c r="T19" s="30"/>
      <c r="U19" s="30"/>
      <c r="V19" s="30"/>
      <c r="W19"/>
      <c r="AT19"/>
      <c r="AU19"/>
      <c r="AV19"/>
    </row>
    <row r="20" spans="2:48" ht="14.4" x14ac:dyDescent="0.3">
      <c r="B20"/>
      <c r="C20" s="66"/>
    </row>
    <row r="21" spans="2:48" ht="14.4" x14ac:dyDescent="0.3">
      <c r="B21"/>
      <c r="C21" s="66"/>
    </row>
    <row r="22" spans="2:48" ht="14.4" x14ac:dyDescent="0.3">
      <c r="B22"/>
      <c r="C22" s="142" t="s">
        <v>60</v>
      </c>
    </row>
    <row r="23" spans="2:48" ht="14.4" x14ac:dyDescent="0.3">
      <c r="B23"/>
      <c r="C23" s="146">
        <v>2087.4499999999998</v>
      </c>
    </row>
    <row r="24" spans="2:48" ht="14.4" x14ac:dyDescent="0.3">
      <c r="B24"/>
    </row>
    <row r="25" spans="2:48" ht="14.4" x14ac:dyDescent="0.3">
      <c r="B25" s="98"/>
      <c r="C25" s="85"/>
      <c r="D25" s="85"/>
      <c r="E25" s="85"/>
      <c r="F25" s="99"/>
      <c r="G25" s="99"/>
      <c r="H25" s="99"/>
      <c r="I25" s="100"/>
      <c r="J25" s="85"/>
    </row>
    <row r="26" spans="2:48" ht="14.4" x14ac:dyDescent="0.3">
      <c r="B26"/>
      <c r="C26" s="142" t="s">
        <v>77</v>
      </c>
    </row>
    <row r="27" spans="2:48" ht="14.4" x14ac:dyDescent="0.3">
      <c r="B27"/>
      <c r="C27" s="146">
        <v>4675.8</v>
      </c>
    </row>
    <row r="28" spans="2:48" ht="14.4" x14ac:dyDescent="0.3">
      <c r="B28"/>
    </row>
  </sheetData>
  <mergeCells count="13">
    <mergeCell ref="AN12:AP12"/>
    <mergeCell ref="AW1:BA1"/>
    <mergeCell ref="AI1:AL1"/>
    <mergeCell ref="X1:AC1"/>
    <mergeCell ref="BC1:BE1"/>
    <mergeCell ref="AR1:AU1"/>
    <mergeCell ref="AE1:AG1"/>
    <mergeCell ref="AN1:AO1"/>
    <mergeCell ref="O7:Q7"/>
    <mergeCell ref="T1:V1"/>
    <mergeCell ref="E1:H1"/>
    <mergeCell ref="J1:M1"/>
    <mergeCell ref="O1:Q1"/>
  </mergeCells>
  <conditionalFormatting sqref="R9">
    <cfRule type="cellIs" dxfId="360" priority="2" operator="lessThan">
      <formula>0</formula>
    </cfRule>
    <cfRule type="cellIs" dxfId="359" priority="3" operator="greaterThanOrEqual">
      <formula>0</formula>
    </cfRule>
  </conditionalFormatting>
  <conditionalFormatting sqref="V3">
    <cfRule type="cellIs" dxfId="358" priority="13" operator="lessThan">
      <formula>0</formula>
    </cfRule>
    <cfRule type="cellIs" dxfId="357" priority="15" operator="greaterThanOrEqual">
      <formula>0</formula>
    </cfRule>
  </conditionalFormatting>
  <conditionalFormatting sqref="V7:V8">
    <cfRule type="cellIs" dxfId="356" priority="5" operator="lessThan">
      <formula>0</formula>
    </cfRule>
    <cfRule type="cellIs" dxfId="355" priority="6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2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FA8205C-00C4-4086-BF3D-187C32B7A9B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R9</xm:sqref>
        </x14:conditionalFormatting>
        <x14:conditionalFormatting xmlns:xm="http://schemas.microsoft.com/office/excel/2006/main">
          <x14:cfRule type="iconSet" priority="10" id="{6997CDF4-47E3-4E87-9444-2E983035FC3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V3</xm:sqref>
        </x14:conditionalFormatting>
        <x14:conditionalFormatting xmlns:xm="http://schemas.microsoft.com/office/excel/2006/main">
          <x14:cfRule type="iconSet" priority="4" id="{505271F0-F695-46C4-B6BC-B300035CCB0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V8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54"/>
  <sheetViews>
    <sheetView showGridLines="0" showRowColHeaders="0" tabSelected="1" zoomScale="99" zoomScaleNormal="99" workbookViewId="0">
      <selection activeCell="BC46" sqref="BC46"/>
    </sheetView>
  </sheetViews>
  <sheetFormatPr defaultColWidth="2.33203125" defaultRowHeight="11.4" customHeight="1" x14ac:dyDescent="0.3"/>
  <cols>
    <col min="1" max="16384" width="2.33203125" style="26"/>
  </cols>
  <sheetData>
    <row r="1" spans="1:78" ht="11.4" customHeight="1" x14ac:dyDescent="0.3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</row>
    <row r="2" spans="1:78" ht="11.4" customHeight="1" x14ac:dyDescent="0.3">
      <c r="A2" s="129"/>
      <c r="B2" s="130"/>
      <c r="C2" s="130"/>
      <c r="D2" s="130"/>
      <c r="E2" s="130"/>
      <c r="F2" s="130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</row>
    <row r="3" spans="1:78" ht="11.4" customHeight="1" x14ac:dyDescent="0.3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</row>
    <row r="4" spans="1:78" ht="11.4" customHeight="1" x14ac:dyDescent="0.3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</row>
    <row r="5" spans="1:78" ht="11.4" customHeight="1" x14ac:dyDescent="0.3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</row>
    <row r="6" spans="1:78" ht="11.4" customHeight="1" x14ac:dyDescent="0.3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</row>
    <row r="7" spans="1:78" ht="11.4" customHeight="1" x14ac:dyDescent="0.3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</row>
    <row r="8" spans="1:78" ht="11.4" customHeight="1" x14ac:dyDescent="0.3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</row>
    <row r="9" spans="1:78" ht="11.4" customHeight="1" x14ac:dyDescent="0.3">
      <c r="A9" s="129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</row>
    <row r="10" spans="1:78" ht="11.4" customHeight="1" x14ac:dyDescent="0.3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</row>
    <row r="11" spans="1:78" ht="11.4" customHeight="1" x14ac:dyDescent="0.3">
      <c r="A11" s="129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</row>
    <row r="12" spans="1:78" ht="11.4" customHeight="1" x14ac:dyDescent="0.3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</row>
    <row r="13" spans="1:78" ht="11.4" customHeight="1" x14ac:dyDescent="0.3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</row>
    <row r="14" spans="1:78" ht="11.4" customHeight="1" x14ac:dyDescent="0.3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</row>
    <row r="15" spans="1:78" ht="11.4" customHeight="1" x14ac:dyDescent="0.3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</row>
    <row r="16" spans="1:78" ht="11.4" customHeight="1" x14ac:dyDescent="0.3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</row>
    <row r="17" spans="1:78" ht="11.4" customHeight="1" x14ac:dyDescent="0.3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</row>
    <row r="18" spans="1:78" ht="11.4" customHeight="1" x14ac:dyDescent="0.3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</row>
    <row r="19" spans="1:78" ht="11.4" customHeight="1" x14ac:dyDescent="0.3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</row>
    <row r="20" spans="1:78" ht="11.4" customHeight="1" x14ac:dyDescent="0.3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</row>
    <row r="21" spans="1:78" ht="11.4" customHeight="1" x14ac:dyDescent="0.3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</row>
    <row r="22" spans="1:78" ht="11.4" customHeight="1" x14ac:dyDescent="0.3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</row>
    <row r="23" spans="1:78" ht="11.4" customHeight="1" x14ac:dyDescent="0.3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</row>
    <row r="24" spans="1:78" ht="11.4" customHeight="1" x14ac:dyDescent="0.3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</row>
    <row r="25" spans="1:78" ht="11.4" customHeight="1" x14ac:dyDescent="0.3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</row>
    <row r="26" spans="1:78" ht="11.4" customHeight="1" x14ac:dyDescent="0.3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</row>
    <row r="27" spans="1:78" ht="11.4" customHeight="1" x14ac:dyDescent="0.3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</row>
    <row r="28" spans="1:78" ht="11.4" customHeight="1" x14ac:dyDescent="0.3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</row>
    <row r="29" spans="1:78" ht="11.4" customHeight="1" x14ac:dyDescent="0.3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</row>
    <row r="30" spans="1:78" ht="11.4" customHeight="1" x14ac:dyDescent="0.3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</row>
    <row r="31" spans="1:78" ht="11.4" customHeight="1" x14ac:dyDescent="0.3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</row>
    <row r="32" spans="1:78" ht="11.4" customHeight="1" x14ac:dyDescent="0.3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</row>
    <row r="33" spans="1:78" ht="11.4" customHeight="1" x14ac:dyDescent="0.3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</row>
    <row r="34" spans="1:78" ht="11.4" customHeight="1" x14ac:dyDescent="0.3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</row>
    <row r="35" spans="1:78" ht="11.4" customHeight="1" x14ac:dyDescent="0.3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</row>
    <row r="36" spans="1:78" ht="11.4" customHeight="1" x14ac:dyDescent="0.3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</row>
    <row r="37" spans="1:78" ht="11.4" customHeight="1" x14ac:dyDescent="0.3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</row>
    <row r="38" spans="1:78" ht="11.4" customHeight="1" x14ac:dyDescent="0.3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  <c r="BF38" s="129"/>
      <c r="BG38" s="129"/>
      <c r="BH38" s="129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</row>
    <row r="39" spans="1:78" ht="11.4" customHeight="1" x14ac:dyDescent="0.3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29"/>
      <c r="BG39" s="129"/>
      <c r="BH39" s="129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</row>
    <row r="40" spans="1:78" ht="11.4" customHeight="1" x14ac:dyDescent="0.3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/>
      <c r="BE40" s="129"/>
      <c r="BF40" s="129"/>
      <c r="BG40" s="129"/>
      <c r="BH40" s="129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</row>
    <row r="41" spans="1:78" ht="11.4" customHeight="1" x14ac:dyDescent="0.3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  <c r="BD41" s="129"/>
      <c r="BE41" s="129"/>
      <c r="BF41" s="129"/>
      <c r="BG41" s="129"/>
      <c r="BH41" s="129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</row>
    <row r="42" spans="1:78" ht="11.4" customHeight="1" x14ac:dyDescent="0.3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  <c r="BA42" s="129"/>
      <c r="BB42" s="129"/>
      <c r="BC42" s="129"/>
      <c r="BD42" s="129"/>
      <c r="BE42" s="129"/>
      <c r="BF42" s="129"/>
      <c r="BG42" s="129"/>
      <c r="BH42" s="129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</row>
    <row r="43" spans="1:78" ht="11.4" customHeight="1" x14ac:dyDescent="0.3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29"/>
      <c r="BB43" s="129"/>
      <c r="BC43" s="129"/>
      <c r="BD43" s="129"/>
      <c r="BE43" s="129"/>
      <c r="BF43" s="129"/>
      <c r="BG43" s="129"/>
      <c r="BH43" s="129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</row>
    <row r="44" spans="1:78" ht="11.4" customHeight="1" x14ac:dyDescent="0.3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</row>
    <row r="45" spans="1:78" ht="11.4" customHeight="1" x14ac:dyDescent="0.3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29"/>
      <c r="BG45" s="129"/>
      <c r="BH45" s="129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</row>
    <row r="46" spans="1:78" ht="11.4" customHeight="1" x14ac:dyDescent="0.3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29"/>
      <c r="BG46" s="129"/>
      <c r="BH46" s="129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</row>
    <row r="47" spans="1:78" ht="11.4" customHeight="1" x14ac:dyDescent="0.3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</row>
    <row r="48" spans="1:78" ht="11.4" customHeight="1" x14ac:dyDescent="0.3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29"/>
      <c r="BE48" s="129"/>
      <c r="BF48" s="129"/>
      <c r="BG48" s="129"/>
      <c r="BH48" s="129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</row>
    <row r="49" spans="1:78" ht="11.4" customHeight="1" x14ac:dyDescent="0.3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129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</row>
    <row r="50" spans="1:78" ht="11.4" customHeight="1" x14ac:dyDescent="0.3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</row>
    <row r="51" spans="1:78" ht="11.4" customHeight="1" x14ac:dyDescent="0.3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</row>
    <row r="52" spans="1:78" ht="11.4" customHeight="1" x14ac:dyDescent="0.3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</row>
    <row r="53" spans="1:78" ht="11.4" customHeight="1" x14ac:dyDescent="0.3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</row>
    <row r="54" spans="1:78" ht="11.4" customHeight="1" x14ac:dyDescent="0.3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29"/>
      <c r="BB54" s="129"/>
      <c r="BC54" s="129"/>
      <c r="BD54" s="129"/>
      <c r="BE54" s="129"/>
      <c r="BF54" s="129"/>
      <c r="BG54" s="129"/>
      <c r="BH54" s="129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2"/>
  <sheetViews>
    <sheetView showGridLines="0" showRowColHeaders="0" zoomScale="90" zoomScaleNormal="90" workbookViewId="0">
      <selection activeCell="BV27" sqref="BV27"/>
    </sheetView>
  </sheetViews>
  <sheetFormatPr defaultColWidth="2.33203125" defaultRowHeight="11.4" customHeight="1" x14ac:dyDescent="0.3"/>
  <cols>
    <col min="1" max="16384" width="2.33203125" style="26"/>
  </cols>
  <sheetData>
    <row r="2" spans="2:6" ht="11.4" customHeight="1" x14ac:dyDescent="0.3">
      <c r="B2" s="25"/>
      <c r="C2" s="25"/>
      <c r="D2" s="25"/>
      <c r="E2" s="25"/>
      <c r="F2" s="25"/>
    </row>
  </sheetData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+ 4 s H T T B l A W K n A A A A + Q A A A B I A H A B D b 2 5 m a W c v U G F j a 2 F n Z S 5 4 b W w g o h g A K K A U A A A A A A A A A A A A A A A A A A A A A A A A A A A A h Y / R C o I w G I V f R X b v N p W k 5 H d C 3 S Z E Q X Q 7 5 t K R T n G z + W 5 d 9 E i 9 Q k J Z 3 X V 5 D t 8 H 5 z x u d 8 j G p v a u s j e q 1 S k K M E W e 1 K I t l C 5 T N N i z v 0 Q Z g x 0 X F 1 5 K b 4 K 1 S U a j U l R Z 2 y W E O O e w i 3 D b l y S k N C C n f H s Q l W y 4 r 7 S x X A u J P l b x 3 0 I M j q 8 x L M Q x x Y s g X u F o Q o D M P e R K f 5 l w m o w p k J 8 S N k N t h 1 6 y z v r r P Z A 5 A n n f Y E 9 Q S w M E F A A C A A g A + 4 s H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L B 0 0 W D 9 X o 2 A E A A G 4 F A A A T A B w A R m 9 y b X V s Y X M v U 2 V j d G l v b j E u b S C i G A A o o B Q A A A A A A A A A A A A A A A A A A A A A A A A A A A C N l E t q G 0 E Q h v c C 3 a E Y b 0 Z Y y A R C N s a L R C S Q T T Y R Z G G M q J k p x Y 3 7 I a q r g x y h w 4 T s f A 1 d L D 0 9 s q 1 H a x x t B u n / 6 q / n y F M t y l n 4 3 j 3 f X Q 8 H w 4 G / R 6 Y G B K t 5 g 4 3 z n 9 A T 3 I A m G Q 4 g f r 4 4 K + 0 P n 1 c 1 6 c k 0 M J O V H 4 4 f K u c e y t H 6 9 h s a u i k O 4 o u 7 z e 2 0 j b N y N + 5 s L o q Z W j r 4 q I U 4 Y k V 0 n G G l a T J j t H 7 h 2 E y d D s b O H p f k y 5 R 0 v F 4 X q p l H 5 2 I M X 6 1 8 e D 9 p 1 c 0 Y 1 o U n Q 1 6 Y L k q 9 G N W R Z h Q X M Y k A C K 0 k U c K q w w D t q f o L t W M I x j 8 r N p i K O G l m + + T n e 0 E N C k k 0 e x F P 3 D r 4 q E x a U R 0 k 9 g t l z D P K J G q J T g S s g w m 6 H U 4 e S 0 Z 9 W r + D U d 5 v / z q w i 2 x T T D V V 8 Y u V f N O N Q g + 1 Y 1 Z x y b C 8 g s O A o 8 Z b U Q l C u U D J t S 1 p 6 8 T b J 1 s r 3 H k 1 m C G Z f N B n O m / I x 2 t B E C e o T 4 u o g 5 e e s I y i z N L l Y z z q 7 R 9 W s X U C x w 3 Z 9 t Y z 3 E / t k v N R K Y b i M O I s A u P B i P d P b o f 0 b v E F O n d P h 0 D y + h 9 K m d w 4 j r E K 1 S q z 7 L 3 K 3 / A 5 5 5 A 2 B Z f w v N B L O L + J v S l G r j u k v g N K y X f 3 e N U m y B 0 Z / o 6 v x t n g p L 4 W n y C 0 j 5 v N a D h Q N v 8 H d / 0 P U E s B A i 0 A F A A C A A g A + 4 s H T T B l A W K n A A A A + Q A A A B I A A A A A A A A A A A A A A A A A A A A A A E N v b m Z p Z y 9 Q Y W N r Y W d l L n h t b F B L A Q I t A B Q A A g A I A P u L B 0 0 P y u m r p A A A A O k A A A A T A A A A A A A A A A A A A A A A A P M A A A B b Q 2 9 u d G V u d F 9 U e X B l c 1 0 u e G 1 s U E s B A i 0 A F A A C A A g A + 4 s H T R Y P 1 e j Y A Q A A b g U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4 A A A A A A A C I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l 9 k Y W R v c 0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g t M D g t M D d U M j A 6 M z E 6 M z Y u N T Y 1 N j Y 3 M V o i I C 8 + P E V u d H J 5 I F R 5 c G U 9 I k Z p b G x D b 2 x 1 b W 5 U e X B l c y I g V m F s d W U 9 I n N B d 1 l H Q l F j R 0 F 3 V U Z C U V V I Q n d N R k J R V U R C U V V G Q l F N R k J R V U Z C U U 1 G Q X d V R k J R V U E i I C 8 + P E V u d H J 5 I F R 5 c G U 9 I k Z p b G x D b 2 x 1 b W 5 O Y W 1 l c y I g V m F s d W U 9 I n N b J n F 1 b 3 Q 7 a W R f d G F i J n F 1 b 3 Q 7 L C Z x d W 9 0 O 3 N l b W V z d H J l X G 5 j b 2 5 0 c m F 0 b y Z x d W 9 0 O y w m c X V v d D t 0 c m l t Z X N 0 c m U g Y W 5 v J n F 1 b 3 Q 7 L C Z x d W 9 0 O 3 Z h b G 9 y I H V t c y Z x d W 9 0 O y w m c X V v d D t t w 6 p z X 2 F u b y Z x d W 9 0 O y w m c X V v d D t t w 6 p z J n F 1 b 3 Q 7 L C Z x d W 9 0 O 2 F u b y Z x d W 9 0 O y w m c X V v d D t l e G V j d X R h Z G 8 g K H V t c y k m c X V v d D s s J n F 1 b 3 Q 7 Z X h l Y y A o d W 1 z K S B h Y 3 V t d W x h Z G 8 m c X V v d D s s J n F 1 b 3 Q 7 Z X h l Y 3 V 0 Y W R v J n F 1 b 3 Q 7 L C Z x d W 9 0 O 2 V 4 Z W N 1 d G F k b y B h Y 3 V t d W x h Z G 8 m c X V v d D s s J n F 1 b 3 Q 7 Z W 1 p c 3 P D o 2 8 g b m Y m c X V v d D s s J n F 1 b 3 Q 7 c m V j Z W J p b W V u d G 8 m c X V v d D s s J n F 1 b 3 Q 7 Z G l h c y B j b 3 J y a W R v c y B w L y B y Z W N l Y m l t Z W 5 0 b y Z x d W 9 0 O y w m c X V v d D t y Z W N l a X R h I C h m Y X Q p J n F 1 b 3 Q 7 L C Z x d W 9 0 O 3 R y Y W 5 z Z m V y w 6 p u Y 2 l h I H J l Y 2 V i a W R h J n F 1 b 3 Q 7 L C Z x d W 9 0 O 3 J l c 3 V s d G F k b y Z x d W 9 0 O y w m c X V v d D t k Z X N w Z X N h I H R v d G F s J n F 1 b 3 Q 7 L C Z x d W 9 0 O 2 N 1 c 3 R v J n F 1 b 3 Q 7 L C Z x d W 9 0 O 2 R l c 3 B l c 2 E m c X V v d D s s J n F 1 b 3 Q 7 a W 1 w b 3 N 0 b y Z x d W 9 0 O y w m c X V v d D t z Y W z D o X J p b 3 M g Z S B v c m R l b m F k b 3 M m c X V v d D s s J n F 1 b 3 Q 7 Z 2 x v c 2 E m c X V v d D s s J n F 1 b 3 Q 7 b W V 0 Y S B m Y X R 1 c m F t Z W 5 0 b y Z x d W 9 0 O y w m c X V v d D t t Z X R h I G Z h d C B h Y 3 V t d W x h Z G 8 m c X V v d D s s J n F 1 b 3 Q 7 b W V 0 Y S B m Y X Q g K H V t c y k m c X V v d D s s J n F 1 b 3 Q 7 b W V 0 Y S B m Y X Q g K H V t c y k g Y W N 1 b S Z x d W 9 0 O y w m c X V v d D t t Z X R h I G Z h d C A o d W 1 z K S B h Y 2 l t Y S Z x d W 9 0 O y w m c X V v d D t t Z X R h I G Z h d C A o d W 1 z K S B h Y m F p e G 8 m c X V v d D s s J n F 1 b 3 Q 7 b W V 0 Y S B m Y X Q g Y W N p b W E m c X V v d D s s J n F 1 b 3 Q 7 b W V 0 Y S B m Y X Q g Y W J h a X h v J n F 1 b 3 Q 7 L C Z x d W 9 0 O 2 N 1 c 3 R v I C s g Z G V z c G V z Y S A r I G l t c G 9 z d G 8 m c X V v d D s s J n F 1 b 3 Q 7 Z m F 0 d X J h b W V u d G 8 g K y B 0 c m F u c 2 Y g c m V j Z W J p Z G E m c X V v d D s s J n F 1 b 3 Q 7 b W V 0 Y S B y Z W N l a X R h L 2 R l c 3 A m c X V v d D s s J n F 1 b 3 Q 7 c m F 6 w 6 N v J n F 1 b 3 Q 7 L C Z x d W 9 0 O 2 1 l d G E g c m F 6 w 6 N v I G F i Y W l 4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f Z G F k b 3 N C Y X N l L 1 R p c G 8 g Q W x 0 Z X J h Z G 8 u e 2 l k X 3 R h Y i w w f S Z x d W 9 0 O y w m c X V v d D t T Z W N 0 a W 9 u M S 9 0 Y W J f Z G F k b 3 N C Y X N l L 1 R p c G 8 g Q W x 0 Z X J h Z G 8 u e 3 N l b W V z d H J l X G 5 j b 2 5 0 c m F 0 b y w x f S Z x d W 9 0 O y w m c X V v d D t T Z W N 0 a W 9 u M S 9 0 Y W J f Z G F k b 3 N C Y X N l L 1 R p c G 8 g Q W x 0 Z X J h Z G 8 u e 3 R y a W 1 l c 3 R y Z S B h b m 8 s M n 0 m c X V v d D s s J n F 1 b 3 Q 7 U 2 V j d G l v b j E v d G F i X 2 R h Z G 9 z Q m F z Z S 9 U a X B v I E F s d G V y Y W R v L n t 2 Y W x v c i B 1 b X M s M 3 0 m c X V v d D s s J n F 1 b 3 Q 7 U 2 V j d G l v b j E v d G F i X 2 R h Z G 9 z Q m F z Z S 9 U a X B v I E F s d G V y Y W R v L n t t w 6 p z X 2 F u b y w 0 f S Z x d W 9 0 O y w m c X V v d D t T Z W N 0 a W 9 u M S 9 0 Y W J f Z G F k b 3 N C Y X N l L 1 R p c G 8 g Q W x 0 Z X J h Z G 8 u e 2 3 D q n M s N X 0 m c X V v d D s s J n F 1 b 3 Q 7 U 2 V j d G l v b j E v d G F i X 2 R h Z G 9 z Q m F z Z S 9 U a X B v I E F s d G V y Y W R v L n t h b m 8 s N n 0 m c X V v d D s s J n F 1 b 3 Q 7 U 2 V j d G l v b j E v d G F i X 2 R h Z G 9 z Q m F z Z S 9 U a X B v I E F s d G V y Y W R v L n t l e G V j d X R h Z G 8 g K H V t c y k s N 3 0 m c X V v d D s s J n F 1 b 3 Q 7 U 2 V j d G l v b j E v d G F i X 2 R h Z G 9 z Q m F z Z S 9 U a X B v I E F s d G V y Y W R v L n t l e G V j I C h 1 b X M p I G F j d W 1 1 b G F k b y w 4 f S Z x d W 9 0 O y w m c X V v d D t T Z W N 0 a W 9 u M S 9 0 Y W J f Z G F k b 3 N C Y X N l L 1 R p c G 8 g Q W x 0 Z X J h Z G 8 u e 2 V 4 Z W N 1 d G F k b y w 5 f S Z x d W 9 0 O y w m c X V v d D t T Z W N 0 a W 9 u M S 9 0 Y W J f Z G F k b 3 N C Y X N l L 1 R p c G 8 g Q W x 0 Z X J h Z G 8 u e 2 V 4 Z W N 1 d G F k b y B h Y 3 V t d W x h Z G 8 s M T B 9 J n F 1 b 3 Q 7 L C Z x d W 9 0 O 1 N l Y 3 R p b 2 4 x L 3 R h Y l 9 k Y W R v c 0 J h c 2 U v V G l w b y B B b H R l c m F k b y 5 7 Z W 1 p c 3 P D o 2 8 g b m Y s M T F 9 J n F 1 b 3 Q 7 L C Z x d W 9 0 O 1 N l Y 3 R p b 2 4 x L 3 R h Y l 9 k Y W R v c 0 J h c 2 U v V G l w b y B B b H R l c m F k b y 5 7 c m V j Z W J p b W V u d G 8 s M T J 9 J n F 1 b 3 Q 7 L C Z x d W 9 0 O 1 N l Y 3 R p b 2 4 x L 3 R h Y l 9 k Y W R v c 0 J h c 2 U v V G l w b y B B b H R l c m F k b y 5 7 Z G l h c y B j b 3 J y a W R v c y B w L y B y Z W N l Y m l t Z W 5 0 b y w x M 3 0 m c X V v d D s s J n F 1 b 3 Q 7 U 2 V j d G l v b j E v d G F i X 2 R h Z G 9 z Q m F z Z S 9 U a X B v I E F s d G V y Y W R v L n t y Z W N l a X R h I C h m Y X Q p L D E 0 f S Z x d W 9 0 O y w m c X V v d D t T Z W N 0 a W 9 u M S 9 0 Y W J f Z G F k b 3 N C Y X N l L 1 R p c G 8 g Q W x 0 Z X J h Z G 8 u e 3 R y Y W 5 z Z m V y w 6 p u Y 2 l h I H J l Y 2 V i a W R h L D E 1 f S Z x d W 9 0 O y w m c X V v d D t T Z W N 0 a W 9 u M S 9 0 Y W J f Z G F k b 3 N C Y X N l L 1 R p c G 8 g Q W x 0 Z X J h Z G 8 u e 3 J l c 3 V s d G F k b y w x N n 0 m c X V v d D s s J n F 1 b 3 Q 7 U 2 V j d G l v b j E v d G F i X 2 R h Z G 9 z Q m F z Z S 9 U a X B v I E F s d G V y Y W R v L n t k Z X N w Z X N h I H R v d G F s L D E 3 f S Z x d W 9 0 O y w m c X V v d D t T Z W N 0 a W 9 u M S 9 0 Y W J f Z G F k b 3 N C Y X N l L 1 R p c G 8 g Q W x 0 Z X J h Z G 8 u e 2 N 1 c 3 R v L D E 4 f S Z x d W 9 0 O y w m c X V v d D t T Z W N 0 a W 9 u M S 9 0 Y W J f Z G F k b 3 N C Y X N l L 1 R p c G 8 g Q W x 0 Z X J h Z G 8 u e 2 R l c 3 B l c 2 E s M T l 9 J n F 1 b 3 Q 7 L C Z x d W 9 0 O 1 N l Y 3 R p b 2 4 x L 3 R h Y l 9 k Y W R v c 0 J h c 2 U v V G l w b y B B b H R l c m F k b y 5 7 a W 1 w b 3 N 0 b y w y M H 0 m c X V v d D s s J n F 1 b 3 Q 7 U 2 V j d G l v b j E v d G F i X 2 R h Z G 9 z Q m F z Z S 9 U a X B v I E F s d G V y Y W R v L n t z Y W z D o X J p b 3 M g Z S B v c m R l b m F k b 3 M s M j F 9 J n F 1 b 3 Q 7 L C Z x d W 9 0 O 1 N l Y 3 R p b 2 4 x L 3 R h Y l 9 k Y W R v c 0 J h c 2 U v V G l w b y B B b H R l c m F k b y 5 7 Z 2 x v c 2 E s M j J 9 J n F 1 b 3 Q 7 L C Z x d W 9 0 O 1 N l Y 3 R p b 2 4 x L 3 R h Y l 9 k Y W R v c 0 J h c 2 U v V G l w b y B B b H R l c m F k b y 5 7 b W V 0 Y S B m Y X R 1 c m F t Z W 5 0 b y w y M 3 0 m c X V v d D s s J n F 1 b 3 Q 7 U 2 V j d G l v b j E v d G F i X 2 R h Z G 9 z Q m F z Z S 9 U a X B v I E F s d G V y Y W R v L n t t Z X R h I G Z h d C B h Y 3 V t d W x h Z G 8 s M j R 9 J n F 1 b 3 Q 7 L C Z x d W 9 0 O 1 N l Y 3 R p b 2 4 x L 3 R h Y l 9 k Y W R v c 0 J h c 2 U v V G l w b y B B b H R l c m F k b y 5 7 b W V 0 Y S B m Y X Q g K H V t c y k s M j V 9 J n F 1 b 3 Q 7 L C Z x d W 9 0 O 1 N l Y 3 R p b 2 4 x L 3 R h Y l 9 k Y W R v c 0 J h c 2 U v V G l w b y B B b H R l c m F k b y 5 7 b W V 0 Y S B m Y X Q g K H V t c y k g Y W N 1 b S w y N n 0 m c X V v d D s s J n F 1 b 3 Q 7 U 2 V j d G l v b j E v d G F i X 2 R h Z G 9 z Q m F z Z S 9 U a X B v I E F s d G V y Y W R v L n t t Z X R h I G Z h d C A o d W 1 z K S B h Y 2 l t Y S w y N 3 0 m c X V v d D s s J n F 1 b 3 Q 7 U 2 V j d G l v b j E v d G F i X 2 R h Z G 9 z Q m F z Z S 9 U a X B v I E F s d G V y Y W R v L n t t Z X R h I G Z h d C A o d W 1 z K S B h Y m F p e G 8 s M j h 9 J n F 1 b 3 Q 7 L C Z x d W 9 0 O 1 N l Y 3 R p b 2 4 x L 3 R h Y l 9 k Y W R v c 0 J h c 2 U v V G l w b y B B b H R l c m F k b y 5 7 b W V 0 Y S B m Y X Q g Y W N p b W E s M j l 9 J n F 1 b 3 Q 7 L C Z x d W 9 0 O 1 N l Y 3 R p b 2 4 x L 3 R h Y l 9 k Y W R v c 0 J h c 2 U v V G l w b y B B b H R l c m F k b y 5 7 b W V 0 Y S B m Y X Q g Y W J h a X h v L D M w f S Z x d W 9 0 O y w m c X V v d D t T Z W N 0 a W 9 u M S 9 0 Y W J f Z G F k b 3 N C Y X N l L 1 R p c G 8 g Q W x 0 Z X J h Z G 8 u e 2 N 1 c 3 R v I C s g Z G V z c G V z Y S A r I G l t c G 9 z d G 8 s M z F 9 J n F 1 b 3 Q 7 L C Z x d W 9 0 O 1 N l Y 3 R p b 2 4 x L 3 R h Y l 9 k Y W R v c 0 J h c 2 U v V G l w b y B B b H R l c m F k b y 5 7 Z m F 0 d X J h b W V u d G 8 g K y B 0 c m F u c 2 Y g c m V j Z W J p Z G E s M z J 9 J n F 1 b 3 Q 7 L C Z x d W 9 0 O 1 N l Y 3 R p b 2 4 x L 3 R h Y l 9 k Y W R v c 0 J h c 2 U v V G l w b y B B b H R l c m F k b y 5 7 b W V 0 Y S B y Z W N l a X R h L 2 R l c 3 A s M z N 9 J n F 1 b 3 Q 7 L C Z x d W 9 0 O 1 N l Y 3 R p b 2 4 x L 3 R h Y l 9 k Y W R v c 0 J h c 2 U v V G l w b y B B b H R l c m F k b y 5 7 c m F 6 w 6 N v L D M 0 f S Z x d W 9 0 O y w m c X V v d D t T Z W N 0 a W 9 u M S 9 0 Y W J f Z G F k b 3 N C Y X N l L 1 R p c G 8 g Q W x 0 Z X J h Z G 8 u e 2 1 l d G E g c m F 6 w 6 N v I G F i Y W l 4 b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R h Y l 9 k Y W R v c 0 J h c 2 U v V G l w b y B B b H R l c m F k b y 5 7 a W R f d G F i L D B 9 J n F 1 b 3 Q 7 L C Z x d W 9 0 O 1 N l Y 3 R p b 2 4 x L 3 R h Y l 9 k Y W R v c 0 J h c 2 U v V G l w b y B B b H R l c m F k b y 5 7 c 2 V t Z X N 0 c m V c b m N v b n R y Y X R v L D F 9 J n F 1 b 3 Q 7 L C Z x d W 9 0 O 1 N l Y 3 R p b 2 4 x L 3 R h Y l 9 k Y W R v c 0 J h c 2 U v V G l w b y B B b H R l c m F k b y 5 7 d H J p b W V z d H J l I G F u b y w y f S Z x d W 9 0 O y w m c X V v d D t T Z W N 0 a W 9 u M S 9 0 Y W J f Z G F k b 3 N C Y X N l L 1 R p c G 8 g Q W x 0 Z X J h Z G 8 u e 3 Z h b G 9 y I H V t c y w z f S Z x d W 9 0 O y w m c X V v d D t T Z W N 0 a W 9 u M S 9 0 Y W J f Z G F k b 3 N C Y X N l L 1 R p c G 8 g Q W x 0 Z X J h Z G 8 u e 2 3 D q n N f Y W 5 v L D R 9 J n F 1 b 3 Q 7 L C Z x d W 9 0 O 1 N l Y 3 R p b 2 4 x L 3 R h Y l 9 k Y W R v c 0 J h c 2 U v V G l w b y B B b H R l c m F k b y 5 7 b c O q c y w 1 f S Z x d W 9 0 O y w m c X V v d D t T Z W N 0 a W 9 u M S 9 0 Y W J f Z G F k b 3 N C Y X N l L 1 R p c G 8 g Q W x 0 Z X J h Z G 8 u e 2 F u b y w 2 f S Z x d W 9 0 O y w m c X V v d D t T Z W N 0 a W 9 u M S 9 0 Y W J f Z G F k b 3 N C Y X N l L 1 R p c G 8 g Q W x 0 Z X J h Z G 8 u e 2 V 4 Z W N 1 d G F k b y A o d W 1 z K S w 3 f S Z x d W 9 0 O y w m c X V v d D t T Z W N 0 a W 9 u M S 9 0 Y W J f Z G F k b 3 N C Y X N l L 1 R p c G 8 g Q W x 0 Z X J h Z G 8 u e 2 V 4 Z W M g K H V t c y k g Y W N 1 b X V s Y W R v L D h 9 J n F 1 b 3 Q 7 L C Z x d W 9 0 O 1 N l Y 3 R p b 2 4 x L 3 R h Y l 9 k Y W R v c 0 J h c 2 U v V G l w b y B B b H R l c m F k b y 5 7 Z X h l Y 3 V 0 Y W R v L D l 9 J n F 1 b 3 Q 7 L C Z x d W 9 0 O 1 N l Y 3 R p b 2 4 x L 3 R h Y l 9 k Y W R v c 0 J h c 2 U v V G l w b y B B b H R l c m F k b y 5 7 Z X h l Y 3 V 0 Y W R v I G F j d W 1 1 b G F k b y w x M H 0 m c X V v d D s s J n F 1 b 3 Q 7 U 2 V j d G l v b j E v d G F i X 2 R h Z G 9 z Q m F z Z S 9 U a X B v I E F s d G V y Y W R v L n t l b W l z c 8 O j b y B u Z i w x M X 0 m c X V v d D s s J n F 1 b 3 Q 7 U 2 V j d G l v b j E v d G F i X 2 R h Z G 9 z Q m F z Z S 9 U a X B v I E F s d G V y Y W R v L n t y Z W N l Y m l t Z W 5 0 b y w x M n 0 m c X V v d D s s J n F 1 b 3 Q 7 U 2 V j d G l v b j E v d G F i X 2 R h Z G 9 z Q m F z Z S 9 U a X B v I E F s d G V y Y W R v L n t k a W F z I G N v c n J p Z G 9 z I H A v I H J l Y 2 V i a W 1 l b n R v L D E z f S Z x d W 9 0 O y w m c X V v d D t T Z W N 0 a W 9 u M S 9 0 Y W J f Z G F k b 3 N C Y X N l L 1 R p c G 8 g Q W x 0 Z X J h Z G 8 u e 3 J l Y 2 V p d G E g K G Z h d C k s M T R 9 J n F 1 b 3 Q 7 L C Z x d W 9 0 O 1 N l Y 3 R p b 2 4 x L 3 R h Y l 9 k Y W R v c 0 J h c 2 U v V G l w b y B B b H R l c m F k b y 5 7 d H J h b n N m Z X L D q m 5 j a W E g c m V j Z W J p Z G E s M T V 9 J n F 1 b 3 Q 7 L C Z x d W 9 0 O 1 N l Y 3 R p b 2 4 x L 3 R h Y l 9 k Y W R v c 0 J h c 2 U v V G l w b y B B b H R l c m F k b y 5 7 c m V z d W x 0 Y W R v L D E 2 f S Z x d W 9 0 O y w m c X V v d D t T Z W N 0 a W 9 u M S 9 0 Y W J f Z G F k b 3 N C Y X N l L 1 R p c G 8 g Q W x 0 Z X J h Z G 8 u e 2 R l c 3 B l c 2 E g d G 9 0 Y W w s M T d 9 J n F 1 b 3 Q 7 L C Z x d W 9 0 O 1 N l Y 3 R p b 2 4 x L 3 R h Y l 9 k Y W R v c 0 J h c 2 U v V G l w b y B B b H R l c m F k b y 5 7 Y 3 V z d G 8 s M T h 9 J n F 1 b 3 Q 7 L C Z x d W 9 0 O 1 N l Y 3 R p b 2 4 x L 3 R h Y l 9 k Y W R v c 0 J h c 2 U v V G l w b y B B b H R l c m F k b y 5 7 Z G V z c G V z Y S w x O X 0 m c X V v d D s s J n F 1 b 3 Q 7 U 2 V j d G l v b j E v d G F i X 2 R h Z G 9 z Q m F z Z S 9 U a X B v I E F s d G V y Y W R v L n t p b X B v c 3 R v L D I w f S Z x d W 9 0 O y w m c X V v d D t T Z W N 0 a W 9 u M S 9 0 Y W J f Z G F k b 3 N C Y X N l L 1 R p c G 8 g Q W x 0 Z X J h Z G 8 u e 3 N h b M O h c m l v c y B l I G 9 y Z G V u Y W R v c y w y M X 0 m c X V v d D s s J n F 1 b 3 Q 7 U 2 V j d G l v b j E v d G F i X 2 R h Z G 9 z Q m F z Z S 9 U a X B v I E F s d G V y Y W R v L n t n b G 9 z Y S w y M n 0 m c X V v d D s s J n F 1 b 3 Q 7 U 2 V j d G l v b j E v d G F i X 2 R h Z G 9 z Q m F z Z S 9 U a X B v I E F s d G V y Y W R v L n t t Z X R h I G Z h d H V y Y W 1 l b n R v L D I z f S Z x d W 9 0 O y w m c X V v d D t T Z W N 0 a W 9 u M S 9 0 Y W J f Z G F k b 3 N C Y X N l L 1 R p c G 8 g Q W x 0 Z X J h Z G 8 u e 2 1 l d G E g Z m F 0 I G F j d W 1 1 b G F k b y w y N H 0 m c X V v d D s s J n F 1 b 3 Q 7 U 2 V j d G l v b j E v d G F i X 2 R h Z G 9 z Q m F z Z S 9 U a X B v I E F s d G V y Y W R v L n t t Z X R h I G Z h d C A o d W 1 z K S w y N X 0 m c X V v d D s s J n F 1 b 3 Q 7 U 2 V j d G l v b j E v d G F i X 2 R h Z G 9 z Q m F z Z S 9 U a X B v I E F s d G V y Y W R v L n t t Z X R h I G Z h d C A o d W 1 z K S B h Y 3 V t L D I 2 f S Z x d W 9 0 O y w m c X V v d D t T Z W N 0 a W 9 u M S 9 0 Y W J f Z G F k b 3 N C Y X N l L 1 R p c G 8 g Q W x 0 Z X J h Z G 8 u e 2 1 l d G E g Z m F 0 I C h 1 b X M p I G F j a W 1 h L D I 3 f S Z x d W 9 0 O y w m c X V v d D t T Z W N 0 a W 9 u M S 9 0 Y W J f Z G F k b 3 N C Y X N l L 1 R p c G 8 g Q W x 0 Z X J h Z G 8 u e 2 1 l d G E g Z m F 0 I C h 1 b X M p I G F i Y W l 4 b y w y O H 0 m c X V v d D s s J n F 1 b 3 Q 7 U 2 V j d G l v b j E v d G F i X 2 R h Z G 9 z Q m F z Z S 9 U a X B v I E F s d G V y Y W R v L n t t Z X R h I G Z h d C B h Y 2 l t Y S w y O X 0 m c X V v d D s s J n F 1 b 3 Q 7 U 2 V j d G l v b j E v d G F i X 2 R h Z G 9 z Q m F z Z S 9 U a X B v I E F s d G V y Y W R v L n t t Z X R h I G Z h d C B h Y m F p e G 8 s M z B 9 J n F 1 b 3 Q 7 L C Z x d W 9 0 O 1 N l Y 3 R p b 2 4 x L 3 R h Y l 9 k Y W R v c 0 J h c 2 U v V G l w b y B B b H R l c m F k b y 5 7 Y 3 V z d G 8 g K y B k Z X N w Z X N h I C s g a W 1 w b 3 N 0 b y w z M X 0 m c X V v d D s s J n F 1 b 3 Q 7 U 2 V j d G l v b j E v d G F i X 2 R h Z G 9 z Q m F z Z S 9 U a X B v I E F s d G V y Y W R v L n t m Y X R 1 c m F t Z W 5 0 b y A r I H R y Y W 5 z Z i B y Z W N l Y m l k Y S w z M n 0 m c X V v d D s s J n F 1 b 3 Q 7 U 2 V j d G l v b j E v d G F i X 2 R h Z G 9 z Q m F z Z S 9 U a X B v I E F s d G V y Y W R v L n t t Z X R h I H J l Y 2 V p d G E v Z G V z c C w z M 3 0 m c X V v d D s s J n F 1 b 3 Q 7 U 2 V j d G l v b j E v d G F i X 2 R h Z G 9 z Q m F z Z S 9 U a X B v I E F s d G V y Y W R v L n t y Y X r D o 2 8 s M z R 9 J n F 1 b 3 Q 7 L C Z x d W 9 0 O 1 N l Y 3 R p b 2 4 x L 3 R h Y l 9 k Y W R v c 0 J h c 2 U v V G l w b y B B b H R l c m F k b y 5 7 b W V 0 Y S B y Y X r D o 2 8 g Y W J h a X h v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X 2 R h Z G 9 z Q m F z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l 9 k Y W R v c 0 J h c 2 U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K N B b 6 7 g R P s r z f V p P + Q w Y A A A A A A g A A A A A A E G Y A A A A B A A A g A A A A 5 T n S r s I z B E N u e G M K i P O l p m M 4 D f Z k A i G B 7 0 Y / O c d P Q v Q A A A A A D o A A A A A C A A A g A A A A X M / x h p + M K B y D R y N q + k t y w S 9 H q / D 0 I B G 1 K W O P k I 5 E 0 T d Q A A A A + L H N T H o 2 4 W q L D r V X U j o z a G T 2 / R v U g N Z R r b l 0 B x n 3 I q X I 5 Z T I P j n H u x D 1 2 Q z 4 Y o X R h H E l + s e P M 2 g j p O I 4 o l k A 5 E H Z V h I A d L N V P J o 1 D e U X r j 1 A A A A A H K t K i p 0 R 1 z h k X s M Y P N o r + G D j 3 9 F K E L C v r U Z m G g g 2 H S G q T Q M 2 O v F w 8 y E 7 z J y q H D r s r l y o R J b q g d v U a 8 d X 2 k I r W g = = < / D a t a M a s h u p > 
</file>

<file path=customXml/itemProps1.xml><?xml version="1.0" encoding="utf-8"?>
<ds:datastoreItem xmlns:ds="http://schemas.openxmlformats.org/officeDocument/2006/customXml" ds:itemID="{F38B3B1E-8C18-4B40-8F8C-7C4EFE25EF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apoio</vt:lpstr>
      <vt:lpstr>dadosBase</vt:lpstr>
      <vt:lpstr>tabDin</vt:lpstr>
      <vt:lpstr>dashExecutado$</vt:lpstr>
      <vt:lpstr>dashMetas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Castanhagi</dc:creator>
  <cp:lastModifiedBy>sara ramos</cp:lastModifiedBy>
  <dcterms:created xsi:type="dcterms:W3CDTF">2016-05-10T19:50:21Z</dcterms:created>
  <dcterms:modified xsi:type="dcterms:W3CDTF">2025-07-02T00:37:39Z</dcterms:modified>
</cp:coreProperties>
</file>