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santoni/Library/Mobile Documents/com~apple~CloudDocs/esercizi epicode/"/>
    </mc:Choice>
  </mc:AlternateContent>
  <xr:revisionPtr revIDLastSave="0" documentId="13_ncr:1_{27C58E02-B8E3-1E4A-BBA1-1C97BD9FAA74}" xr6:coauthVersionLast="47" xr6:coauthVersionMax="47" xr10:uidLastSave="{00000000-0000-0000-0000-000000000000}"/>
  <bookViews>
    <workbookView xWindow="0" yWindow="500" windowWidth="23260" windowHeight="12460" activeTab="5" xr2:uid="{00000000-000D-0000-FFFF-FFFF00000000}"/>
  </bookViews>
  <sheets>
    <sheet name="Assoluti_Iva" sheetId="15" r:id="rId1"/>
    <sheet name="FUNZIONI VARIE" sheetId="17" r:id="rId2"/>
    <sheet name="Cerca_Vert_Giudizio" sheetId="12" r:id="rId3"/>
    <sheet name="Cerca_Vert_Spese" sheetId="11" r:id="rId4"/>
    <sheet name="Grafico Torta" sheetId="18" r:id="rId5"/>
    <sheet name="CONTA_SE" sheetId="8" r:id="rId6"/>
    <sheet name="Somma_SE" sheetId="9" r:id="rId7"/>
    <sheet name="date" sheetId="33" r:id="rId8"/>
  </sheets>
  <definedNames>
    <definedName name="_xlnm._FilterDatabase" localSheetId="0" hidden="1">Assoluti_Iva!$A$4:$C$340</definedName>
    <definedName name="_xlnm._FilterDatabase" localSheetId="5" hidden="1">CONTA_SE!$A$1:$D$80</definedName>
    <definedName name="ACCES">Assoluti_Iva!$A$196:$C$230</definedName>
    <definedName name="_xlnm.Print_Area" localSheetId="0">Assoluti_Iva!$A$4:$A$340</definedName>
    <definedName name="CAB">Assoluti_Iva!$A$318:$C$327</definedName>
    <definedName name="CDROM">Assoluti_Iva!$A$111:$C$118</definedName>
    <definedName name="Codice">#REF!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#REF!</definedName>
    <definedName name="IMPORTO">#REF!</definedName>
    <definedName name="IO_B">Assoluti_Iva!$A$66:$C$80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8" l="1"/>
  <c r="K13" i="8"/>
  <c r="K12" i="8"/>
  <c r="K11" i="8"/>
  <c r="K10" i="8"/>
  <c r="K9" i="8"/>
  <c r="K8" i="8"/>
  <c r="K6" i="8"/>
  <c r="K5" i="8"/>
  <c r="K4" i="8"/>
  <c r="K3" i="8"/>
  <c r="I14" i="8"/>
  <c r="I13" i="8"/>
  <c r="I12" i="8"/>
  <c r="I11" i="8"/>
  <c r="I10" i="8"/>
  <c r="I9" i="8"/>
  <c r="I8" i="8"/>
  <c r="I6" i="8"/>
  <c r="I5" i="8"/>
  <c r="I4" i="8"/>
  <c r="I3" i="8"/>
  <c r="J8" i="33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4" i="33"/>
  <c r="J25" i="33"/>
  <c r="J26" i="33"/>
  <c r="J27" i="33"/>
  <c r="J28" i="33"/>
  <c r="J29" i="33"/>
  <c r="J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7" i="33"/>
  <c r="F26" i="33"/>
  <c r="F27" i="33"/>
  <c r="F28" i="33"/>
  <c r="F29" i="33"/>
  <c r="F17" i="33"/>
  <c r="F18" i="33"/>
  <c r="F19" i="33"/>
  <c r="F20" i="33"/>
  <c r="F21" i="33"/>
  <c r="F22" i="33"/>
  <c r="F23" i="33"/>
  <c r="F24" i="33"/>
  <c r="F25" i="33"/>
  <c r="F11" i="33"/>
  <c r="F12" i="33"/>
  <c r="F13" i="33"/>
  <c r="F14" i="33"/>
  <c r="F15" i="33"/>
  <c r="F16" i="33"/>
  <c r="F10" i="33"/>
  <c r="F9" i="33"/>
  <c r="F8" i="33"/>
  <c r="F7" i="33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2" i="8"/>
  <c r="D5" i="12" a="1"/>
  <c r="D5" i="12" s="1"/>
  <c r="D4" i="12" a="1"/>
  <c r="D4" i="12" s="1"/>
  <c r="D6" i="12" a="1"/>
  <c r="D6" i="12" s="1"/>
  <c r="D7" i="12" a="1"/>
  <c r="D7" i="12" s="1"/>
  <c r="D8" i="12" a="1"/>
  <c r="D8" i="12" s="1"/>
  <c r="D9" i="12" a="1"/>
  <c r="D9" i="12" s="1"/>
  <c r="D10" i="12" a="1"/>
  <c r="D10" i="12" s="1"/>
  <c r="H4" i="11"/>
  <c r="G2" i="17"/>
  <c r="E3" i="17"/>
  <c r="E4" i="17"/>
  <c r="E5" i="17"/>
  <c r="E6" i="17"/>
  <c r="E7" i="17"/>
  <c r="E8" i="17"/>
  <c r="E9" i="17"/>
  <c r="E2" i="17"/>
  <c r="B3" i="17"/>
  <c r="B4" i="17"/>
  <c r="B5" i="17"/>
  <c r="B6" i="17"/>
  <c r="B7" i="17"/>
  <c r="B8" i="17"/>
  <c r="B9" i="17"/>
  <c r="B2" i="17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G263" i="15"/>
  <c r="G264" i="15"/>
  <c r="G265" i="15"/>
  <c r="G266" i="15"/>
  <c r="G267" i="15"/>
  <c r="G268" i="15"/>
  <c r="G269" i="15"/>
  <c r="G270" i="15"/>
  <c r="G271" i="15"/>
  <c r="G272" i="15"/>
  <c r="G273" i="15"/>
  <c r="G274" i="15"/>
  <c r="G275" i="15"/>
  <c r="G276" i="15"/>
  <c r="G277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333" i="15"/>
  <c r="G334" i="15"/>
  <c r="G335" i="15"/>
  <c r="G336" i="15"/>
  <c r="G337" i="15"/>
  <c r="G338" i="15"/>
  <c r="G339" i="15"/>
  <c r="G340" i="15"/>
  <c r="G5" i="15"/>
  <c r="H9" i="9"/>
  <c r="H8" i="9"/>
  <c r="H7" i="9"/>
  <c r="H6" i="9"/>
  <c r="H5" i="9"/>
  <c r="G4" i="33"/>
  <c r="I7" i="33" s="1"/>
  <c r="D16" i="11"/>
  <c r="I27" i="33" l="1"/>
  <c r="I23" i="33"/>
  <c r="I19" i="33"/>
  <c r="I15" i="33"/>
  <c r="I26" i="33"/>
  <c r="I22" i="33"/>
  <c r="I18" i="33"/>
  <c r="I14" i="33"/>
  <c r="I10" i="33"/>
  <c r="I11" i="33"/>
  <c r="I29" i="33"/>
  <c r="I25" i="33"/>
  <c r="I21" i="33"/>
  <c r="I17" i="33"/>
  <c r="I13" i="33"/>
  <c r="I9" i="33"/>
  <c r="I28" i="33"/>
  <c r="I24" i="33"/>
  <c r="I20" i="33"/>
  <c r="I16" i="33"/>
  <c r="I12" i="33"/>
  <c r="I8" i="3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<sst xmlns="http://schemas.openxmlformats.org/spreadsheetml/2006/main" count="1019" uniqueCount="664">
  <si>
    <t>mese</t>
  </si>
  <si>
    <t>data</t>
  </si>
  <si>
    <t>tipo</t>
  </si>
  <si>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</si>
  <si>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</si>
  <si>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</si>
  <si>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</si>
  <si>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</si>
  <si>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</si>
  <si>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</si>
  <si>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</si>
  <si>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</si>
  <si>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</si>
  <si>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</si>
  <si>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</si>
  <si>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</si>
  <si>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</si>
  <si>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</si>
  <si>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</si>
  <si>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</si>
  <si>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</si>
  <si>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</si>
  <si>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</si>
  <si>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</si>
  <si>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</si>
  <si>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</si>
  <si>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</si>
  <si>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</si>
  <si>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</si>
  <si>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</si>
  <si>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</si>
  <si>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</si>
  <si>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</si>
  <si>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</si>
  <si>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</si>
  <si>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</si>
  <si>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</si>
  <si>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</si>
  <si>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</si>
  <si>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</si>
  <si>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</si>
  <si>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</si>
  <si>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</si>
  <si>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</si>
  <si>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</si>
  <si>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</si>
  <si>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</si>
  <si>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</si>
  <si>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</si>
  <si>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</si>
  <si>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</si>
  <si>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</si>
  <si>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</si>
  <si>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</si>
  <si>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</si>
  <si>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</si>
  <si>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</si>
  <si>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</si>
  <si>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</si>
  <si>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</si>
  <si>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</si>
  <si>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</si>
  <si>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</si>
  <si>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</si>
  <si>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</si>
  <si>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</si>
  <si>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</si>
  <si>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</si>
  <si>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</si>
  <si>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</si>
  <si>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</si>
  <si>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</si>
  <si>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</si>
  <si>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</si>
  <si>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</si>
  <si>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</si>
  <si>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</si>
  <si>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</si>
  <si>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</si>
  <si>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</si>
  <si>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</si>
  <si>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</si>
  <si>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</si>
  <si>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</si>
  <si>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</si>
  <si>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</si>
  <si>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</si>
  <si>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</si>
  <si>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</si>
  <si>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</si>
  <si>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</si>
  <si>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</si>
  <si>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</si>
  <si>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</si>
  <si>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</si>
  <si>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</si>
  <si>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</si>
  <si>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</si>
  <si>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</si>
  <si>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</si>
  <si>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</si>
  <si>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</si>
  <si>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</si>
  <si>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</si>
  <si>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</si>
  <si>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</si>
  <si>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SOMMA.SE</t>
  </si>
  <si>
    <t>Totale</t>
  </si>
  <si>
    <t>Premio</t>
  </si>
  <si>
    <t>Agente</t>
  </si>
  <si>
    <t>dicembre</t>
  </si>
  <si>
    <t>novembre</t>
  </si>
  <si>
    <t>ottobre</t>
  </si>
  <si>
    <t>settembre</t>
  </si>
  <si>
    <t>agosto</t>
  </si>
  <si>
    <t>luglio</t>
  </si>
  <si>
    <t>giugno</t>
  </si>
  <si>
    <t>maggio</t>
  </si>
  <si>
    <t>aprile</t>
  </si>
  <si>
    <t>SPESA</t>
  </si>
  <si>
    <t>MESE</t>
  </si>
  <si>
    <t>Inserendo il MESE in G4 indicare la spesa corrispondete</t>
  </si>
  <si>
    <t>Se Buono: Verde</t>
  </si>
  <si>
    <t>Se Discreto: Blu</t>
  </si>
  <si>
    <t>Se Sufficiente: Giallo</t>
  </si>
  <si>
    <t>Se Respinto: Rosso</t>
  </si>
  <si>
    <t>Tramite la funzione CERCAVERT indicare l'esito per ogni studente</t>
  </si>
  <si>
    <t>Roberto Scarola</t>
  </si>
  <si>
    <t>Fabrizio Corona</t>
  </si>
  <si>
    <t>Maria Genta</t>
  </si>
  <si>
    <t>Gagliardi Daniele</t>
  </si>
  <si>
    <t>A</t>
  </si>
  <si>
    <t>Buono</t>
  </si>
  <si>
    <t>Zadra Loris</t>
  </si>
  <si>
    <t>B</t>
  </si>
  <si>
    <t>Discreto</t>
  </si>
  <si>
    <t>Tamburini Lorenzo</t>
  </si>
  <si>
    <t>C</t>
  </si>
  <si>
    <t>Sufficiente</t>
  </si>
  <si>
    <t>Tamburini Ivo</t>
  </si>
  <si>
    <t>Respinto</t>
  </si>
  <si>
    <t>ESITO</t>
  </si>
  <si>
    <t>Punteggio</t>
  </si>
  <si>
    <t xml:space="preserve">Nome </t>
  </si>
  <si>
    <t>esito</t>
  </si>
  <si>
    <t>voto</t>
  </si>
  <si>
    <t>MONITOR</t>
  </si>
  <si>
    <t>IVA inclusa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</si>
  <si>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</si>
  <si>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</si>
  <si>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</si>
  <si>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</si>
  <si>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</si>
  <si>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</si>
  <si>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</si>
  <si>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</si>
  <si>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</si>
  <si>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</si>
  <si>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</si>
  <si>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</si>
  <si>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</si>
  <si>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</si>
  <si>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</si>
  <si>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</si>
  <si>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</si>
  <si>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</si>
  <si>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</si>
  <si>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</si>
  <si>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</si>
  <si>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</si>
  <si>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</si>
  <si>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</si>
  <si>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</si>
  <si>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</si>
  <si>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</si>
  <si>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</si>
  <si>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</si>
  <si>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</si>
  <si>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</si>
  <si>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</si>
  <si>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</si>
  <si>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</si>
  <si>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</si>
  <si>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</si>
  <si>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</si>
  <si>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</si>
  <si>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</si>
  <si>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</si>
  <si>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</si>
  <si>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</si>
  <si>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</si>
  <si>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</si>
  <si>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</si>
  <si>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</si>
  <si>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</si>
  <si>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</si>
  <si>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</si>
  <si>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</si>
  <si>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</si>
  <si>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</si>
  <si>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</si>
  <si>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</si>
  <si>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</si>
  <si>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</si>
  <si>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</si>
  <si>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</si>
  <si>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</si>
  <si>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</si>
  <si>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</si>
  <si>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</si>
  <si>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</si>
  <si>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</si>
  <si>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</si>
  <si>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</si>
  <si>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</si>
  <si>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</si>
  <si>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</si>
  <si>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</si>
  <si>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</si>
  <si>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</si>
  <si>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</si>
  <si>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</si>
  <si>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</si>
  <si>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</si>
  <si>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</si>
  <si>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</si>
  <si>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</si>
  <si>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</si>
  <si>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</si>
  <si>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</si>
  <si>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</si>
  <si>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</si>
  <si>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</si>
  <si>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</si>
  <si>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</si>
  <si>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</si>
  <si>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</si>
  <si>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</si>
  <si>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</si>
  <si>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</si>
  <si>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</si>
  <si>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</si>
  <si>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</si>
  <si>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</si>
  <si>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</si>
  <si>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</si>
  <si>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</si>
  <si>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</si>
  <si>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</si>
  <si>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</si>
  <si>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</si>
  <si>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</si>
  <si>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</si>
  <si>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</si>
  <si>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</si>
  <si>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</si>
  <si>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</si>
  <si>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</si>
  <si>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</si>
  <si>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</si>
  <si>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</si>
  <si>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</si>
  <si>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</si>
  <si>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</si>
  <si>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</si>
  <si>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</si>
  <si>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</si>
  <si>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</si>
  <si>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</si>
  <si>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</si>
  <si>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</si>
  <si>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</si>
  <si>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</si>
  <si>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</si>
  <si>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</si>
  <si>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</si>
  <si>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</si>
  <si>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</si>
  <si>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</si>
  <si>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</si>
  <si>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</si>
  <si>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</si>
  <si>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</si>
  <si>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</si>
  <si>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</si>
  <si>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</si>
  <si>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</si>
  <si>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</si>
  <si>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</si>
  <si>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</si>
  <si>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</si>
  <si>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</si>
  <si>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</si>
  <si>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</si>
  <si>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</si>
  <si>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</si>
  <si>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</si>
  <si>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</si>
  <si>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</si>
  <si>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</si>
  <si>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</si>
  <si>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</si>
  <si>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</si>
  <si>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</si>
  <si>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</si>
  <si>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</si>
  <si>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</si>
  <si>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</si>
  <si>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</si>
  <si>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</si>
  <si>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</si>
  <si>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</si>
  <si>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</si>
  <si>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</si>
  <si>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</si>
  <si>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</si>
  <si>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</si>
  <si>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</si>
  <si>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</si>
  <si>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</si>
  <si>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</si>
  <si>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</si>
  <si>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</si>
  <si>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</si>
  <si>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</si>
  <si>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</si>
  <si>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</si>
  <si>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</si>
  <si>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</si>
  <si>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</si>
  <si>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</si>
  <si>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</si>
  <si>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</si>
  <si>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</si>
  <si>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</si>
  <si>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</si>
  <si>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</si>
  <si>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</si>
  <si>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</si>
  <si>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</si>
  <si>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</si>
  <si>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</si>
  <si>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</si>
  <si>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</si>
  <si>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</si>
  <si>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</si>
  <si>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</si>
  <si>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</si>
  <si>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</si>
  <si>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</si>
  <si>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</si>
  <si>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</si>
  <si>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</si>
  <si>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</si>
  <si>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</si>
  <si>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</si>
  <si>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</si>
  <si>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</si>
  <si>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</si>
  <si>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</si>
  <si>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</si>
  <si>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</si>
  <si>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</si>
  <si>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</si>
  <si>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</si>
  <si>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</si>
  <si>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</si>
  <si>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</si>
  <si>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</si>
  <si>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</si>
  <si>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</si>
  <si>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</si>
  <si>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</si>
  <si>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</si>
  <si>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</si>
  <si>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</si>
  <si>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</si>
  <si>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</si>
  <si>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</si>
  <si>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</si>
  <si>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</si>
  <si>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</si>
  <si>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</si>
  <si>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</si>
  <si>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</si>
  <si>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</si>
  <si>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</si>
  <si>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</si>
  <si>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</si>
  <si>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</si>
  <si>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</si>
  <si>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</si>
  <si>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</si>
  <si>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</si>
  <si>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</si>
  <si>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</si>
  <si>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</si>
  <si>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</si>
  <si>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</si>
  <si>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</si>
  <si>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</si>
  <si>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</si>
  <si>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</si>
  <si>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</si>
  <si>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</si>
  <si>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</si>
  <si>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</si>
  <si>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</si>
  <si>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</si>
  <si>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</si>
  <si>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</si>
  <si>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</si>
  <si>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</si>
  <si>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</si>
  <si>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</si>
  <si>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</si>
  <si>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</si>
  <si>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</si>
  <si>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</si>
  <si>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</si>
  <si>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</si>
  <si>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</si>
  <si>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</si>
  <si>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</si>
  <si>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</si>
  <si>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</si>
  <si>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</si>
  <si>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</si>
  <si>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</si>
  <si>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</si>
  <si>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</si>
  <si>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</si>
  <si>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</si>
  <si>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</si>
  <si>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</si>
  <si>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</si>
  <si>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</si>
  <si>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</si>
  <si>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</si>
  <si>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</si>
  <si>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</si>
  <si>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</si>
  <si>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</si>
  <si>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</si>
  <si>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</si>
  <si>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</si>
  <si>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</si>
  <si>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</si>
  <si>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</si>
  <si>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</si>
  <si>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</si>
  <si>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</si>
  <si>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</si>
  <si>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</si>
  <si>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</si>
  <si>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</si>
  <si>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</si>
  <si>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</si>
  <si>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</si>
  <si>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</si>
  <si>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</si>
  <si>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</si>
  <si>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</si>
  <si>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</si>
  <si>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</si>
  <si>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</si>
  <si>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</si>
  <si>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</si>
  <si>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</si>
  <si>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</si>
  <si>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</si>
  <si>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</si>
  <si>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</si>
  <si>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</si>
  <si>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</si>
  <si>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</si>
  <si>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</si>
  <si>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</si>
  <si>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</si>
  <si>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</si>
  <si>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</si>
  <si>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</si>
  <si>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</si>
  <si>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</si>
  <si>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</si>
  <si>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</si>
  <si>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</si>
  <si>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</si>
  <si>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</si>
  <si>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</si>
  <si>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</si>
  <si>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</si>
  <si>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</si>
  <si>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</si>
  <si>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</si>
  <si>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</si>
  <si>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</si>
  <si>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</si>
  <si>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</si>
  <si>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</si>
  <si>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</si>
  <si>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</si>
  <si>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</si>
  <si>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</si>
  <si>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</si>
  <si>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</si>
  <si>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</si>
  <si>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</si>
  <si>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</si>
  <si>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</si>
  <si>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</si>
  <si>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</si>
  <si>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</si>
  <si>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</si>
  <si>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</si>
  <si>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</si>
  <si>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</si>
  <si>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</si>
  <si>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</si>
  <si>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</si>
  <si>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</si>
  <si>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</si>
  <si>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</si>
  <si>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</si>
  <si>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</si>
  <si>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</si>
  <si>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</si>
  <si>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</si>
  <si>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</si>
  <si>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</si>
  <si>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</si>
  <si>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</si>
  <si>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</si>
  <si>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</si>
  <si>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</si>
  <si>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</si>
  <si>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</si>
  <si>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</si>
  <si>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</si>
  <si>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</si>
  <si>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</si>
  <si>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</si>
  <si>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</si>
  <si>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</si>
  <si>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</si>
  <si>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</si>
  <si>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</si>
  <si>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</si>
  <si>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</si>
  <si>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</si>
  <si>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</si>
  <si>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</si>
  <si>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</si>
  <si>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</si>
  <si>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</si>
  <si>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</si>
  <si>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</si>
  <si>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</si>
  <si>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</si>
  <si>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</si>
  <si>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</si>
  <si>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</si>
  <si>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</si>
  <si>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</si>
  <si>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</si>
  <si>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</si>
  <si>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</si>
  <si>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</si>
  <si>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</si>
  <si>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</si>
  <si>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</si>
  <si>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</si>
  <si>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</si>
  <si>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</si>
  <si>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</si>
  <si>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</si>
  <si>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</si>
  <si>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</si>
  <si>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</si>
  <si>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</si>
  <si>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</si>
  <si>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</si>
  <si>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</si>
  <si>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</si>
  <si>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</si>
  <si>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</si>
  <si>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</si>
  <si>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</si>
  <si>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</si>
  <si>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</si>
  <si>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</si>
  <si>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</si>
  <si>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</si>
  <si>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</si>
  <si>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</si>
  <si>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</si>
  <si>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</si>
  <si>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</si>
  <si>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</si>
  <si>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</si>
  <si>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</si>
  <si>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</si>
  <si>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</si>
  <si>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</si>
  <si>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</si>
  <si>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</si>
  <si>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</si>
  <si>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</si>
  <si>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</si>
  <si>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</si>
  <si>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</si>
  <si>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</si>
  <si>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</si>
  <si>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</si>
  <si>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</si>
  <si>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</si>
  <si>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</si>
  <si>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</si>
  <si>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</si>
  <si>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</si>
  <si>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</si>
  <si>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</si>
  <si>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</si>
  <si>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</si>
  <si>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</si>
  <si>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</si>
  <si>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</si>
  <si>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</si>
  <si>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</si>
  <si>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</si>
  <si>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</si>
  <si>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a23</t>
  </si>
  <si>
    <t>b31</t>
  </si>
  <si>
    <t>c45</t>
  </si>
  <si>
    <t>u87</t>
  </si>
  <si>
    <t>a09</t>
  </si>
  <si>
    <t>l98</t>
  </si>
  <si>
    <t>v34</t>
  </si>
  <si>
    <t>q11</t>
  </si>
  <si>
    <t>estrarre solo le due cifre dal codice</t>
  </si>
  <si>
    <t>estrarre il giorno dalla data</t>
  </si>
  <si>
    <t>-</t>
  </si>
  <si>
    <r>
      <t xml:space="preserve">Applicare alla colonna </t>
    </r>
    <r>
      <rPr>
        <b/>
        <sz val="10"/>
        <rFont val="Arial"/>
        <family val="2"/>
      </rPr>
      <t>Punteggio</t>
    </r>
    <r>
      <rPr>
        <sz val="10"/>
        <rFont val="Arial"/>
        <family val="2"/>
      </rPr>
      <t xml:space="preserve"> la Formattazione condizionale BARRA DEI DATI colore rosso</t>
    </r>
  </si>
  <si>
    <t>Importo</t>
  </si>
  <si>
    <t>- Creare un grafico a torta sulle colonne AGENTE e PREMIO
- Creare un grafico a linee sulle colonne AGENTE, IMPORTO e PREMIO
- Creare un grafico a barre orizzontale su AGENTE e IMPORTO, mettere il titolo GRAFICO PRIMO e visualizzare i valori per ogni colonna</t>
  </si>
  <si>
    <t>TABELLA BELLA</t>
  </si>
  <si>
    <t>- calcolare "IVA inclusa" di IMPONIBILE utilizzando la cella G3 (indirizzamento assoluto)
- nella colonna E concatenare il MONITOR con IMPONIBILE separati da uno SPAZIO</t>
  </si>
  <si>
    <t>concatena il codice con il carattere "-"</t>
  </si>
  <si>
    <t>DATA</t>
  </si>
  <si>
    <t>DESC</t>
  </si>
  <si>
    <t>IMPONIBILE</t>
  </si>
  <si>
    <t>CONCAT</t>
  </si>
  <si>
    <t>Calcolare Importo per..</t>
  </si>
  <si>
    <t>Usando la funzione SOMMA.SE calcolare gli importi pagati per ciascun tipo elencato</t>
  </si>
  <si>
    <t>Applicare alla colonna ESITO anche le formattazioni condizionali seguenti:</t>
  </si>
  <si>
    <t>ANNO</t>
  </si>
  <si>
    <t>GIORNO</t>
  </si>
  <si>
    <t>DATA OGGI</t>
  </si>
  <si>
    <t>Quanti giorni ad oggi?</t>
  </si>
  <si>
    <t>Quanti giorni lavorativi ad oggi?</t>
  </si>
  <si>
    <t>CALCOLARE LE COLONNE/CELLE RICHIESTE IN GIALLO</t>
  </si>
  <si>
    <t>IMPORTO FATTURA</t>
  </si>
  <si>
    <t>TOTALE ORDINE</t>
  </si>
  <si>
    <t>QUANTITA'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</si>
</sst>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#,##0.00\ &quot;€&quot;;[Red]\-#,##0.00\ &quot;€&quot;"/>
    <numFmt numFmtId="164" formatCode="_-&quot;€&quot;\ * #,##0.00_-;\-&quot;€&quot;\ * #,##0.00_-;_-&quot;€&quot;\ * &quot;-&quot;??_-;_-@_-"/>
    <numFmt numFmtId="165" formatCode="dddd\ dd"/>
    <numFmt numFmtId="166" formatCode="&quot;$&quot;#,##0_);[Red]\(&quot;$&quot;#,##0\)"/>
    <numFmt numFmtId="167" formatCode="&quot;$&quot;#,##0.00_);[Red]\(&quot;$&quot;#,##0.00\)"/>
    <numFmt numFmtId="168" formatCode="_-[$€-410]\ * #,##0.00_-;\-[$€-410]\ * #,##0.00_-;_-[$€-410]\ * &quot;-&quot;??_-;_-@_-"/>
    <numFmt numFmtId="169" formatCode="&quot;€&quot;\ #,##0.00"/>
    <numFmt numFmtId="170" formatCode="_(* #,##0.00_);_(* \(#,##0.00\);_(* &quot;-&quot;??_);_(@_)"/>
    <numFmt numFmtId="171" formatCode="_-[$€]\ * #,##0.00_-;\-[$€]\ * #,##0.00_-;_-[$€]\ * &quot;-&quot;??_-;_-@_-"/>
    <numFmt numFmtId="172" formatCode="#,##0.00\ &quot;€&quot;"/>
    <numFmt numFmtId="173" formatCode="_-* #,##0.00\ [$€-803]_-;\-* #,##0.00\ [$€-803]_-;_-* &quot;-&quot;??\ [$€-803]_-;_-@_-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8" fillId="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0" fontId="5" fillId="0" borderId="5" xfId="6" applyFill="1" applyAlignment="1">
      <alignment horizontal="center"/>
    </xf>
    <xf numFmtId="165" fontId="5" fillId="0" borderId="5" xfId="6" applyNumberFormat="1" applyFill="1" applyAlignment="1">
      <alignment horizontal="center"/>
    </xf>
    <xf numFmtId="164" fontId="5" fillId="0" borderId="5" xfId="6" applyNumberFormat="1" applyFill="1" applyAlignment="1">
      <alignment horizontal="center"/>
    </xf>
    <xf numFmtId="168" fontId="2" fillId="0" borderId="0" xfId="4" applyNumberFormat="1"/>
    <xf numFmtId="0" fontId="5" fillId="0" borderId="5" xfId="6"/>
    <xf numFmtId="168" fontId="5" fillId="0" borderId="5" xfId="6" applyNumberFormat="1"/>
    <xf numFmtId="0" fontId="2" fillId="0" borderId="0" xfId="8"/>
    <xf numFmtId="164" fontId="0" fillId="0" borderId="0" xfId="9" applyFont="1"/>
    <xf numFmtId="0" fontId="8" fillId="2" borderId="0" xfId="7"/>
    <xf numFmtId="164" fontId="8" fillId="2" borderId="0" xfId="7" applyNumberFormat="1"/>
    <xf numFmtId="0" fontId="7" fillId="0" borderId="7" xfId="8" applyFont="1" applyBorder="1"/>
    <xf numFmtId="0" fontId="2" fillId="0" borderId="8" xfId="8" applyBorder="1"/>
    <xf numFmtId="0" fontId="2" fillId="0" borderId="6" xfId="8" applyBorder="1"/>
    <xf numFmtId="0" fontId="2" fillId="0" borderId="3" xfId="8" applyBorder="1"/>
    <xf numFmtId="0" fontId="2" fillId="0" borderId="9" xfId="8" applyBorder="1"/>
    <xf numFmtId="0" fontId="2" fillId="0" borderId="2" xfId="8" applyBorder="1"/>
    <xf numFmtId="0" fontId="2" fillId="0" borderId="10" xfId="8" applyBorder="1"/>
    <xf numFmtId="0" fontId="2" fillId="0" borderId="11" xfId="8" applyBorder="1"/>
    <xf numFmtId="0" fontId="2" fillId="0" borderId="1" xfId="8" applyBorder="1"/>
    <xf numFmtId="0" fontId="9" fillId="4" borderId="6" xfId="8" applyFont="1" applyFill="1" applyBorder="1"/>
    <xf numFmtId="0" fontId="2" fillId="3" borderId="0" xfId="8" applyFill="1"/>
    <xf numFmtId="0" fontId="6" fillId="3" borderId="0" xfId="0" applyFont="1" applyFill="1"/>
    <xf numFmtId="0" fontId="7" fillId="3" borderId="0" xfId="0" applyFont="1" applyFill="1"/>
    <xf numFmtId="0" fontId="0" fillId="3" borderId="0" xfId="0" applyFill="1"/>
    <xf numFmtId="171" fontId="2" fillId="0" borderId="0" xfId="12"/>
    <xf numFmtId="171" fontId="0" fillId="0" borderId="0" xfId="12" applyFont="1"/>
    <xf numFmtId="0" fontId="7" fillId="5" borderId="15" xfId="8" applyFont="1" applyFill="1" applyBorder="1"/>
    <xf numFmtId="9" fontId="7" fillId="5" borderId="16" xfId="8" applyNumberFormat="1" applyFont="1" applyFill="1" applyBorder="1"/>
    <xf numFmtId="171" fontId="2" fillId="0" borderId="0" xfId="12" applyFill="1"/>
    <xf numFmtId="14" fontId="0" fillId="0" borderId="18" xfId="0" applyNumberFormat="1" applyBorder="1"/>
    <xf numFmtId="14" fontId="0" fillId="0" borderId="19" xfId="0" applyNumberFormat="1" applyBorder="1"/>
    <xf numFmtId="0" fontId="2" fillId="0" borderId="18" xfId="0" applyFont="1" applyBorder="1"/>
    <xf numFmtId="0" fontId="2" fillId="0" borderId="19" xfId="0" applyFont="1" applyBorder="1"/>
    <xf numFmtId="0" fontId="2" fillId="3" borderId="0" xfId="8" applyFill="1" applyAlignment="1">
      <alignment horizontal="right"/>
    </xf>
    <xf numFmtId="169" fontId="0" fillId="0" borderId="0" xfId="0" applyNumberFormat="1"/>
    <xf numFmtId="0" fontId="2" fillId="0" borderId="20" xfId="0" applyFont="1" applyBorder="1"/>
    <xf numFmtId="0" fontId="2" fillId="3" borderId="24" xfId="0" applyFont="1" applyFill="1" applyBorder="1"/>
    <xf numFmtId="0" fontId="0" fillId="0" borderId="25" xfId="0" applyBorder="1"/>
    <xf numFmtId="0" fontId="2" fillId="3" borderId="17" xfId="0" applyFont="1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7" fillId="0" borderId="0" xfId="8" applyFont="1"/>
    <xf numFmtId="171" fontId="7" fillId="0" borderId="0" xfId="12" applyFont="1" applyFill="1"/>
    <xf numFmtId="171" fontId="7" fillId="0" borderId="0" xfId="12" applyFont="1"/>
    <xf numFmtId="168" fontId="3" fillId="0" borderId="12" xfId="4" applyNumberFormat="1" applyFont="1" applyBorder="1"/>
    <xf numFmtId="168" fontId="3" fillId="0" borderId="13" xfId="4" applyNumberFormat="1" applyFont="1" applyBorder="1"/>
    <xf numFmtId="168" fontId="3" fillId="0" borderId="14" xfId="4" applyNumberFormat="1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168" fontId="0" fillId="0" borderId="28" xfId="0" applyNumberFormat="1" applyBorder="1"/>
    <xf numFmtId="168" fontId="0" fillId="0" borderId="29" xfId="0" applyNumberFormat="1" applyBorder="1"/>
    <xf numFmtId="168" fontId="0" fillId="0" borderId="30" xfId="0" applyNumberFormat="1" applyBorder="1"/>
    <xf numFmtId="0" fontId="7" fillId="0" borderId="21" xfId="0" applyFont="1" applyBorder="1"/>
    <xf numFmtId="0" fontId="7" fillId="0" borderId="22" xfId="0" applyFont="1" applyBorder="1"/>
    <xf numFmtId="0" fontId="7" fillId="0" borderId="23" xfId="0" applyFont="1" applyBorder="1"/>
    <xf numFmtId="0" fontId="2" fillId="0" borderId="0" xfId="0" applyFont="1"/>
    <xf numFmtId="164" fontId="2" fillId="0" borderId="0" xfId="0" applyNumberFormat="1" applyFont="1"/>
    <xf numFmtId="0" fontId="7" fillId="0" borderId="0" xfId="0" applyFont="1"/>
    <xf numFmtId="14" fontId="3" fillId="0" borderId="0" xfId="0" applyNumberFormat="1" applyFont="1"/>
    <xf numFmtId="14" fontId="7" fillId="3" borderId="20" xfId="0" applyNumberFormat="1" applyFont="1" applyFill="1" applyBorder="1"/>
    <xf numFmtId="49" fontId="5" fillId="0" borderId="5" xfId="6" applyNumberFormat="1"/>
    <xf numFmtId="49" fontId="0" fillId="0" borderId="0" xfId="0" applyNumberFormat="1"/>
    <xf numFmtId="49" fontId="2" fillId="0" borderId="0" xfId="0" applyNumberFormat="1" applyFont="1"/>
    <xf numFmtId="172" fontId="3" fillId="0" borderId="0" xfId="0" applyNumberFormat="1" applyFont="1"/>
    <xf numFmtId="172" fontId="0" fillId="0" borderId="0" xfId="0" applyNumberFormat="1"/>
    <xf numFmtId="172" fontId="0" fillId="0" borderId="26" xfId="0" applyNumberFormat="1" applyBorder="1"/>
    <xf numFmtId="172" fontId="0" fillId="0" borderId="27" xfId="0" applyNumberFormat="1" applyBorder="1"/>
    <xf numFmtId="173" fontId="2" fillId="0" borderId="0" xfId="8" applyNumberFormat="1"/>
    <xf numFmtId="172" fontId="0" fillId="0" borderId="32" xfId="0" applyNumberFormat="1" applyBorder="1"/>
    <xf numFmtId="0" fontId="0" fillId="0" borderId="31" xfId="0" applyBorder="1"/>
    <xf numFmtId="0" fontId="2" fillId="3" borderId="0" xfId="8" quotePrefix="1" applyFill="1" applyAlignment="1">
      <alignment horizontal="left" vertical="top" wrapText="1"/>
    </xf>
    <xf numFmtId="0" fontId="2" fillId="3" borderId="0" xfId="8" applyFill="1" applyAlignment="1">
      <alignment horizontal="left" vertical="top"/>
    </xf>
    <xf numFmtId="0" fontId="7" fillId="6" borderId="0" xfId="8" applyFont="1" applyFill="1" applyAlignment="1">
      <alignment horizontal="center"/>
    </xf>
    <xf numFmtId="0" fontId="7" fillId="3" borderId="0" xfId="8" applyFont="1" applyFill="1" applyAlignment="1">
      <alignment horizontal="center"/>
    </xf>
    <xf numFmtId="0" fontId="0" fillId="3" borderId="0" xfId="0" quotePrefix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4" fillId="0" borderId="4" xfId="5" applyAlignment="1">
      <alignment horizontal="center"/>
    </xf>
    <xf numFmtId="2" fontId="0" fillId="0" borderId="0" xfId="0" applyNumberFormat="1"/>
    <xf numFmtId="2" fontId="7" fillId="3" borderId="0" xfId="0" applyNumberFormat="1" applyFont="1" applyFill="1"/>
    <xf numFmtId="8" fontId="0" fillId="0" borderId="31" xfId="0" applyNumberFormat="1" applyBorder="1"/>
  </cellXfs>
  <cellStyles count="13">
    <cellStyle name="Colore 1" xfId="7" builtinId="29"/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2" xr:uid="{AABE2ED2-6E30-451E-AC5F-CB9F262C13E8}"/>
    <cellStyle name="Migliaia 2" xfId="11" xr:uid="{D537F2D8-156A-42A0-B293-31B6E89567B2}"/>
    <cellStyle name="Normale" xfId="0" builtinId="0"/>
    <cellStyle name="Normale 2" xfId="8" xr:uid="{3D179E92-2E47-43E0-9810-C609F7774ECE}"/>
    <cellStyle name="Normale 3" xfId="10" xr:uid="{AF7621DB-C5E8-4E70-88F1-034C3F00C02E}"/>
    <cellStyle name="Titolo 1" xfId="5" builtinId="16"/>
    <cellStyle name="Titolo 2" xfId="6" builtinId="17"/>
    <cellStyle name="Valuta 2" xfId="9" xr:uid="{207091F5-721C-455F-B370-D6B4AD03B231}"/>
    <cellStyle name="Valuta_gestione clienti(out)-1" xfId="4" xr:uid="{00000000-0005-0000-0000-000006000000}"/>
  </cellStyles>
  <dxfs count="1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/>
      </font>
      <fill>
        <patternFill>
          <bgColor theme="4" tint="0.79998168889431442"/>
        </patternFill>
      </fill>
    </dxf>
    <dxf>
      <numFmt numFmtId="164" formatCode="_-&quot;€&quot;\ * #,##0.00_-;\-&quot;€&quot;\ * #,##0.00_-;_-&quot;€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indexed="4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DISTRIBUZIONE</a:t>
            </a:r>
            <a:r>
              <a:rPr lang="en-US" baseline="0"/>
              <a:t> PREMIO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'Grafico Torta'!$C$1</c:f>
              <c:strCache>
                <c:ptCount val="1"/>
                <c:pt idx="0">
                  <c:v>Premio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539-9B4D-85BB-64A9C5A75A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539-9B4D-85BB-64A9C5A75A3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539-9B4D-85BB-64A9C5A75A3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539-9B4D-85BB-64A9C5A75A3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539-9B4D-85BB-64A9C5A75A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'Grafico Torta'!$A$2:$A$6</c:f>
              <c:strCache>
                <c:ptCount val="5"/>
                <c:pt idx="0">
                  <c:v>Agente</c:v>
                </c:pt>
                <c:pt idx="1">
                  <c:v>Agente</c:v>
                </c:pt>
                <c:pt idx="2">
                  <c:v>Agente</c:v>
                </c:pt>
                <c:pt idx="3">
                  <c:v>Agente</c:v>
                </c:pt>
                <c:pt idx="4">
                  <c:v>Agente</c:v>
                </c:pt>
              </c:strCache>
            </c:strRef>
          </c:cat>
          <c:val>
            <c:numRef>
              <c:f>'Grafico Torta'!$C$2:$C$6</c:f>
              <c:numCache>
                <c:formatCode>"€"\ #,##0.00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D-ED44-B664-3BB6BC413A4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'Grafico Torta'!$B$1</c:f>
              <c:strCache>
                <c:ptCount val="1"/>
                <c:pt idx="0">
                  <c:v>Importo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Torta'!$A$2:$A$6</c:f>
              <c:strCache>
                <c:ptCount val="5"/>
                <c:pt idx="0">
                  <c:v>Agente</c:v>
                </c:pt>
                <c:pt idx="1">
                  <c:v>Agente</c:v>
                </c:pt>
                <c:pt idx="2">
                  <c:v>Agente</c:v>
                </c:pt>
                <c:pt idx="3">
                  <c:v>Agente</c:v>
                </c:pt>
                <c:pt idx="4">
                  <c:v>Agente</c:v>
                </c:pt>
              </c:strCache>
            </c:strRef>
          </c:cat>
          <c:val>
            <c:numRef>
              <c:f>'Grafico Torta'!$B$2:$B$6</c:f>
              <c:numCache>
                <c:formatCode>"€"\ #,##0.00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580</c:v>
                </c:pt>
                <c:pt idx="3">
                  <c:v>1168</c:v>
                </c:pt>
                <c:pt idx="4">
                  <c:v>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A-1940-9641-C001FCC08B61}"/>
            </c:ext>
          </c:extLst>
        </c:ser>
        <c:ser>
          <c:idx val="1"/>
          <c:order val="1"/>
          <c:tx>
            <c:strRef>
              <c:f>'Grafico Torta'!$C$1</c:f>
              <c:strCache>
                <c:ptCount val="1"/>
                <c:pt idx="0">
                  <c:v>Premio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Torta'!$A$2:$A$6</c:f>
              <c:strCache>
                <c:ptCount val="5"/>
                <c:pt idx="0">
                  <c:v>Agente</c:v>
                </c:pt>
                <c:pt idx="1">
                  <c:v>Agente</c:v>
                </c:pt>
                <c:pt idx="2">
                  <c:v>Agente</c:v>
                </c:pt>
                <c:pt idx="3">
                  <c:v>Agente</c:v>
                </c:pt>
                <c:pt idx="4">
                  <c:v>Agente</c:v>
                </c:pt>
              </c:strCache>
            </c:strRef>
          </c:cat>
          <c:val>
            <c:numRef>
              <c:f>'Grafico Torta'!$C$2:$C$6</c:f>
              <c:numCache>
                <c:formatCode>"€"\ #,##0.00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EA-1940-9641-C001FCC08B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2559632"/>
        <c:axId val="589789344"/>
      </c:lineChart>
      <c:catAx>
        <c:axId val="58255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9789344"/>
        <c:crosses val="autoZero"/>
        <c:auto val="1"/>
        <c:lblAlgn val="ctr"/>
        <c:lblOffset val="100"/>
        <c:noMultiLvlLbl val="0"/>
      </c:catAx>
      <c:valAx>
        <c:axId val="589789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crossAx val="58255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 PRIMO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'Grafico Torta'!$B$1</c:f>
              <c:strCache>
                <c:ptCount val="1"/>
                <c:pt idx="0">
                  <c:v>Importo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Torta'!$A$2:$A$6</c:f>
              <c:strCache>
                <c:ptCount val="5"/>
                <c:pt idx="0">
                  <c:v>Agente</c:v>
                </c:pt>
                <c:pt idx="1">
                  <c:v>Agente</c:v>
                </c:pt>
                <c:pt idx="2">
                  <c:v>Agente</c:v>
                </c:pt>
                <c:pt idx="3">
                  <c:v>Agente</c:v>
                </c:pt>
                <c:pt idx="4">
                  <c:v>Agente</c:v>
                </c:pt>
              </c:strCache>
            </c:strRef>
          </c:cat>
          <c:val>
            <c:numRef>
              <c:f>'Grafico Torta'!$B$2:$B$6</c:f>
              <c:numCache>
                <c:formatCode>"€"\ #,##0.00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580</c:v>
                </c:pt>
                <c:pt idx="3">
                  <c:v>1168</c:v>
                </c:pt>
                <c:pt idx="4">
                  <c:v>2647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7A-DC4F-A13B-95162B51A33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91832192"/>
        <c:axId val="591833920"/>
      </c:barChart>
      <c:catAx>
        <c:axId val="591832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1833920"/>
        <c:crosses val="autoZero"/>
        <c:auto val="1"/>
        <c:lblAlgn val="ctr"/>
        <c:lblOffset val="100"/>
        <c:noMultiLvlLbl val="0"/>
      </c:catAx>
      <c:valAx>
        <c:axId val="5918339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183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127000</xdr:rowOff>
    </xdr:from>
    <xdr:to>
      <xdr:col>4</xdr:col>
      <xdr:colOff>88900</xdr:colOff>
      <xdr:row>38</xdr:row>
      <xdr:rowOff>88900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493352F-C7DB-C1F8-7FA7-ECD8FEE5F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40</xdr:row>
      <xdr:rowOff>38100</xdr:rowOff>
    </xdr:from>
    <xdr:to>
      <xdr:col>6</xdr:col>
      <xdr:colOff>304800</xdr:colOff>
      <xdr:row>60</xdr:row>
      <xdr:rowOff>12700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610AC028-EB45-A690-AC5C-620C57B9CE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330200</xdr:colOff>
      <xdr:row>6</xdr:row>
      <xdr:rowOff>88900</xdr:rowOff>
    </xdr:from>
    <xdr:to>
      <xdr:col>11</xdr:col>
      <xdr:colOff>190500</xdr:colOff>
      <xdr:row>23</xdr:row>
      <xdr:rowOff>25400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5543AA6F-290D-5B76-300C-6E385A98D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6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19BA90-73C7-4C17-BB64-5E1776A6710A}" name="Tabella2" displayName="Tabella2" ref="B3:D10" totalsRowShown="0" headerRowDxfId="12" headerRowBorderDxfId="11" tableBorderDxfId="10">
  <autoFilter ref="B3:D10" xr:uid="{00000000-0009-0000-0100-000002000000}"/>
  <tableColumns count="3">
    <tableColumn id="1" xr3:uid="{00000000-0010-0000-0000-000001000000}" name="Nome " dataDxfId="9"/>
    <tableColumn id="2" xr3:uid="{00000000-0010-0000-0000-000002000000}" name="Punteggio"/>
    <tableColumn id="3" xr3:uid="{00000000-0010-0000-0000-000003000000}" name="ESITO" dataDxfId="8">
      <calculatedColumnFormula array="1">VLOOKUP(Tabella2[Punteggio],$F$3:H6,2,FALSE)</calculatedColumnFormula>
    </tableColumn>
  </tableColumns>
  <tableStyleInfo name="TableStyleLight10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4F3F22-7C20-4EC8-9586-0FC61EEE12AF}" name="spesemese" displayName="spesemese" ref="C3:D16" totalsRowCount="1" headerRowDxfId="7">
  <autoFilter ref="C3:D15" xr:uid="{00000000-0009-0000-0100-000001000000}"/>
  <tableColumns count="2">
    <tableColumn id="1" xr3:uid="{00000000-0010-0000-0100-000001000000}" name="MESE" totalsRowLabel="Totale" dataDxfId="6" totalsRowCellStyle="Normale 2"/>
    <tableColumn id="2" xr3:uid="{00000000-0010-0000-0100-000002000000}" name="SPESA" totalsRowFunction="sum" dataDxfId="5" totalsRowDxfId="4" totalsRowCellStyle="Normale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G340"/>
  <sheetViews>
    <sheetView zoomScale="90" zoomScaleNormal="90" workbookViewId="0">
      <pane ySplit="4" topLeftCell="A5" activePane="bottomLeft" state="frozen"/>
      <selection pane="bottomLeft" activeCell="D4" sqref="D4"/>
    </sheetView>
  </sheetViews>
  <sheetFormatPr baseColWidth="10" defaultColWidth="8.83203125" defaultRowHeight="13" x14ac:dyDescent="0.15"/>
  <cols>
    <col min="1" max="1" width="41.1640625" style="10" bestFit="1" customWidth="1"/>
    <col min="2" max="2" width="54.5" style="10" bestFit="1" customWidth="1"/>
    <col min="3" max="3" width="15.5" style="28" bestFit="1" customWidth="1"/>
    <col min="4" max="4" width="11.83203125" style="29" bestFit="1" customWidth="1"/>
    <col min="5" max="5" width="47.83203125" style="10" bestFit="1" customWidth="1"/>
    <col min="6" max="6" width="5.5" style="10" customWidth="1"/>
    <col min="7" max="7" width="14.83203125" style="10" customWidth="1"/>
    <col min="8" max="16384" width="8.83203125" style="10"/>
  </cols>
  <sheetData>
    <row r="1" spans="1:7" ht="84.5" customHeight="1" x14ac:dyDescent="0.15">
      <c r="A1" s="76" t="s">
        <v>646</v>
      </c>
      <c r="B1" s="77"/>
      <c r="C1" s="77"/>
      <c r="D1" s="77"/>
      <c r="E1" s="77"/>
      <c r="F1" s="77"/>
      <c r="G1" s="77"/>
    </row>
    <row r="3" spans="1:7" ht="14" thickBot="1" x14ac:dyDescent="0.2">
      <c r="A3" s="78" t="s">
        <v>645</v>
      </c>
      <c r="B3" s="78"/>
      <c r="C3" s="78"/>
      <c r="D3" s="78"/>
      <c r="E3" s="78"/>
    </row>
    <row r="4" spans="1:7" ht="14" thickBot="1" x14ac:dyDescent="0.2">
      <c r="A4" s="46" t="s">
        <v>146</v>
      </c>
      <c r="B4" s="46" t="s">
        <v>649</v>
      </c>
      <c r="C4" s="47" t="s">
        <v>650</v>
      </c>
      <c r="D4" s="48" t="s">
        <v>147</v>
      </c>
      <c r="E4" s="46" t="s">
        <v>651</v>
      </c>
      <c r="F4" s="30" t="s">
        <v>148</v>
      </c>
      <c r="G4" s="31">
        <v>0.2</v>
      </c>
    </row>
    <row r="5" spans="1:7" x14ac:dyDescent="0.15">
      <c r="A5" s="10" t="s">
        <v>149</v>
      </c>
      <c r="B5" s="10" t="s">
        <v>150</v>
      </c>
      <c r="C5" s="28">
        <v>281000</v>
      </c>
      <c r="E5" s="10" t="str">
        <f>CONCATENATE(A5," ",DOLLAR(C5))</f>
        <v>MON.SVGA 0,28 14" AOC 4VLR 281.000,00 €</v>
      </c>
      <c r="G5" s="73">
        <f>C5+C5*$H$4</f>
        <v>281000</v>
      </c>
    </row>
    <row r="6" spans="1:7" x14ac:dyDescent="0.15">
      <c r="A6" s="10" t="s">
        <v>151</v>
      </c>
      <c r="B6" s="10" t="s">
        <v>152</v>
      </c>
      <c r="C6" s="28">
        <v>323000</v>
      </c>
      <c r="E6" s="10" t="str">
        <f t="shared" ref="E6:E69" si="0">CONCATENATE(A6," ",DOLLAR(C6))</f>
        <v>MON.SVGA 0,28 15" AOC 5VLR 323.000,00 €</v>
      </c>
      <c r="G6" s="73">
        <f t="shared" ref="G6:G69" si="1">C6+C6*$H$4</f>
        <v>323000</v>
      </c>
    </row>
    <row r="7" spans="1:7" x14ac:dyDescent="0.15">
      <c r="A7" s="10" t="s">
        <v>153</v>
      </c>
      <c r="B7" s="10" t="s">
        <v>154</v>
      </c>
      <c r="C7" s="28">
        <v>344000</v>
      </c>
      <c r="E7" s="10" t="str">
        <f t="shared" si="0"/>
        <v>MON.SVGA 0,28 15" AOC 5NLR OSD 344.000,00 €</v>
      </c>
      <c r="G7" s="73">
        <f t="shared" si="1"/>
        <v>344000</v>
      </c>
    </row>
    <row r="8" spans="1:7" x14ac:dyDescent="0.15">
      <c r="A8" s="10" t="s">
        <v>155</v>
      </c>
      <c r="B8" s="10" t="s">
        <v>156</v>
      </c>
      <c r="C8" s="28">
        <v>361000</v>
      </c>
      <c r="E8" s="10" t="str">
        <f t="shared" si="0"/>
        <v>MON.SVGA 0,28 15" AOC 5GLR+ OSD 361.000,00 €</v>
      </c>
      <c r="G8" s="73">
        <f t="shared" si="1"/>
        <v>361000</v>
      </c>
    </row>
    <row r="9" spans="1:7" x14ac:dyDescent="0.15">
      <c r="A9" s="10" t="s">
        <v>157</v>
      </c>
      <c r="B9" s="10" t="s">
        <v>158</v>
      </c>
      <c r="C9" s="28">
        <v>521000</v>
      </c>
      <c r="E9" s="10" t="str">
        <f t="shared" si="0"/>
        <v>MON. 15" 0.23 CM500ET HITACHI 521.000,00 €</v>
      </c>
      <c r="G9" s="73">
        <f t="shared" si="1"/>
        <v>521000</v>
      </c>
    </row>
    <row r="10" spans="1:7" x14ac:dyDescent="0.15">
      <c r="A10" s="10" t="s">
        <v>159</v>
      </c>
      <c r="B10" s="10" t="s">
        <v>160</v>
      </c>
      <c r="C10" s="28">
        <v>527000</v>
      </c>
      <c r="E10" s="10" t="str">
        <f t="shared" si="0"/>
        <v>MON. 15" 0.28 A500 NEC 527.000,00 €</v>
      </c>
      <c r="G10" s="73">
        <f t="shared" si="1"/>
        <v>527000</v>
      </c>
    </row>
    <row r="11" spans="1:7" x14ac:dyDescent="0.15">
      <c r="A11" s="10" t="s">
        <v>161</v>
      </c>
      <c r="B11" s="10" t="s">
        <v>162</v>
      </c>
      <c r="C11" s="28">
        <v>626000</v>
      </c>
      <c r="E11" s="10" t="str">
        <f t="shared" si="0"/>
        <v>MON.SVGA 0,28 17" AOC 7VLR 626.000,00 €</v>
      </c>
      <c r="G11" s="73">
        <f t="shared" si="1"/>
        <v>626000</v>
      </c>
    </row>
    <row r="12" spans="1:7" x14ac:dyDescent="0.15">
      <c r="A12" s="10" t="s">
        <v>163</v>
      </c>
      <c r="B12" s="10" t="s">
        <v>164</v>
      </c>
      <c r="C12" s="28">
        <v>656000</v>
      </c>
      <c r="E12" s="10" t="str">
        <f t="shared" si="0"/>
        <v>MON. 15" 0.25 E500 NEC, Croma Clear 656.000,00 €</v>
      </c>
      <c r="G12" s="73">
        <f t="shared" si="1"/>
        <v>656000</v>
      </c>
    </row>
    <row r="13" spans="1:7" x14ac:dyDescent="0.15">
      <c r="A13" s="10" t="s">
        <v>165</v>
      </c>
      <c r="B13" s="10" t="s">
        <v>166</v>
      </c>
      <c r="C13" s="28">
        <v>666000</v>
      </c>
      <c r="E13" s="10" t="str">
        <f t="shared" si="0"/>
        <v>MON.SVGA 0,26 17" AOC 7GLR OSD 666.000,00 €</v>
      </c>
      <c r="G13" s="73">
        <f t="shared" si="1"/>
        <v>666000</v>
      </c>
    </row>
    <row r="14" spans="1:7" x14ac:dyDescent="0.15">
      <c r="A14" s="10" t="s">
        <v>167</v>
      </c>
      <c r="B14" s="10" t="s">
        <v>168</v>
      </c>
      <c r="C14" s="28">
        <v>882000</v>
      </c>
      <c r="E14" s="10" t="str">
        <f t="shared" si="0"/>
        <v>MON. 17" 0.28 A700 NEC 882.000,00 €</v>
      </c>
      <c r="G14" s="73">
        <f t="shared" si="1"/>
        <v>882000</v>
      </c>
    </row>
    <row r="15" spans="1:7" x14ac:dyDescent="0.15">
      <c r="A15" s="10" t="s">
        <v>169</v>
      </c>
      <c r="B15" s="10" t="s">
        <v>170</v>
      </c>
      <c r="C15" s="28">
        <v>1108000</v>
      </c>
      <c r="E15" s="10" t="str">
        <f t="shared" si="0"/>
        <v>MON. 17" 0.21 CM630ET HITACHI 1.108.000,00 €</v>
      </c>
      <c r="G15" s="73">
        <f t="shared" si="1"/>
        <v>1108000</v>
      </c>
    </row>
    <row r="16" spans="1:7" x14ac:dyDescent="0.15">
      <c r="A16" s="10" t="s">
        <v>171</v>
      </c>
      <c r="B16" s="10" t="s">
        <v>172</v>
      </c>
      <c r="C16" s="28">
        <v>1316000</v>
      </c>
      <c r="E16" s="10" t="str">
        <f t="shared" si="0"/>
        <v>MON. 17" 0.25 P750 NEC, Croma Clear 1.316.000,00 €</v>
      </c>
      <c r="G16" s="73">
        <f t="shared" si="1"/>
        <v>1316000</v>
      </c>
    </row>
    <row r="17" spans="1:7" x14ac:dyDescent="0.15">
      <c r="A17" s="10" t="s">
        <v>173</v>
      </c>
      <c r="B17" s="10" t="s">
        <v>174</v>
      </c>
      <c r="C17" s="28">
        <v>1594000</v>
      </c>
      <c r="E17" s="10" t="str">
        <f t="shared" si="0"/>
        <v>MON. 19" 0.22 CM751ET HITACHI 1.594.000,00 €</v>
      </c>
      <c r="G17" s="73">
        <f t="shared" si="1"/>
        <v>1594000</v>
      </c>
    </row>
    <row r="18" spans="1:7" x14ac:dyDescent="0.15">
      <c r="A18" s="10" t="s">
        <v>175</v>
      </c>
      <c r="B18" s="10" t="s">
        <v>176</v>
      </c>
      <c r="C18" s="28">
        <v>2719000</v>
      </c>
      <c r="E18" s="10" t="str">
        <f t="shared" si="0"/>
        <v>MON. 21" 0.21 CM802ETM HITACHI 2.719.000,00 €</v>
      </c>
      <c r="G18" s="73">
        <f t="shared" si="1"/>
        <v>2719000</v>
      </c>
    </row>
    <row r="19" spans="1:7" x14ac:dyDescent="0.15">
      <c r="A19" s="10" t="s">
        <v>177</v>
      </c>
      <c r="C19" s="32"/>
      <c r="E19" s="10" t="str">
        <f t="shared" si="0"/>
        <v>MONITOR  LCD 0,00 €</v>
      </c>
      <c r="G19" s="73">
        <f t="shared" si="1"/>
        <v>0</v>
      </c>
    </row>
    <row r="20" spans="1:7" x14ac:dyDescent="0.15">
      <c r="A20" s="10" t="s">
        <v>178</v>
      </c>
      <c r="B20" s="10" t="s">
        <v>179</v>
      </c>
      <c r="C20" s="28">
        <v>4092000</v>
      </c>
      <c r="E20" s="10" t="str">
        <f t="shared" si="0"/>
        <v>MON. 14" LCD 0.28 LCD400V NEC 4.092.000,00 €</v>
      </c>
      <c r="G20" s="73">
        <f t="shared" si="1"/>
        <v>4092000</v>
      </c>
    </row>
    <row r="21" spans="1:7" x14ac:dyDescent="0.15">
      <c r="A21" s="10" t="s">
        <v>180</v>
      </c>
      <c r="B21" s="10" t="s">
        <v>181</v>
      </c>
      <c r="C21" s="28">
        <v>13859000</v>
      </c>
      <c r="E21" s="10" t="str">
        <f t="shared" si="0"/>
        <v>MON. 20" LCD 0.31 LCD2000sf NEC 13.859.000,00 €</v>
      </c>
      <c r="G21" s="73">
        <f t="shared" si="1"/>
        <v>13859000</v>
      </c>
    </row>
    <row r="22" spans="1:7" x14ac:dyDescent="0.15">
      <c r="A22" s="10" t="s">
        <v>182</v>
      </c>
      <c r="C22" s="32"/>
      <c r="E22" s="10" t="str">
        <f t="shared" si="0"/>
        <v>SCHEDE MADRI 0,00 €</v>
      </c>
      <c r="G22" s="73">
        <f t="shared" si="1"/>
        <v>0</v>
      </c>
    </row>
    <row r="23" spans="1:7" x14ac:dyDescent="0.15">
      <c r="A23" s="10" t="s">
        <v>183</v>
      </c>
      <c r="B23" s="10" t="s">
        <v>184</v>
      </c>
      <c r="C23" s="28">
        <v>167000</v>
      </c>
      <c r="E23" s="10" t="str">
        <f t="shared" si="0"/>
        <v>M/B ASUS SP97-V SVGA SHARE MEMORY 167.000,00 €</v>
      </c>
      <c r="G23" s="73">
        <f t="shared" si="1"/>
        <v>167000</v>
      </c>
    </row>
    <row r="24" spans="1:7" x14ac:dyDescent="0.15">
      <c r="A24" s="10" t="s">
        <v>185</v>
      </c>
      <c r="B24" s="10" t="s">
        <v>186</v>
      </c>
      <c r="C24" s="28">
        <v>202000</v>
      </c>
      <c r="E24" s="10" t="str">
        <f t="shared" si="0"/>
        <v>M/B ASUS TXP4 202.000,00 €</v>
      </c>
      <c r="G24" s="73">
        <f t="shared" si="1"/>
        <v>202000</v>
      </c>
    </row>
    <row r="25" spans="1:7" x14ac:dyDescent="0.15">
      <c r="A25" s="10" t="s">
        <v>187</v>
      </c>
      <c r="B25" s="10" t="s">
        <v>188</v>
      </c>
      <c r="C25" s="28">
        <v>203000</v>
      </c>
      <c r="E25" s="10" t="str">
        <f t="shared" si="0"/>
        <v>M/B ASUS SP98AGP-X ATX 203.000,00 €</v>
      </c>
      <c r="G25" s="73">
        <f t="shared" si="1"/>
        <v>203000</v>
      </c>
    </row>
    <row r="26" spans="1:7" x14ac:dyDescent="0.15">
      <c r="A26" s="10" t="s">
        <v>189</v>
      </c>
      <c r="B26" s="10" t="s">
        <v>186</v>
      </c>
      <c r="C26" s="28">
        <v>234000</v>
      </c>
      <c r="E26" s="10" t="str">
        <f t="shared" si="0"/>
        <v>M/B ASUS TX-97 - E  234.000,00 €</v>
      </c>
      <c r="G26" s="73">
        <f t="shared" si="1"/>
        <v>234000</v>
      </c>
    </row>
    <row r="27" spans="1:7" x14ac:dyDescent="0.15">
      <c r="A27" s="10" t="s">
        <v>190</v>
      </c>
      <c r="B27" s="10" t="s">
        <v>191</v>
      </c>
      <c r="C27" s="28">
        <v>252000</v>
      </c>
      <c r="E27" s="10" t="str">
        <f t="shared" si="0"/>
        <v>M/B ASUS TX-97  252.000,00 €</v>
      </c>
      <c r="G27" s="73">
        <f t="shared" si="1"/>
        <v>252000</v>
      </c>
    </row>
    <row r="28" spans="1:7" x14ac:dyDescent="0.15">
      <c r="A28" s="10" t="s">
        <v>192</v>
      </c>
      <c r="B28" s="10" t="s">
        <v>186</v>
      </c>
      <c r="C28" s="28">
        <v>259000</v>
      </c>
      <c r="E28" s="10" t="str">
        <f t="shared" si="0"/>
        <v>M/B ASUS TX-97 - XE ATX NO AUDIO 259.000,00 €</v>
      </c>
      <c r="G28" s="73">
        <f t="shared" si="1"/>
        <v>259000</v>
      </c>
    </row>
    <row r="29" spans="1:7" x14ac:dyDescent="0.15">
      <c r="A29" s="10" t="s">
        <v>193</v>
      </c>
      <c r="B29" s="10" t="s">
        <v>194</v>
      </c>
      <c r="C29" s="28">
        <v>269000</v>
      </c>
      <c r="E29" s="10" t="str">
        <f t="shared" si="0"/>
        <v>M/B ASUS P2L97-B 269.000,00 €</v>
      </c>
      <c r="G29" s="73">
        <f t="shared" si="1"/>
        <v>269000</v>
      </c>
    </row>
    <row r="30" spans="1:7" x14ac:dyDescent="0.15">
      <c r="A30" s="10" t="s">
        <v>195</v>
      </c>
      <c r="B30" s="10" t="s">
        <v>196</v>
      </c>
      <c r="C30" s="28">
        <v>271000</v>
      </c>
      <c r="E30" s="10" t="str">
        <f t="shared" si="0"/>
        <v>M/B ASUS  P55T2P4 430HX 512K P5 271.000,00 €</v>
      </c>
      <c r="G30" s="73">
        <f t="shared" si="1"/>
        <v>271000</v>
      </c>
    </row>
    <row r="31" spans="1:7" x14ac:dyDescent="0.15">
      <c r="A31" s="10" t="s">
        <v>197</v>
      </c>
      <c r="B31" s="10" t="s">
        <v>198</v>
      </c>
      <c r="C31" s="28">
        <v>292000</v>
      </c>
      <c r="E31" s="10" t="str">
        <f t="shared" si="0"/>
        <v>M/B ASUS P2L97 ATX 292.000,00 €</v>
      </c>
      <c r="G31" s="73">
        <f t="shared" si="1"/>
        <v>292000</v>
      </c>
    </row>
    <row r="32" spans="1:7" x14ac:dyDescent="0.15">
      <c r="A32" s="10" t="s">
        <v>199</v>
      </c>
      <c r="B32" s="10" t="s">
        <v>200</v>
      </c>
      <c r="C32" s="28">
        <v>293000</v>
      </c>
      <c r="E32" s="10" t="str">
        <f t="shared" si="0"/>
        <v>M/B ASUS XP55T2P4 512K ATX P5 293.000,00 €</v>
      </c>
      <c r="G32" s="73">
        <f t="shared" si="1"/>
        <v>293000</v>
      </c>
    </row>
    <row r="33" spans="1:7" x14ac:dyDescent="0.15">
      <c r="A33" s="10" t="s">
        <v>201</v>
      </c>
      <c r="B33" s="10" t="s">
        <v>186</v>
      </c>
      <c r="C33" s="28">
        <v>307000</v>
      </c>
      <c r="E33" s="10" t="str">
        <f t="shared" si="0"/>
        <v>M/B ASUS TX-97 -XE ATX -CREATIVE VIBRA16 307.000,00 €</v>
      </c>
      <c r="G33" s="73">
        <f t="shared" si="1"/>
        <v>307000</v>
      </c>
    </row>
    <row r="34" spans="1:7" x14ac:dyDescent="0.15">
      <c r="A34" s="10" t="s">
        <v>202</v>
      </c>
      <c r="B34" s="10" t="s">
        <v>203</v>
      </c>
      <c r="C34" s="28">
        <v>440000</v>
      </c>
      <c r="E34" s="10" t="str">
        <f t="shared" si="0"/>
        <v>M/B ASUS P2L97-A ATX+VGA AGP 4MB 440.000,00 €</v>
      </c>
      <c r="G34" s="73">
        <f t="shared" si="1"/>
        <v>440000</v>
      </c>
    </row>
    <row r="35" spans="1:7" x14ac:dyDescent="0.15">
      <c r="A35" s="10" t="s">
        <v>204</v>
      </c>
      <c r="B35" s="10" t="s">
        <v>205</v>
      </c>
      <c r="C35" s="28">
        <v>487000</v>
      </c>
      <c r="E35" s="10" t="str">
        <f t="shared" si="0"/>
        <v>M/B ASUS P2L97-S ADAPTEC ATX 487.000,00 €</v>
      </c>
      <c r="G35" s="73">
        <f t="shared" si="1"/>
        <v>487000</v>
      </c>
    </row>
    <row r="36" spans="1:7" x14ac:dyDescent="0.15">
      <c r="A36" s="10" t="s">
        <v>206</v>
      </c>
      <c r="B36" s="10" t="s">
        <v>207</v>
      </c>
      <c r="C36" s="28">
        <v>566000</v>
      </c>
      <c r="E36" s="10" t="str">
        <f t="shared" si="0"/>
        <v>M/B ASUS P65UP5+P55T2D 512K DUAL P5 566.000,00 €</v>
      </c>
      <c r="G36" s="73">
        <f t="shared" si="1"/>
        <v>566000</v>
      </c>
    </row>
    <row r="37" spans="1:7" x14ac:dyDescent="0.15">
      <c r="A37" s="10" t="s">
        <v>208</v>
      </c>
      <c r="B37" s="10" t="s">
        <v>205</v>
      </c>
      <c r="C37" s="28">
        <v>802000</v>
      </c>
      <c r="E37" s="10" t="str">
        <f t="shared" si="0"/>
        <v>M/B ASUS P2L97-DS DUAL P II 802.000,00 €</v>
      </c>
      <c r="G37" s="73">
        <f t="shared" si="1"/>
        <v>802000</v>
      </c>
    </row>
    <row r="38" spans="1:7" x14ac:dyDescent="0.15">
      <c r="A38" s="10" t="s">
        <v>209</v>
      </c>
      <c r="B38" s="10" t="s">
        <v>210</v>
      </c>
      <c r="C38" s="28">
        <v>1579000</v>
      </c>
      <c r="E38" s="10" t="str">
        <f t="shared" si="0"/>
        <v>M/B ASUS P65UP8+PKND DUAL PII 1.579.000,00 €</v>
      </c>
      <c r="G38" s="73">
        <f t="shared" si="1"/>
        <v>1579000</v>
      </c>
    </row>
    <row r="39" spans="1:7" x14ac:dyDescent="0.15">
      <c r="A39" s="10" t="s">
        <v>211</v>
      </c>
      <c r="C39" s="32"/>
      <c r="E39" s="10" t="str">
        <f t="shared" si="0"/>
        <v>SCHEDE VIDEO 0,00 €</v>
      </c>
      <c r="G39" s="73">
        <f t="shared" si="1"/>
        <v>0</v>
      </c>
    </row>
    <row r="40" spans="1:7" x14ac:dyDescent="0.15">
      <c r="A40" s="10" t="s">
        <v>212</v>
      </c>
      <c r="B40" s="10" t="s">
        <v>213</v>
      </c>
      <c r="C40" s="28">
        <v>70000</v>
      </c>
      <c r="E40" s="10" t="str">
        <f t="shared" si="0"/>
        <v>SVGA S3 3D PRO VIRGE 2MB 70.000,00 €</v>
      </c>
      <c r="G40" s="73">
        <f t="shared" si="1"/>
        <v>70000</v>
      </c>
    </row>
    <row r="41" spans="1:7" x14ac:dyDescent="0.15">
      <c r="A41" s="10" t="s">
        <v>214</v>
      </c>
      <c r="B41" s="10" t="s">
        <v>215</v>
      </c>
      <c r="C41" s="28">
        <v>104000</v>
      </c>
      <c r="E41" s="10" t="str">
        <f t="shared" si="0"/>
        <v>CREATIVE ECLIPSE 4MB 104.000,00 €</v>
      </c>
      <c r="G41" s="73">
        <f t="shared" si="1"/>
        <v>104000</v>
      </c>
    </row>
    <row r="42" spans="1:7" x14ac:dyDescent="0.15">
      <c r="A42" s="10" t="s">
        <v>216</v>
      </c>
      <c r="B42" s="10" t="s">
        <v>217</v>
      </c>
      <c r="C42" s="28">
        <v>127000</v>
      </c>
      <c r="E42" s="10" t="str">
        <f t="shared" si="0"/>
        <v>ADD-ON MATROX m3D 4MB 127.000,00 €</v>
      </c>
      <c r="G42" s="73">
        <f t="shared" si="1"/>
        <v>127000</v>
      </c>
    </row>
    <row r="43" spans="1:7" x14ac:dyDescent="0.15">
      <c r="A43" s="10" t="s">
        <v>218</v>
      </c>
      <c r="B43" s="10" t="s">
        <v>219</v>
      </c>
      <c r="C43" s="28">
        <v>162000</v>
      </c>
      <c r="E43" s="10" t="str">
        <f t="shared" si="0"/>
        <v>ASUS 3DP-V264GT2 4MB TV-OUT 162.000,00 €</v>
      </c>
      <c r="G43" s="73">
        <f t="shared" si="1"/>
        <v>162000</v>
      </c>
    </row>
    <row r="44" spans="1:7" x14ac:dyDescent="0.15">
      <c r="A44" s="10" t="s">
        <v>220</v>
      </c>
      <c r="B44" s="10" t="s">
        <v>221</v>
      </c>
      <c r="C44" s="28">
        <v>179000</v>
      </c>
      <c r="E44" s="10" t="str">
        <f t="shared" si="0"/>
        <v>SVGA MYSTIQUE 220 "BULK" 4MB 179.000,00 €</v>
      </c>
      <c r="G44" s="73">
        <f t="shared" si="1"/>
        <v>179000</v>
      </c>
    </row>
    <row r="45" spans="1:7" x14ac:dyDescent="0.15">
      <c r="A45" s="10" t="s">
        <v>222</v>
      </c>
      <c r="B45" s="10" t="s">
        <v>223</v>
      </c>
      <c r="C45" s="28">
        <v>186000</v>
      </c>
      <c r="E45" s="10" t="str">
        <f t="shared" si="0"/>
        <v>ASUS 3DP-V385GX2 4MB TV-OUT  186.000,00 €</v>
      </c>
      <c r="G45" s="73">
        <f t="shared" si="1"/>
        <v>186000</v>
      </c>
    </row>
    <row r="46" spans="1:7" x14ac:dyDescent="0.15">
      <c r="A46" s="10" t="s">
        <v>224</v>
      </c>
      <c r="B46" s="10" t="s">
        <v>223</v>
      </c>
      <c r="C46" s="28">
        <v>186000</v>
      </c>
      <c r="E46" s="10" t="str">
        <f t="shared" si="0"/>
        <v>ASUS V385GX2 AGP 4MB TV-OUT 186.000,00 €</v>
      </c>
      <c r="G46" s="73">
        <f t="shared" si="1"/>
        <v>186000</v>
      </c>
    </row>
    <row r="47" spans="1:7" x14ac:dyDescent="0.15">
      <c r="A47" s="10" t="s">
        <v>225</v>
      </c>
      <c r="B47" s="10" t="s">
        <v>226</v>
      </c>
      <c r="C47" s="28">
        <v>203000</v>
      </c>
      <c r="E47" s="10" t="str">
        <f t="shared" si="0"/>
        <v>CREATIVE GRAPHIC EXXTREME 4MB 203.000,00 €</v>
      </c>
      <c r="G47" s="73">
        <f t="shared" si="1"/>
        <v>203000</v>
      </c>
    </row>
    <row r="48" spans="1:7" x14ac:dyDescent="0.15">
      <c r="A48" s="10" t="s">
        <v>227</v>
      </c>
      <c r="B48" s="10" t="s">
        <v>221</v>
      </c>
      <c r="C48" s="28">
        <v>212000</v>
      </c>
      <c r="E48" s="10" t="str">
        <f t="shared" si="0"/>
        <v>SVGA MYSTIQUE 220  4MB 212.000,00 €</v>
      </c>
      <c r="G48" s="73">
        <f t="shared" si="1"/>
        <v>212000</v>
      </c>
    </row>
    <row r="49" spans="1:7" x14ac:dyDescent="0.15">
      <c r="A49" s="10" t="s">
        <v>228</v>
      </c>
      <c r="B49" s="10" t="s">
        <v>229</v>
      </c>
      <c r="C49" s="28">
        <v>222000</v>
      </c>
      <c r="E49" s="10" t="str">
        <f t="shared" si="0"/>
        <v>SVGA ACC. 3D/FX VOODO RUSH 4MB 222.000,00 €</v>
      </c>
      <c r="G49" s="73">
        <f t="shared" si="1"/>
        <v>222000</v>
      </c>
    </row>
    <row r="50" spans="1:7" x14ac:dyDescent="0.15">
      <c r="A50" s="10" t="s">
        <v>230</v>
      </c>
      <c r="B50" s="10" t="s">
        <v>231</v>
      </c>
      <c r="C50" s="28">
        <v>245000</v>
      </c>
      <c r="E50" s="10" t="str">
        <f t="shared" si="0"/>
        <v>SVGA ACC. 3D/FX VOODO RUSH 6MB 245.000,00 €</v>
      </c>
      <c r="G50" s="73">
        <f t="shared" si="1"/>
        <v>245000</v>
      </c>
    </row>
    <row r="51" spans="1:7" x14ac:dyDescent="0.15">
      <c r="A51" s="10" t="s">
        <v>232</v>
      </c>
      <c r="B51" s="10" t="s">
        <v>233</v>
      </c>
      <c r="C51" s="28">
        <v>251000</v>
      </c>
      <c r="E51" s="10" t="str">
        <f t="shared" si="0"/>
        <v>RAINBOW R. TV 251.000,00 €</v>
      </c>
      <c r="G51" s="73">
        <f t="shared" si="1"/>
        <v>251000</v>
      </c>
    </row>
    <row r="52" spans="1:7" x14ac:dyDescent="0.15">
      <c r="A52" s="10" t="s">
        <v>234</v>
      </c>
      <c r="B52" s="10" t="s">
        <v>235</v>
      </c>
      <c r="C52" s="28">
        <v>257000</v>
      </c>
      <c r="E52" s="10" t="str">
        <f t="shared" si="0"/>
        <v>ASUS 3D EXPLORER AGP 4MB TV-OUT 257.000,00 €</v>
      </c>
      <c r="G52" s="73">
        <f t="shared" si="1"/>
        <v>257000</v>
      </c>
    </row>
    <row r="53" spans="1:7" x14ac:dyDescent="0.15">
      <c r="A53" s="10" t="s">
        <v>236</v>
      </c>
      <c r="B53" s="10" t="s">
        <v>235</v>
      </c>
      <c r="C53" s="28">
        <v>269000</v>
      </c>
      <c r="E53" s="10" t="str">
        <f t="shared" si="0"/>
        <v>ASUS 3D EXPLORER PCI 4MB TV-OUT 269.000,00 €</v>
      </c>
      <c r="G53" s="73">
        <f t="shared" si="1"/>
        <v>269000</v>
      </c>
    </row>
    <row r="54" spans="1:7" x14ac:dyDescent="0.15">
      <c r="A54" s="10" t="s">
        <v>237</v>
      </c>
      <c r="B54" s="10" t="s">
        <v>238</v>
      </c>
      <c r="C54" s="28">
        <v>314000</v>
      </c>
      <c r="E54" s="10" t="str">
        <f t="shared" si="0"/>
        <v>SVGA MILLENNIUM II 4MB "BULK" 314.000,00 €</v>
      </c>
      <c r="G54" s="73">
        <f t="shared" si="1"/>
        <v>314000</v>
      </c>
    </row>
    <row r="55" spans="1:7" x14ac:dyDescent="0.15">
      <c r="A55" s="10" t="s">
        <v>239</v>
      </c>
      <c r="B55" s="10" t="s">
        <v>240</v>
      </c>
      <c r="C55" s="28">
        <v>325000</v>
      </c>
      <c r="E55" s="10" t="str">
        <f t="shared" si="0"/>
        <v>SVGA MILLENNIUM II 4MB AGP 325.000,00 €</v>
      </c>
      <c r="G55" s="73">
        <f t="shared" si="1"/>
        <v>325000</v>
      </c>
    </row>
    <row r="56" spans="1:7" x14ac:dyDescent="0.15">
      <c r="A56" s="10" t="s">
        <v>241</v>
      </c>
      <c r="B56" s="10" t="s">
        <v>242</v>
      </c>
      <c r="C56" s="28">
        <v>347000</v>
      </c>
      <c r="E56" s="10" t="str">
        <f t="shared" si="0"/>
        <v>RAINBOW R. STUDIO 347.000,00 €</v>
      </c>
      <c r="G56" s="73">
        <f t="shared" si="1"/>
        <v>347000</v>
      </c>
    </row>
    <row r="57" spans="1:7" x14ac:dyDescent="0.15">
      <c r="A57" s="10" t="s">
        <v>243</v>
      </c>
      <c r="B57" s="10" t="s">
        <v>238</v>
      </c>
      <c r="C57" s="28">
        <v>369000</v>
      </c>
      <c r="E57" s="10" t="str">
        <f t="shared" si="0"/>
        <v>SVGA MILLENNIUM II 4MB 369.000,00 €</v>
      </c>
      <c r="G57" s="73">
        <f t="shared" si="1"/>
        <v>369000</v>
      </c>
    </row>
    <row r="58" spans="1:7" x14ac:dyDescent="0.15">
      <c r="A58" s="10" t="s">
        <v>244</v>
      </c>
      <c r="B58" s="10" t="s">
        <v>245</v>
      </c>
      <c r="C58" s="28">
        <v>402000</v>
      </c>
      <c r="E58" s="10" t="str">
        <f t="shared" si="0"/>
        <v>CREATIVE VOODO-2 8MB Add-on 402.000,00 €</v>
      </c>
      <c r="G58" s="73">
        <f t="shared" si="1"/>
        <v>402000</v>
      </c>
    </row>
    <row r="59" spans="1:7" x14ac:dyDescent="0.15">
      <c r="A59" s="10" t="s">
        <v>246</v>
      </c>
      <c r="B59" s="10" t="s">
        <v>238</v>
      </c>
      <c r="C59" s="28">
        <v>471000</v>
      </c>
      <c r="E59" s="10" t="str">
        <f t="shared" si="0"/>
        <v>SVGA MILLENNIUM II 8MB "BULK" 471.000,00 €</v>
      </c>
      <c r="G59" s="73">
        <f t="shared" si="1"/>
        <v>471000</v>
      </c>
    </row>
    <row r="60" spans="1:7" x14ac:dyDescent="0.15">
      <c r="A60" s="10" t="s">
        <v>247</v>
      </c>
      <c r="B60" s="10" t="s">
        <v>240</v>
      </c>
      <c r="C60" s="28">
        <v>476000</v>
      </c>
      <c r="E60" s="10" t="str">
        <f t="shared" si="0"/>
        <v>SVGA MILLENNIUM II 8MB AGP 476.000,00 €</v>
      </c>
      <c r="G60" s="73">
        <f t="shared" si="1"/>
        <v>476000</v>
      </c>
    </row>
    <row r="61" spans="1:7" x14ac:dyDescent="0.15">
      <c r="A61" s="10" t="s">
        <v>248</v>
      </c>
      <c r="B61" s="10" t="s">
        <v>245</v>
      </c>
      <c r="C61" s="28">
        <v>492000</v>
      </c>
      <c r="E61" s="10" t="str">
        <f t="shared" si="0"/>
        <v>CREATIVE VOODO-2 12MB Add-on 492.000,00 €</v>
      </c>
      <c r="G61" s="73">
        <f t="shared" si="1"/>
        <v>492000</v>
      </c>
    </row>
    <row r="62" spans="1:7" x14ac:dyDescent="0.15">
      <c r="A62" s="10" t="s">
        <v>249</v>
      </c>
      <c r="B62" s="10" t="s">
        <v>250</v>
      </c>
      <c r="C62" s="28">
        <v>531000</v>
      </c>
      <c r="E62" s="10" t="str">
        <f t="shared" si="0"/>
        <v>VIDEO &amp; GRAPHIC KIT 531.000,00 €</v>
      </c>
      <c r="G62" s="73">
        <f t="shared" si="1"/>
        <v>531000</v>
      </c>
    </row>
    <row r="63" spans="1:7" x14ac:dyDescent="0.15">
      <c r="A63" s="10" t="s">
        <v>251</v>
      </c>
      <c r="B63" s="10" t="s">
        <v>238</v>
      </c>
      <c r="C63" s="28">
        <v>552000</v>
      </c>
      <c r="E63" s="10" t="str">
        <f t="shared" si="0"/>
        <v>SVGA MILLENNIUM II 8MB 552.000,00 €</v>
      </c>
      <c r="G63" s="73">
        <f t="shared" si="1"/>
        <v>552000</v>
      </c>
    </row>
    <row r="64" spans="1:7" x14ac:dyDescent="0.15">
      <c r="A64" s="10" t="s">
        <v>252</v>
      </c>
      <c r="B64" s="10" t="s">
        <v>253</v>
      </c>
      <c r="C64" s="28">
        <v>1487000</v>
      </c>
      <c r="E64" s="10" t="str">
        <f t="shared" si="0"/>
        <v>ASUS 3DP- V500TX 16MB Work.Prof.3d 1.487.000,00 €</v>
      </c>
      <c r="G64" s="73">
        <f t="shared" si="1"/>
        <v>1487000</v>
      </c>
    </row>
    <row r="65" spans="1:7" x14ac:dyDescent="0.15">
      <c r="A65" s="10" t="s">
        <v>254</v>
      </c>
      <c r="C65" s="32"/>
      <c r="E65" s="10" t="str">
        <f t="shared" si="0"/>
        <v>SCHEDE I/O 0,00 €</v>
      </c>
      <c r="G65" s="73">
        <f t="shared" si="1"/>
        <v>0</v>
      </c>
    </row>
    <row r="66" spans="1:7" x14ac:dyDescent="0.15">
      <c r="A66" s="10" t="s">
        <v>255</v>
      </c>
      <c r="B66" s="10" t="s">
        <v>256</v>
      </c>
      <c r="C66" s="28">
        <v>101000</v>
      </c>
      <c r="E66" s="10" t="str">
        <f t="shared" si="0"/>
        <v>Contr. PCI SCSI 101.000,00 €</v>
      </c>
      <c r="G66" s="73">
        <f t="shared" si="1"/>
        <v>101000</v>
      </c>
    </row>
    <row r="67" spans="1:7" x14ac:dyDescent="0.15">
      <c r="A67" s="10" t="s">
        <v>257</v>
      </c>
      <c r="B67" s="10" t="s">
        <v>258</v>
      </c>
      <c r="C67" s="28">
        <v>38000</v>
      </c>
      <c r="E67" s="10" t="str">
        <f t="shared" si="0"/>
        <v>Contr. PCI EIDE 38.000,00 €</v>
      </c>
      <c r="G67" s="73">
        <f t="shared" si="1"/>
        <v>38000</v>
      </c>
    </row>
    <row r="68" spans="1:7" x14ac:dyDescent="0.15">
      <c r="A68" s="10" t="s">
        <v>259</v>
      </c>
      <c r="B68" s="10" t="s">
        <v>260</v>
      </c>
      <c r="C68" s="28">
        <v>137000</v>
      </c>
      <c r="E68" s="10" t="str">
        <f t="shared" si="0"/>
        <v>Contr. PCI SC200 SCSI-2 137.000,00 €</v>
      </c>
      <c r="G68" s="73">
        <f t="shared" si="1"/>
        <v>137000</v>
      </c>
    </row>
    <row r="69" spans="1:7" x14ac:dyDescent="0.15">
      <c r="A69" s="10" t="s">
        <v>261</v>
      </c>
      <c r="B69" s="10" t="s">
        <v>262</v>
      </c>
      <c r="C69" s="28">
        <v>222000</v>
      </c>
      <c r="E69" s="10" t="str">
        <f t="shared" si="0"/>
        <v>Contr. PCI SC875 Wide SCSI, SCSI-2 222.000,00 €</v>
      </c>
      <c r="G69" s="73">
        <f t="shared" si="1"/>
        <v>222000</v>
      </c>
    </row>
    <row r="70" spans="1:7" x14ac:dyDescent="0.15">
      <c r="A70" s="10" t="s">
        <v>263</v>
      </c>
      <c r="B70" s="10" t="s">
        <v>264</v>
      </c>
      <c r="C70" s="28">
        <v>501000</v>
      </c>
      <c r="E70" s="10" t="str">
        <f t="shared" ref="E70:E133" si="2">CONCATENATE(A70," ",DOLLAR(C70))</f>
        <v>Contr. PCI AHA 2940AU SCSI-2 501.000,00 €</v>
      </c>
      <c r="G70" s="73">
        <f t="shared" ref="G70:G133" si="3">C70+C70*$H$4</f>
        <v>501000</v>
      </c>
    </row>
    <row r="71" spans="1:7" x14ac:dyDescent="0.15">
      <c r="A71" s="10" t="s">
        <v>265</v>
      </c>
      <c r="B71" s="10" t="s">
        <v>266</v>
      </c>
      <c r="C71" s="28">
        <v>428000</v>
      </c>
      <c r="E71" s="10" t="str">
        <f t="shared" si="2"/>
        <v>Contr. PCI AHA 2940UW Wide SCSI OEM 428.000,00 €</v>
      </c>
      <c r="G71" s="73">
        <f t="shared" si="3"/>
        <v>428000</v>
      </c>
    </row>
    <row r="72" spans="1:7" x14ac:dyDescent="0.15">
      <c r="A72" s="10" t="s">
        <v>267</v>
      </c>
      <c r="B72" s="10" t="s">
        <v>268</v>
      </c>
      <c r="C72" s="28">
        <v>561000</v>
      </c>
      <c r="E72" s="10" t="str">
        <f t="shared" si="2"/>
        <v>Contr. PCI AHA 2940UW Wide SCSI 561.000,00 €</v>
      </c>
      <c r="G72" s="73">
        <f t="shared" si="3"/>
        <v>561000</v>
      </c>
    </row>
    <row r="73" spans="1:7" x14ac:dyDescent="0.15">
      <c r="A73" s="10" t="s">
        <v>269</v>
      </c>
      <c r="B73" s="10" t="s">
        <v>270</v>
      </c>
      <c r="C73" s="28">
        <v>1578000</v>
      </c>
      <c r="E73" s="10" t="str">
        <f t="shared" si="2"/>
        <v>Contr.PCI DA2100 Dual Wide SCSI 1.578.000,00 €</v>
      </c>
      <c r="G73" s="73">
        <f t="shared" si="3"/>
        <v>1578000</v>
      </c>
    </row>
    <row r="74" spans="1:7" x14ac:dyDescent="0.15">
      <c r="A74" s="10" t="s">
        <v>271</v>
      </c>
      <c r="B74" s="10" t="s">
        <v>272</v>
      </c>
      <c r="C74" s="28">
        <v>34000</v>
      </c>
      <c r="E74" s="10" t="str">
        <f t="shared" si="2"/>
        <v>Scheda 2 porte seriali, 1 porta parallela 34.000,00 €</v>
      </c>
      <c r="G74" s="73">
        <f t="shared" si="3"/>
        <v>34000</v>
      </c>
    </row>
    <row r="75" spans="1:7" x14ac:dyDescent="0.15">
      <c r="A75" s="10" t="s">
        <v>273</v>
      </c>
      <c r="B75" s="10" t="s">
        <v>274</v>
      </c>
      <c r="C75" s="28">
        <v>20000</v>
      </c>
      <c r="E75" s="10" t="str">
        <f t="shared" si="2"/>
        <v>Scheda singola seriale 20.000,00 €</v>
      </c>
      <c r="G75" s="73">
        <f t="shared" si="3"/>
        <v>20000</v>
      </c>
    </row>
    <row r="76" spans="1:7" x14ac:dyDescent="0.15">
      <c r="A76" s="10" t="s">
        <v>275</v>
      </c>
      <c r="B76" s="10" t="s">
        <v>274</v>
      </c>
      <c r="C76" s="28">
        <v>23000</v>
      </c>
      <c r="E76" s="10" t="str">
        <f t="shared" si="2"/>
        <v>Scheda doppia seriale 23.000,00 €</v>
      </c>
      <c r="G76" s="73">
        <f t="shared" si="3"/>
        <v>23000</v>
      </c>
    </row>
    <row r="77" spans="1:7" x14ac:dyDescent="0.15">
      <c r="A77" s="10" t="s">
        <v>276</v>
      </c>
      <c r="C77" s="28">
        <v>98000</v>
      </c>
      <c r="E77" s="10" t="str">
        <f t="shared" si="2"/>
        <v>Scheda 4 porte seriali 98.000,00 €</v>
      </c>
      <c r="G77" s="73">
        <f t="shared" si="3"/>
        <v>98000</v>
      </c>
    </row>
    <row r="78" spans="1:7" x14ac:dyDescent="0.15">
      <c r="A78" s="10" t="s">
        <v>277</v>
      </c>
      <c r="C78" s="28">
        <v>251000</v>
      </c>
      <c r="E78" s="10" t="str">
        <f t="shared" si="2"/>
        <v>Scheda 8 porte seriali 251.000,00 €</v>
      </c>
      <c r="G78" s="73">
        <f t="shared" si="3"/>
        <v>251000</v>
      </c>
    </row>
    <row r="79" spans="1:7" x14ac:dyDescent="0.15">
      <c r="A79" s="10" t="s">
        <v>278</v>
      </c>
      <c r="C79" s="28">
        <v>15000</v>
      </c>
      <c r="E79" s="10" t="str">
        <f t="shared" si="2"/>
        <v>Scheda singola parallela 15.000,00 €</v>
      </c>
      <c r="G79" s="73">
        <f t="shared" si="3"/>
        <v>15000</v>
      </c>
    </row>
    <row r="80" spans="1:7" x14ac:dyDescent="0.15">
      <c r="A80" s="10" t="s">
        <v>279</v>
      </c>
      <c r="C80" s="28">
        <v>14000</v>
      </c>
      <c r="E80" s="10" t="str">
        <f t="shared" si="2"/>
        <v>Scheda 2 porte joystick 14.000,00 €</v>
      </c>
      <c r="G80" s="73">
        <f t="shared" si="3"/>
        <v>14000</v>
      </c>
    </row>
    <row r="81" spans="1:7" x14ac:dyDescent="0.15">
      <c r="A81" s="10" t="s">
        <v>280</v>
      </c>
      <c r="C81" s="32"/>
      <c r="E81" s="10" t="str">
        <f t="shared" si="2"/>
        <v>HARD DISK 0,00 €</v>
      </c>
      <c r="G81" s="73">
        <f t="shared" si="3"/>
        <v>0</v>
      </c>
    </row>
    <row r="82" spans="1:7" x14ac:dyDescent="0.15">
      <c r="A82" s="10" t="s">
        <v>281</v>
      </c>
      <c r="B82" s="10" t="s">
        <v>282</v>
      </c>
      <c r="C82" s="28">
        <v>399000</v>
      </c>
      <c r="E82" s="10" t="str">
        <f t="shared" si="2"/>
        <v>HARD DISK 2.5"  2,1GB U.Dma 399.000,00 €</v>
      </c>
      <c r="G82" s="73">
        <f t="shared" si="3"/>
        <v>399000</v>
      </c>
    </row>
    <row r="83" spans="1:7" x14ac:dyDescent="0.15">
      <c r="A83" s="10" t="s">
        <v>283</v>
      </c>
      <c r="B83" s="10" t="s">
        <v>284</v>
      </c>
      <c r="C83" s="28">
        <v>259000</v>
      </c>
      <c r="E83" s="10" t="str">
        <f t="shared" si="2"/>
        <v>HD 2,1 GB Ultra DMA 5400rpm 259.000,00 €</v>
      </c>
      <c r="G83" s="73">
        <f t="shared" si="3"/>
        <v>259000</v>
      </c>
    </row>
    <row r="84" spans="1:7" x14ac:dyDescent="0.15">
      <c r="A84" s="10" t="s">
        <v>285</v>
      </c>
      <c r="B84" s="10" t="s">
        <v>284</v>
      </c>
      <c r="C84" s="28">
        <v>324000</v>
      </c>
      <c r="E84" s="10" t="str">
        <f t="shared" si="2"/>
        <v>HD 3,2 GB Ultra DMA 5400rpm 324.000,00 €</v>
      </c>
      <c r="G84" s="73">
        <f t="shared" si="3"/>
        <v>324000</v>
      </c>
    </row>
    <row r="85" spans="1:7" x14ac:dyDescent="0.15">
      <c r="A85" s="10" t="s">
        <v>286</v>
      </c>
      <c r="B85" s="10" t="s">
        <v>284</v>
      </c>
      <c r="C85" s="28">
        <v>378000</v>
      </c>
      <c r="E85" s="10" t="str">
        <f t="shared" si="2"/>
        <v>HD 4,3 GB Ultra DMA 5400rpm 378.000,00 €</v>
      </c>
      <c r="G85" s="73">
        <f t="shared" si="3"/>
        <v>378000</v>
      </c>
    </row>
    <row r="86" spans="1:7" x14ac:dyDescent="0.15">
      <c r="A86" s="10" t="s">
        <v>287</v>
      </c>
      <c r="B86" s="10" t="s">
        <v>284</v>
      </c>
      <c r="C86" s="28">
        <v>469000</v>
      </c>
      <c r="E86" s="10" t="str">
        <f t="shared" si="2"/>
        <v>HD 5,2 GB Ultra DMA 5400rpm 469.000,00 €</v>
      </c>
      <c r="G86" s="73">
        <f t="shared" si="3"/>
        <v>469000</v>
      </c>
    </row>
    <row r="87" spans="1:7" x14ac:dyDescent="0.15">
      <c r="A87" s="10" t="s">
        <v>288</v>
      </c>
      <c r="B87" s="10" t="s">
        <v>284</v>
      </c>
      <c r="C87" s="28">
        <v>556000</v>
      </c>
      <c r="E87" s="10" t="str">
        <f t="shared" si="2"/>
        <v>HD 6,4 GB Ultra DMA 5400rpm 556.000,00 €</v>
      </c>
      <c r="G87" s="73">
        <f t="shared" si="3"/>
        <v>556000</v>
      </c>
    </row>
    <row r="88" spans="1:7" x14ac:dyDescent="0.15">
      <c r="A88" s="10" t="s">
        <v>289</v>
      </c>
      <c r="B88" s="10" t="s">
        <v>290</v>
      </c>
      <c r="C88" s="28">
        <v>476000</v>
      </c>
      <c r="E88" s="10" t="str">
        <f t="shared" si="2"/>
        <v>HD 2 GB SCSI III 5400 rpm 476.000,00 €</v>
      </c>
      <c r="G88" s="73">
        <f t="shared" si="3"/>
        <v>476000</v>
      </c>
    </row>
    <row r="89" spans="1:7" x14ac:dyDescent="0.15">
      <c r="A89" s="10" t="s">
        <v>291</v>
      </c>
      <c r="B89" s="10" t="s">
        <v>290</v>
      </c>
      <c r="C89" s="28">
        <v>477000</v>
      </c>
      <c r="E89" s="10" t="str">
        <f t="shared" si="2"/>
        <v>HD 3,2 GB SCSI III 5400rpm 477.000,00 €</v>
      </c>
      <c r="G89" s="73">
        <f t="shared" si="3"/>
        <v>477000</v>
      </c>
    </row>
    <row r="90" spans="1:7" x14ac:dyDescent="0.15">
      <c r="A90" s="10" t="s">
        <v>292</v>
      </c>
      <c r="B90" s="10" t="s">
        <v>290</v>
      </c>
      <c r="C90" s="28">
        <v>556000</v>
      </c>
      <c r="E90" s="10" t="str">
        <f t="shared" si="2"/>
        <v>HD 4,3 GB SCSI 5400 rpm 556.000,00 €</v>
      </c>
      <c r="G90" s="73">
        <f t="shared" si="3"/>
        <v>556000</v>
      </c>
    </row>
    <row r="91" spans="1:7" x14ac:dyDescent="0.15">
      <c r="A91" s="10" t="s">
        <v>293</v>
      </c>
      <c r="B91" s="10" t="s">
        <v>294</v>
      </c>
      <c r="C91" s="28">
        <v>695000</v>
      </c>
      <c r="E91" s="10" t="str">
        <f t="shared" si="2"/>
        <v>HD 4,5 GB SCSI ULTRA WIDE 7200rpm 695.000,00 €</v>
      </c>
      <c r="G91" s="73">
        <f t="shared" si="3"/>
        <v>695000</v>
      </c>
    </row>
    <row r="92" spans="1:7" x14ac:dyDescent="0.15">
      <c r="A92" s="10" t="s">
        <v>295</v>
      </c>
      <c r="B92" s="10" t="s">
        <v>296</v>
      </c>
      <c r="C92" s="28">
        <v>1279000</v>
      </c>
      <c r="E92" s="10" t="str">
        <f t="shared" si="2"/>
        <v>HD 4,5 GB SCSI ULTRA WIDE 10.000rpm 1.279.000,00 €</v>
      </c>
      <c r="G92" s="73">
        <f t="shared" si="3"/>
        <v>1279000</v>
      </c>
    </row>
    <row r="93" spans="1:7" x14ac:dyDescent="0.15">
      <c r="A93" s="10" t="s">
        <v>297</v>
      </c>
      <c r="B93" s="10" t="s">
        <v>298</v>
      </c>
      <c r="C93" s="28">
        <v>35000</v>
      </c>
      <c r="E93" s="10" t="str">
        <f t="shared" si="2"/>
        <v>FDD 1,44MB 35.000,00 €</v>
      </c>
      <c r="G93" s="73">
        <f t="shared" si="3"/>
        <v>35000</v>
      </c>
    </row>
    <row r="94" spans="1:7" x14ac:dyDescent="0.15">
      <c r="A94" s="10" t="s">
        <v>299</v>
      </c>
      <c r="B94" s="10" t="s">
        <v>300</v>
      </c>
      <c r="C94" s="28">
        <v>175000</v>
      </c>
      <c r="E94" s="10" t="str">
        <f t="shared" si="2"/>
        <v>FLOPPY DRIVE 120MB 175.000,00 €</v>
      </c>
      <c r="G94" s="73">
        <f t="shared" si="3"/>
        <v>175000</v>
      </c>
    </row>
    <row r="95" spans="1:7" x14ac:dyDescent="0.15">
      <c r="A95" s="10" t="s">
        <v>301</v>
      </c>
      <c r="B95" s="10" t="s">
        <v>302</v>
      </c>
      <c r="C95" s="28">
        <v>272000</v>
      </c>
      <c r="E95" s="10" t="str">
        <f t="shared" si="2"/>
        <v>ZIP DRIVE 100MB PARALL. 272.000,00 €</v>
      </c>
      <c r="G95" s="73">
        <f t="shared" si="3"/>
        <v>272000</v>
      </c>
    </row>
    <row r="96" spans="1:7" x14ac:dyDescent="0.15">
      <c r="A96" s="10" t="s">
        <v>303</v>
      </c>
      <c r="B96" s="10" t="s">
        <v>302</v>
      </c>
      <c r="C96" s="28">
        <v>198000</v>
      </c>
      <c r="E96" s="10" t="str">
        <f t="shared" si="2"/>
        <v>ZIP ATAPI 100MB INTERNO 198.000,00 €</v>
      </c>
      <c r="G96" s="73">
        <f t="shared" si="3"/>
        <v>198000</v>
      </c>
    </row>
    <row r="97" spans="1:7" x14ac:dyDescent="0.15">
      <c r="A97" s="10" t="s">
        <v>304</v>
      </c>
      <c r="B97" s="10" t="s">
        <v>302</v>
      </c>
      <c r="C97" s="28">
        <v>290000</v>
      </c>
      <c r="E97" s="10" t="str">
        <f t="shared" si="2"/>
        <v>ZIP DRIVE 100MB SCSI 290.000,00 €</v>
      </c>
      <c r="G97" s="73">
        <f t="shared" si="3"/>
        <v>290000</v>
      </c>
    </row>
    <row r="98" spans="1:7" x14ac:dyDescent="0.15">
      <c r="A98" s="10" t="s">
        <v>305</v>
      </c>
      <c r="B98" s="10" t="s">
        <v>302</v>
      </c>
      <c r="C98" s="28">
        <v>589000</v>
      </c>
      <c r="E98" s="10" t="str">
        <f t="shared" si="2"/>
        <v>JAZ DRIVE 1GB INT. 589.000,00 €</v>
      </c>
      <c r="G98" s="73">
        <f t="shared" si="3"/>
        <v>589000</v>
      </c>
    </row>
    <row r="99" spans="1:7" x14ac:dyDescent="0.15">
      <c r="A99" s="10" t="s">
        <v>306</v>
      </c>
      <c r="B99" s="10" t="s">
        <v>302</v>
      </c>
      <c r="C99" s="28">
        <v>743000</v>
      </c>
      <c r="E99" s="10" t="str">
        <f t="shared" si="2"/>
        <v>JAZ DRIVE 1GB EXT. 743.000,00 €</v>
      </c>
      <c r="G99" s="73">
        <f t="shared" si="3"/>
        <v>743000</v>
      </c>
    </row>
    <row r="100" spans="1:7" x14ac:dyDescent="0.15">
      <c r="A100" s="10" t="s">
        <v>307</v>
      </c>
      <c r="B100" s="10" t="s">
        <v>274</v>
      </c>
      <c r="C100" s="28">
        <v>271000</v>
      </c>
      <c r="E100" s="10" t="str">
        <f t="shared" si="2"/>
        <v>KIT 10  CARTUCCE ZIP DRIVE 271.000,00 €</v>
      </c>
      <c r="G100" s="73">
        <f t="shared" si="3"/>
        <v>271000</v>
      </c>
    </row>
    <row r="101" spans="1:7" x14ac:dyDescent="0.15">
      <c r="A101" s="10" t="s">
        <v>308</v>
      </c>
      <c r="B101" s="10" t="s">
        <v>274</v>
      </c>
      <c r="C101" s="28">
        <v>632000</v>
      </c>
      <c r="E101" s="10" t="str">
        <f t="shared" si="2"/>
        <v>KIT 3 CARTUCCE JAZ DRIVE 632.000,00 €</v>
      </c>
      <c r="G101" s="73">
        <f t="shared" si="3"/>
        <v>632000</v>
      </c>
    </row>
    <row r="102" spans="1:7" x14ac:dyDescent="0.15">
      <c r="A102" s="10" t="s">
        <v>309</v>
      </c>
      <c r="B102" s="10" t="s">
        <v>310</v>
      </c>
      <c r="C102" s="28">
        <v>90000</v>
      </c>
      <c r="E102" s="10" t="str">
        <f t="shared" si="2"/>
        <v>KIT 3 CARTUCCE 120MB 3M 90.000,00 €</v>
      </c>
      <c r="G102" s="73">
        <f t="shared" si="3"/>
        <v>90000</v>
      </c>
    </row>
    <row r="103" spans="1:7" x14ac:dyDescent="0.15">
      <c r="A103" s="10" t="s">
        <v>311</v>
      </c>
      <c r="B103" s="10" t="s">
        <v>312</v>
      </c>
      <c r="C103" s="28">
        <v>4000</v>
      </c>
      <c r="E103" s="10" t="str">
        <f t="shared" si="2"/>
        <v>FRAME HDD  4.000,00 €</v>
      </c>
      <c r="G103" s="73">
        <f t="shared" si="3"/>
        <v>4000</v>
      </c>
    </row>
    <row r="104" spans="1:7" x14ac:dyDescent="0.15">
      <c r="A104" s="10" t="s">
        <v>313</v>
      </c>
      <c r="B104" s="10" t="s">
        <v>314</v>
      </c>
      <c r="C104" s="28">
        <v>5000</v>
      </c>
      <c r="E104" s="10" t="str">
        <f t="shared" si="2"/>
        <v>FRAME FDD  5.000,00 €</v>
      </c>
      <c r="G104" s="73">
        <f t="shared" si="3"/>
        <v>5000</v>
      </c>
    </row>
    <row r="105" spans="1:7" x14ac:dyDescent="0.15">
      <c r="A105" s="10" t="s">
        <v>315</v>
      </c>
      <c r="B105" s="10" t="s">
        <v>316</v>
      </c>
      <c r="C105" s="28">
        <v>41000</v>
      </c>
      <c r="E105" s="10" t="str">
        <f t="shared" si="2"/>
        <v>FRAME REMOVIBILE 3.5" 41.000,00 €</v>
      </c>
      <c r="G105" s="73">
        <f t="shared" si="3"/>
        <v>41000</v>
      </c>
    </row>
    <row r="106" spans="1:7" x14ac:dyDescent="0.15">
      <c r="A106" s="10" t="s">
        <v>317</v>
      </c>
      <c r="C106" s="32"/>
      <c r="E106" s="10" t="str">
        <f t="shared" si="2"/>
        <v>MAGNETO-OTTICI 0,00 €</v>
      </c>
      <c r="G106" s="73">
        <f t="shared" si="3"/>
        <v>0</v>
      </c>
    </row>
    <row r="107" spans="1:7" x14ac:dyDescent="0.15">
      <c r="A107" s="10" t="s">
        <v>318</v>
      </c>
      <c r="B107" s="10" t="s">
        <v>319</v>
      </c>
      <c r="C107" s="28">
        <v>737000</v>
      </c>
      <c r="E107" s="10" t="str">
        <f t="shared" si="2"/>
        <v>M.O. + CD 4X,  PD 2000 INT. 650 MB 737.000,00 €</v>
      </c>
      <c r="G107" s="73">
        <f t="shared" si="3"/>
        <v>737000</v>
      </c>
    </row>
    <row r="108" spans="1:7" x14ac:dyDescent="0.15">
      <c r="A108" s="10" t="s">
        <v>320</v>
      </c>
      <c r="B108" s="10" t="s">
        <v>321</v>
      </c>
      <c r="C108" s="28">
        <v>910000</v>
      </c>
      <c r="E108" s="10" t="str">
        <f t="shared" si="2"/>
        <v>M.O. + CD 4X,  PD 2000 EXT. 650 MB 910.000,00 €</v>
      </c>
      <c r="G108" s="73">
        <f t="shared" si="3"/>
        <v>910000</v>
      </c>
    </row>
    <row r="109" spans="1:7" x14ac:dyDescent="0.15">
      <c r="A109" s="10" t="s">
        <v>322</v>
      </c>
      <c r="C109" s="28">
        <v>241000</v>
      </c>
      <c r="E109" s="10" t="str">
        <f t="shared" si="2"/>
        <v>KIT 5 CARTUCCE 650 MB 241.000,00 €</v>
      </c>
      <c r="G109" s="73">
        <f t="shared" si="3"/>
        <v>241000</v>
      </c>
    </row>
    <row r="110" spans="1:7" x14ac:dyDescent="0.15">
      <c r="A110" s="10" t="s">
        <v>323</v>
      </c>
      <c r="C110" s="32"/>
      <c r="E110" s="10" t="str">
        <f t="shared" si="2"/>
        <v>CD ROM 0,00 €</v>
      </c>
      <c r="G110" s="73">
        <f t="shared" si="3"/>
        <v>0</v>
      </c>
    </row>
    <row r="111" spans="1:7" x14ac:dyDescent="0.15">
      <c r="A111" s="10" t="s">
        <v>324</v>
      </c>
      <c r="B111" s="10" t="s">
        <v>325</v>
      </c>
      <c r="C111" s="28">
        <v>112000</v>
      </c>
      <c r="E111" s="10" t="str">
        <f t="shared" si="2"/>
        <v>CD ROM 24X HITACHI CDR 8330 112.000,00 €</v>
      </c>
      <c r="G111" s="73">
        <f t="shared" si="3"/>
        <v>112000</v>
      </c>
    </row>
    <row r="112" spans="1:7" x14ac:dyDescent="0.15">
      <c r="A112" s="10" t="s">
        <v>326</v>
      </c>
      <c r="B112" s="10" t="s">
        <v>325</v>
      </c>
      <c r="C112" s="28">
        <v>113000</v>
      </c>
      <c r="E112" s="10" t="str">
        <f t="shared" si="2"/>
        <v>CD ROM 24X CREATIVE 113.000,00 €</v>
      </c>
      <c r="G112" s="73">
        <f t="shared" si="3"/>
        <v>113000</v>
      </c>
    </row>
    <row r="113" spans="1:7" x14ac:dyDescent="0.15">
      <c r="A113" s="10" t="s">
        <v>327</v>
      </c>
      <c r="B113" s="10" t="s">
        <v>328</v>
      </c>
      <c r="C113" s="28">
        <v>121000</v>
      </c>
      <c r="E113" s="10" t="str">
        <f t="shared" si="2"/>
        <v>CD ROM 24X PIONEER 502-S Bulk 121.000,00 €</v>
      </c>
      <c r="G113" s="73">
        <f t="shared" si="3"/>
        <v>121000</v>
      </c>
    </row>
    <row r="114" spans="1:7" x14ac:dyDescent="0.15">
      <c r="A114" s="10" t="s">
        <v>329</v>
      </c>
      <c r="B114" s="10" t="s">
        <v>330</v>
      </c>
      <c r="C114" s="28">
        <v>160000</v>
      </c>
      <c r="E114" s="10" t="str">
        <f t="shared" si="2"/>
        <v>CD ROM 34X ASUS 160.000,00 €</v>
      </c>
      <c r="G114" s="73">
        <f t="shared" si="3"/>
        <v>160000</v>
      </c>
    </row>
    <row r="115" spans="1:7" x14ac:dyDescent="0.15">
      <c r="A115" s="10" t="s">
        <v>331</v>
      </c>
      <c r="B115" s="10" t="s">
        <v>332</v>
      </c>
      <c r="C115" s="28">
        <v>195000</v>
      </c>
      <c r="E115" s="10" t="str">
        <f t="shared" si="2"/>
        <v>CD ROM 24X SCSI NEC 195.000,00 €</v>
      </c>
      <c r="G115" s="73">
        <f t="shared" si="3"/>
        <v>195000</v>
      </c>
    </row>
    <row r="116" spans="1:7" x14ac:dyDescent="0.15">
      <c r="A116" s="10" t="s">
        <v>333</v>
      </c>
      <c r="B116" s="10" t="s">
        <v>334</v>
      </c>
      <c r="C116" s="28">
        <v>215000</v>
      </c>
      <c r="E116" s="10" t="str">
        <f t="shared" si="2"/>
        <v>CD ROM 32X SCSI WAITEC 215.000,00 €</v>
      </c>
      <c r="G116" s="73">
        <f t="shared" si="3"/>
        <v>215000</v>
      </c>
    </row>
    <row r="117" spans="1:7" x14ac:dyDescent="0.15">
      <c r="A117" s="10" t="s">
        <v>335</v>
      </c>
      <c r="B117" s="10" t="s">
        <v>334</v>
      </c>
      <c r="C117" s="28">
        <v>321000</v>
      </c>
      <c r="E117" s="10" t="str">
        <f t="shared" si="2"/>
        <v>CD ROM PLEXTOR PX-32TSI 321.000,00 €</v>
      </c>
      <c r="G117" s="73">
        <f t="shared" si="3"/>
        <v>321000</v>
      </c>
    </row>
    <row r="118" spans="1:7" x14ac:dyDescent="0.15">
      <c r="A118" s="10" t="s">
        <v>336</v>
      </c>
      <c r="B118" s="10" t="s">
        <v>337</v>
      </c>
      <c r="C118" s="28">
        <v>614000</v>
      </c>
      <c r="E118" s="10" t="str">
        <f t="shared" si="2"/>
        <v>DVD CREATIVE KIT ENCORE DXR2 614.000,00 €</v>
      </c>
      <c r="G118" s="73">
        <f t="shared" si="3"/>
        <v>614000</v>
      </c>
    </row>
    <row r="119" spans="1:7" x14ac:dyDescent="0.15">
      <c r="A119" s="10" t="s">
        <v>338</v>
      </c>
      <c r="C119" s="32"/>
      <c r="E119" s="10" t="str">
        <f t="shared" si="2"/>
        <v>MASTERIZZATORI 0,00 €</v>
      </c>
      <c r="G119" s="73">
        <f t="shared" si="3"/>
        <v>0</v>
      </c>
    </row>
    <row r="120" spans="1:7" x14ac:dyDescent="0.15">
      <c r="A120" s="10" t="s">
        <v>339</v>
      </c>
      <c r="B120" s="10" t="s">
        <v>340</v>
      </c>
      <c r="C120" s="28">
        <v>30000</v>
      </c>
      <c r="E120" s="10" t="str">
        <f t="shared" si="2"/>
        <v>CONFEZIONE 10 CDR 74' 30.000,00 €</v>
      </c>
      <c r="G120" s="73">
        <f t="shared" si="3"/>
        <v>30000</v>
      </c>
    </row>
    <row r="121" spans="1:7" x14ac:dyDescent="0.15">
      <c r="A121" s="10" t="s">
        <v>341</v>
      </c>
      <c r="B121" s="10" t="s">
        <v>342</v>
      </c>
      <c r="C121" s="28">
        <v>34000</v>
      </c>
      <c r="E121" s="10" t="str">
        <f t="shared" si="2"/>
        <v>CD RISCRIVIBILE 74' 34.000,00 €</v>
      </c>
      <c r="G121" s="73">
        <f t="shared" si="3"/>
        <v>34000</v>
      </c>
    </row>
    <row r="122" spans="1:7" x14ac:dyDescent="0.15">
      <c r="A122" s="10" t="s">
        <v>343</v>
      </c>
      <c r="B122" s="10" t="s">
        <v>340</v>
      </c>
      <c r="C122" s="28">
        <v>35000</v>
      </c>
      <c r="E122" s="10" t="str">
        <f t="shared" si="2"/>
        <v>CONFEZIONE 10 CDR 74' KODAK 35.000,00 €</v>
      </c>
      <c r="G122" s="73">
        <f t="shared" si="3"/>
        <v>35000</v>
      </c>
    </row>
    <row r="123" spans="1:7" x14ac:dyDescent="0.15">
      <c r="A123" s="10" t="s">
        <v>344</v>
      </c>
      <c r="B123" s="10" t="s">
        <v>345</v>
      </c>
      <c r="C123" s="28">
        <v>77000</v>
      </c>
      <c r="E123" s="10" t="str">
        <f t="shared" si="2"/>
        <v>SOFTWARE LABELLER CD KIT 77.000,00 €</v>
      </c>
      <c r="G123" s="73">
        <f t="shared" si="3"/>
        <v>77000</v>
      </c>
    </row>
    <row r="124" spans="1:7" x14ac:dyDescent="0.15">
      <c r="A124" s="10" t="s">
        <v>346</v>
      </c>
      <c r="B124" s="10" t="s">
        <v>347</v>
      </c>
      <c r="C124" s="28">
        <v>723000</v>
      </c>
      <c r="E124" s="10" t="str">
        <f t="shared" si="2"/>
        <v>WAITEC WT48/1 - GEAR - 723.000,00 €</v>
      </c>
      <c r="G124" s="73">
        <f t="shared" si="3"/>
        <v>723000</v>
      </c>
    </row>
    <row r="125" spans="1:7" x14ac:dyDescent="0.15">
      <c r="A125" s="10" t="s">
        <v>348</v>
      </c>
      <c r="B125" s="10" t="s">
        <v>349</v>
      </c>
      <c r="C125" s="28">
        <v>742000</v>
      </c>
      <c r="E125" s="10" t="str">
        <f t="shared" si="2"/>
        <v>WAITEC 2036EI/1 - SOFTWARE  742.000,00 €</v>
      </c>
      <c r="G125" s="73">
        <f t="shared" si="3"/>
        <v>742000</v>
      </c>
    </row>
    <row r="126" spans="1:7" x14ac:dyDescent="0.15">
      <c r="A126" s="10" t="s">
        <v>350</v>
      </c>
      <c r="B126" s="10" t="s">
        <v>351</v>
      </c>
      <c r="C126" s="28">
        <v>778000</v>
      </c>
      <c r="E126" s="10" t="str">
        <f t="shared" si="2"/>
        <v>RICOH MP6200ADP + SOFT.+5 CDR 778.000,00 €</v>
      </c>
      <c r="G126" s="73">
        <f t="shared" si="3"/>
        <v>778000</v>
      </c>
    </row>
    <row r="127" spans="1:7" x14ac:dyDescent="0.15">
      <c r="A127" s="10" t="s">
        <v>352</v>
      </c>
      <c r="B127" s="10" t="s">
        <v>353</v>
      </c>
      <c r="C127" s="28">
        <v>878000</v>
      </c>
      <c r="E127" s="10" t="str">
        <f t="shared" si="2"/>
        <v>RICOH MP6200SR - SOFTWARE SCSI 878.000,00 €</v>
      </c>
      <c r="G127" s="73">
        <f t="shared" si="3"/>
        <v>878000</v>
      </c>
    </row>
    <row r="128" spans="1:7" x14ac:dyDescent="0.15">
      <c r="A128" s="10" t="s">
        <v>354</v>
      </c>
      <c r="B128" s="10" t="s">
        <v>353</v>
      </c>
      <c r="C128" s="28">
        <v>883000</v>
      </c>
      <c r="E128" s="10" t="str">
        <f t="shared" si="2"/>
        <v>WAITEC 2026/1 - SOFTWARE SCSI 883.000,00 €</v>
      </c>
      <c r="G128" s="73">
        <f t="shared" si="3"/>
        <v>883000</v>
      </c>
    </row>
    <row r="129" spans="1:7" x14ac:dyDescent="0.15">
      <c r="A129" s="10" t="s">
        <v>355</v>
      </c>
      <c r="B129" s="10" t="s">
        <v>347</v>
      </c>
      <c r="C129" s="28">
        <v>913000</v>
      </c>
      <c r="E129" s="10" t="str">
        <f t="shared" si="2"/>
        <v>CDR 480i PLASMON EASY CD 913.000,00 €</v>
      </c>
      <c r="G129" s="73">
        <f t="shared" si="3"/>
        <v>913000</v>
      </c>
    </row>
    <row r="130" spans="1:7" x14ac:dyDescent="0.15">
      <c r="A130" s="10" t="s">
        <v>356</v>
      </c>
      <c r="B130" s="10" t="s">
        <v>357</v>
      </c>
      <c r="C130" s="28">
        <v>1125000</v>
      </c>
      <c r="E130" s="10" t="str">
        <f t="shared" si="2"/>
        <v>CDR 480e PLASMON EASY CD 1.125.000,00 €</v>
      </c>
      <c r="G130" s="73">
        <f t="shared" si="3"/>
        <v>1125000</v>
      </c>
    </row>
    <row r="131" spans="1:7" x14ac:dyDescent="0.15">
      <c r="A131" s="10" t="s">
        <v>358</v>
      </c>
      <c r="C131" s="32"/>
      <c r="E131" s="10" t="str">
        <f t="shared" si="2"/>
        <v>MEMORIE 0,00 €</v>
      </c>
      <c r="G131" s="73">
        <f t="shared" si="3"/>
        <v>0</v>
      </c>
    </row>
    <row r="132" spans="1:7" x14ac:dyDescent="0.15">
      <c r="A132" s="10" t="s">
        <v>359</v>
      </c>
      <c r="C132" s="28">
        <v>33000</v>
      </c>
      <c r="E132" s="10" t="str">
        <f t="shared" si="2"/>
        <v>SIMM 8MB 72 PIN (EDO) 33.000,00 €</v>
      </c>
      <c r="G132" s="73">
        <f t="shared" si="3"/>
        <v>33000</v>
      </c>
    </row>
    <row r="133" spans="1:7" x14ac:dyDescent="0.15">
      <c r="A133" s="10" t="s">
        <v>360</v>
      </c>
      <c r="C133" s="28">
        <v>52000</v>
      </c>
      <c r="E133" s="10" t="str">
        <f t="shared" si="2"/>
        <v>SIMM 16MB 72 PIN (EDO) 52.000,00 €</v>
      </c>
      <c r="G133" s="73">
        <f t="shared" si="3"/>
        <v>52000</v>
      </c>
    </row>
    <row r="134" spans="1:7" x14ac:dyDescent="0.15">
      <c r="A134" s="10" t="s">
        <v>361</v>
      </c>
      <c r="C134" s="28">
        <v>97000</v>
      </c>
      <c r="E134" s="10" t="str">
        <f t="shared" ref="E134:E197" si="4">CONCATENATE(A134," ",DOLLAR(C134))</f>
        <v>SIMM 32MB 72 PIN (EDO) 97.000,00 €</v>
      </c>
      <c r="G134" s="73">
        <f t="shared" ref="G134:G197" si="5">C134+C134*$H$4</f>
        <v>97000</v>
      </c>
    </row>
    <row r="135" spans="1:7" x14ac:dyDescent="0.15">
      <c r="A135" s="10" t="s">
        <v>362</v>
      </c>
      <c r="B135" s="10" t="s">
        <v>274</v>
      </c>
      <c r="C135" s="32"/>
      <c r="E135" s="10" t="str">
        <f t="shared" si="4"/>
        <v>MODEM FAX - VIDEOCAMERA 0,00 €</v>
      </c>
      <c r="G135" s="73">
        <f t="shared" si="5"/>
        <v>0</v>
      </c>
    </row>
    <row r="136" spans="1:7" x14ac:dyDescent="0.15">
      <c r="A136" s="10" t="s">
        <v>363</v>
      </c>
      <c r="B136" s="10" t="s">
        <v>364</v>
      </c>
      <c r="C136" s="28">
        <v>131000</v>
      </c>
      <c r="E136" s="10" t="str">
        <f t="shared" si="4"/>
        <v>M/F MOTOROLA 3400PRO 28800 EXT 131.000,00 €</v>
      </c>
      <c r="G136" s="73">
        <f t="shared" si="5"/>
        <v>131000</v>
      </c>
    </row>
    <row r="137" spans="1:7" x14ac:dyDescent="0.15">
      <c r="A137" s="10" t="s">
        <v>365</v>
      </c>
      <c r="B137" s="10" t="s">
        <v>366</v>
      </c>
      <c r="C137" s="28">
        <v>169000</v>
      </c>
      <c r="E137" s="10" t="str">
        <f t="shared" si="4"/>
        <v>M/F LEONARDO PC 33600 INT OEM 169.000,00 €</v>
      </c>
      <c r="G137" s="73">
        <f t="shared" si="5"/>
        <v>169000</v>
      </c>
    </row>
    <row r="138" spans="1:7" x14ac:dyDescent="0.15">
      <c r="A138" s="10" t="s">
        <v>367</v>
      </c>
      <c r="B138" s="10" t="s">
        <v>366</v>
      </c>
      <c r="C138" s="28">
        <v>190000</v>
      </c>
      <c r="E138" s="10" t="str">
        <f t="shared" si="4"/>
        <v>M/F LEONARDO PC 33600 EXT 190.000,00 €</v>
      </c>
      <c r="G138" s="73">
        <f t="shared" si="5"/>
        <v>190000</v>
      </c>
    </row>
    <row r="139" spans="1:7" x14ac:dyDescent="0.15">
      <c r="A139" s="10" t="s">
        <v>368</v>
      </c>
      <c r="B139" s="10" t="s">
        <v>364</v>
      </c>
      <c r="C139" s="28">
        <v>191000</v>
      </c>
      <c r="E139" s="10" t="str">
        <f t="shared" si="4"/>
        <v>M/F MOTOROLA 56K  EXT BULK 191.000,00 €</v>
      </c>
      <c r="G139" s="73">
        <f t="shared" si="5"/>
        <v>191000</v>
      </c>
    </row>
    <row r="140" spans="1:7" x14ac:dyDescent="0.15">
      <c r="A140" s="10" t="s">
        <v>369</v>
      </c>
      <c r="B140" s="10" t="s">
        <v>366</v>
      </c>
      <c r="C140" s="28">
        <v>197000</v>
      </c>
      <c r="E140" s="10" t="str">
        <f t="shared" si="4"/>
        <v>M/F LEONARDO PC 33600 INT 197.000,00 €</v>
      </c>
      <c r="G140" s="73">
        <f t="shared" si="5"/>
        <v>197000</v>
      </c>
    </row>
    <row r="141" spans="1:7" x14ac:dyDescent="0.15">
      <c r="A141" s="10" t="s">
        <v>370</v>
      </c>
      <c r="B141" s="10" t="s">
        <v>366</v>
      </c>
      <c r="C141" s="28">
        <v>201000</v>
      </c>
      <c r="E141" s="10" t="str">
        <f t="shared" si="4"/>
        <v>M/F TIZIANO 33600 EXT 201.000,00 €</v>
      </c>
      <c r="G141" s="73">
        <f t="shared" si="5"/>
        <v>201000</v>
      </c>
    </row>
    <row r="142" spans="1:7" x14ac:dyDescent="0.15">
      <c r="A142" s="10" t="s">
        <v>371</v>
      </c>
      <c r="B142" s="10" t="s">
        <v>372</v>
      </c>
      <c r="C142" s="28">
        <v>220000</v>
      </c>
      <c r="E142" s="10" t="str">
        <f t="shared" si="4"/>
        <v>M/F SPORTSTER FLASH 33600 EXT ITA  220.000,00 €</v>
      </c>
      <c r="G142" s="73">
        <f t="shared" si="5"/>
        <v>220000</v>
      </c>
    </row>
    <row r="143" spans="1:7" x14ac:dyDescent="0.15">
      <c r="A143" s="10" t="s">
        <v>373</v>
      </c>
      <c r="B143" s="10" t="s">
        <v>364</v>
      </c>
      <c r="C143" s="28">
        <v>250000</v>
      </c>
      <c r="E143" s="10" t="str">
        <f t="shared" si="4"/>
        <v>M/F MOTOROLA 56K  EXT 250.000,00 €</v>
      </c>
      <c r="G143" s="73">
        <f t="shared" si="5"/>
        <v>250000</v>
      </c>
    </row>
    <row r="144" spans="1:7" x14ac:dyDescent="0.15">
      <c r="A144" s="10" t="s">
        <v>374</v>
      </c>
      <c r="B144" s="10" t="s">
        <v>366</v>
      </c>
      <c r="C144" s="28">
        <v>257000</v>
      </c>
      <c r="E144" s="10" t="str">
        <f t="shared" si="4"/>
        <v>M/F LEONARDO  56K  EXT 257.000,00 €</v>
      </c>
      <c r="G144" s="73">
        <f t="shared" si="5"/>
        <v>257000</v>
      </c>
    </row>
    <row r="145" spans="1:7" x14ac:dyDescent="0.15">
      <c r="A145" s="10" t="s">
        <v>375</v>
      </c>
      <c r="B145" s="10" t="s">
        <v>366</v>
      </c>
      <c r="C145" s="28">
        <v>278000</v>
      </c>
      <c r="E145" s="10" t="str">
        <f t="shared" si="4"/>
        <v>M/F TIZIANO 56K EXT 278.000,00 €</v>
      </c>
      <c r="G145" s="73">
        <f t="shared" si="5"/>
        <v>278000</v>
      </c>
    </row>
    <row r="146" spans="1:7" x14ac:dyDescent="0.15">
      <c r="A146" s="10" t="s">
        <v>376</v>
      </c>
      <c r="B146" s="10" t="s">
        <v>372</v>
      </c>
      <c r="C146" s="28">
        <v>280000</v>
      </c>
      <c r="E146" s="10" t="str">
        <f t="shared" si="4"/>
        <v>M/F SPORTSTER MESSAGE PLUS 280.000,00 €</v>
      </c>
      <c r="G146" s="73">
        <f t="shared" si="5"/>
        <v>280000</v>
      </c>
    </row>
    <row r="147" spans="1:7" x14ac:dyDescent="0.15">
      <c r="A147" s="10" t="s">
        <v>377</v>
      </c>
      <c r="B147" s="10" t="s">
        <v>366</v>
      </c>
      <c r="C147" s="28">
        <v>300000</v>
      </c>
      <c r="E147" s="10" t="str">
        <f t="shared" si="4"/>
        <v>M/F LEONARDO PCMCIA 33600 300.000,00 €</v>
      </c>
      <c r="G147" s="73">
        <f t="shared" si="5"/>
        <v>300000</v>
      </c>
    </row>
    <row r="148" spans="1:7" x14ac:dyDescent="0.15">
      <c r="A148" s="10" t="s">
        <v>378</v>
      </c>
      <c r="B148" s="10" t="s">
        <v>379</v>
      </c>
      <c r="C148" s="28">
        <v>305000</v>
      </c>
      <c r="E148" s="10" t="str">
        <f t="shared" si="4"/>
        <v>KIT VIDEOCONFERENZA "GALILEO" 305.000,00 €</v>
      </c>
      <c r="G148" s="73">
        <f t="shared" si="5"/>
        <v>305000</v>
      </c>
    </row>
    <row r="149" spans="1:7" x14ac:dyDescent="0.15">
      <c r="A149" s="10" t="s">
        <v>380</v>
      </c>
      <c r="B149" s="10" t="s">
        <v>366</v>
      </c>
      <c r="C149" s="28">
        <v>335000</v>
      </c>
      <c r="E149" s="10" t="str">
        <f t="shared" si="4"/>
        <v>MODEM ISDN TINTORETTO EXT. 335.000,00 €</v>
      </c>
      <c r="G149" s="73">
        <f t="shared" si="5"/>
        <v>335000</v>
      </c>
    </row>
    <row r="150" spans="1:7" x14ac:dyDescent="0.15">
      <c r="A150" s="10" t="s">
        <v>381</v>
      </c>
      <c r="B150" s="10" t="s">
        <v>366</v>
      </c>
      <c r="C150" s="28">
        <v>360000</v>
      </c>
      <c r="E150" s="10" t="str">
        <f t="shared" si="4"/>
        <v>M/F LEONARDO PCMCIA 56K 360.000,00 €</v>
      </c>
      <c r="G150" s="73">
        <f t="shared" si="5"/>
        <v>360000</v>
      </c>
    </row>
    <row r="151" spans="1:7" x14ac:dyDescent="0.15">
      <c r="A151" s="10" t="s">
        <v>382</v>
      </c>
      <c r="B151" s="10" t="s">
        <v>364</v>
      </c>
      <c r="C151" s="28">
        <v>429000</v>
      </c>
      <c r="E151" s="10" t="str">
        <f t="shared" si="4"/>
        <v>MODEM MOTOROLA ISDN  EXT.64/128K 429.000,00 €</v>
      </c>
      <c r="G151" s="73">
        <f t="shared" si="5"/>
        <v>429000</v>
      </c>
    </row>
    <row r="152" spans="1:7" ht="12.75" customHeight="1" x14ac:dyDescent="0.15">
      <c r="A152" s="10" t="s">
        <v>383</v>
      </c>
      <c r="B152" s="10" t="s">
        <v>366</v>
      </c>
      <c r="C152" s="28">
        <v>701000</v>
      </c>
      <c r="E152" s="10" t="str">
        <f t="shared" si="4"/>
        <v>M/F ISDN DONATELLO EXT. 701.000,00 €</v>
      </c>
      <c r="G152" s="73">
        <f t="shared" si="5"/>
        <v>701000</v>
      </c>
    </row>
    <row r="153" spans="1:7" ht="14.25" customHeight="1" x14ac:dyDescent="0.15">
      <c r="A153" s="10" t="s">
        <v>384</v>
      </c>
      <c r="C153" s="32"/>
      <c r="E153" s="10" t="str">
        <f t="shared" si="4"/>
        <v>MULTIMEDIA 0,00 €</v>
      </c>
      <c r="G153" s="73">
        <f t="shared" si="5"/>
        <v>0</v>
      </c>
    </row>
    <row r="154" spans="1:7" x14ac:dyDescent="0.15">
      <c r="A154" s="10" t="s">
        <v>385</v>
      </c>
      <c r="B154" s="10" t="s">
        <v>386</v>
      </c>
      <c r="C154" s="28">
        <v>90000</v>
      </c>
      <c r="E154" s="10" t="str">
        <f t="shared" si="4"/>
        <v>SOUND AXP201/U PCI 64 90.000,00 €</v>
      </c>
      <c r="G154" s="73">
        <f t="shared" si="5"/>
        <v>90000</v>
      </c>
    </row>
    <row r="155" spans="1:7" x14ac:dyDescent="0.15">
      <c r="A155" s="10" t="s">
        <v>387</v>
      </c>
      <c r="B155" s="10" t="s">
        <v>388</v>
      </c>
      <c r="C155" s="28">
        <v>69000</v>
      </c>
      <c r="E155" s="10" t="str">
        <f t="shared" si="4"/>
        <v>SOUND BLASTER 16 PnP  O.E.M. 69.000,00 €</v>
      </c>
      <c r="G155" s="73">
        <f t="shared" si="5"/>
        <v>69000</v>
      </c>
    </row>
    <row r="156" spans="1:7" x14ac:dyDescent="0.15">
      <c r="A156" s="10" t="s">
        <v>389</v>
      </c>
      <c r="B156" s="10" t="s">
        <v>388</v>
      </c>
      <c r="C156" s="28">
        <v>89000</v>
      </c>
      <c r="E156" s="10" t="str">
        <f t="shared" si="4"/>
        <v>SOUND BLASTER 16 PnP NO IDE 89.000,00 €</v>
      </c>
      <c r="G156" s="73">
        <f t="shared" si="5"/>
        <v>89000</v>
      </c>
    </row>
    <row r="157" spans="1:7" x14ac:dyDescent="0.15">
      <c r="A157" s="10" t="s">
        <v>390</v>
      </c>
      <c r="B157" s="10" t="s">
        <v>388</v>
      </c>
      <c r="C157" s="28">
        <v>138000</v>
      </c>
      <c r="E157" s="10" t="str">
        <f t="shared" si="4"/>
        <v>SOUND BLASTER AWE64 STD OEM 138.000,00 €</v>
      </c>
      <c r="G157" s="73">
        <f t="shared" si="5"/>
        <v>138000</v>
      </c>
    </row>
    <row r="158" spans="1:7" x14ac:dyDescent="0.15">
      <c r="A158" s="10" t="s">
        <v>391</v>
      </c>
      <c r="B158" s="10" t="s">
        <v>388</v>
      </c>
      <c r="C158" s="28">
        <v>196000</v>
      </c>
      <c r="E158" s="10" t="str">
        <f t="shared" si="4"/>
        <v>SOUND BLASTER AWE64 STANDARD 196.000,00 €</v>
      </c>
      <c r="G158" s="73">
        <f t="shared" si="5"/>
        <v>196000</v>
      </c>
    </row>
    <row r="159" spans="1:7" x14ac:dyDescent="0.15">
      <c r="A159" s="10" t="s">
        <v>392</v>
      </c>
      <c r="B159" s="10" t="s">
        <v>388</v>
      </c>
      <c r="C159" s="28">
        <v>329000</v>
      </c>
      <c r="E159" s="10" t="str">
        <f t="shared" si="4"/>
        <v>SOUND BLASTER AWE64 GOLD PNP  329.000,00 €</v>
      </c>
      <c r="G159" s="73">
        <f t="shared" si="5"/>
        <v>329000</v>
      </c>
    </row>
    <row r="160" spans="1:7" x14ac:dyDescent="0.15">
      <c r="A160" s="10" t="s">
        <v>393</v>
      </c>
      <c r="B160" s="10" t="s">
        <v>388</v>
      </c>
      <c r="C160" s="28">
        <v>295000</v>
      </c>
      <c r="E160" s="10" t="str">
        <f t="shared" si="4"/>
        <v>KIT "DISCOVERY AWE64" 24X PNP 295.000,00 €</v>
      </c>
      <c r="G160" s="73">
        <f t="shared" si="5"/>
        <v>295000</v>
      </c>
    </row>
    <row r="161" spans="1:7" x14ac:dyDescent="0.15">
      <c r="A161" s="10" t="s">
        <v>394</v>
      </c>
      <c r="B161" s="10" t="s">
        <v>395</v>
      </c>
      <c r="C161" s="28">
        <v>19000</v>
      </c>
      <c r="E161" s="10" t="str">
        <f t="shared" si="4"/>
        <v>SPEAKERS MLI-699 19.000,00 €</v>
      </c>
      <c r="G161" s="73">
        <f t="shared" si="5"/>
        <v>19000</v>
      </c>
    </row>
    <row r="162" spans="1:7" x14ac:dyDescent="0.15">
      <c r="A162" s="10" t="s">
        <v>396</v>
      </c>
      <c r="B162" s="10" t="s">
        <v>397</v>
      </c>
      <c r="C162" s="28">
        <v>26000</v>
      </c>
      <c r="E162" s="10" t="str">
        <f t="shared" si="4"/>
        <v>SPEAKER 25 W 26.000,00 €</v>
      </c>
      <c r="G162" s="73">
        <f t="shared" si="5"/>
        <v>26000</v>
      </c>
    </row>
    <row r="163" spans="1:7" x14ac:dyDescent="0.15">
      <c r="A163" s="10" t="s">
        <v>398</v>
      </c>
      <c r="B163" s="10" t="s">
        <v>399</v>
      </c>
      <c r="C163" s="28">
        <v>28000</v>
      </c>
      <c r="E163" s="10" t="str">
        <f t="shared" si="4"/>
        <v>SPEAKER PROFESSIONAL 70 W 28.000,00 €</v>
      </c>
      <c r="G163" s="73">
        <f t="shared" si="5"/>
        <v>28000</v>
      </c>
    </row>
    <row r="164" spans="1:7" x14ac:dyDescent="0.15">
      <c r="A164" s="10" t="s">
        <v>400</v>
      </c>
      <c r="B164" s="10" t="s">
        <v>401</v>
      </c>
      <c r="C164" s="28">
        <v>56000</v>
      </c>
      <c r="E164" s="10" t="str">
        <f t="shared" si="4"/>
        <v>ULTRA SPEAKER 130W 56.000,00 €</v>
      </c>
      <c r="G164" s="73">
        <f t="shared" si="5"/>
        <v>56000</v>
      </c>
    </row>
    <row r="165" spans="1:7" x14ac:dyDescent="0.15">
      <c r="A165" s="10" t="s">
        <v>402</v>
      </c>
      <c r="C165" s="32"/>
      <c r="E165" s="10" t="str">
        <f t="shared" si="4"/>
        <v>MICROPROCESSORI 0,00 €</v>
      </c>
      <c r="G165" s="73">
        <f t="shared" si="5"/>
        <v>0</v>
      </c>
    </row>
    <row r="166" spans="1:7" x14ac:dyDescent="0.15">
      <c r="A166" s="10" t="s">
        <v>403</v>
      </c>
      <c r="C166" s="28">
        <v>216000</v>
      </c>
      <c r="E166" s="10" t="str">
        <f t="shared" si="4"/>
        <v>PENTIUM 166 INTEL MMX 216.000,00 €</v>
      </c>
      <c r="G166" s="73">
        <f t="shared" si="5"/>
        <v>216000</v>
      </c>
    </row>
    <row r="167" spans="1:7" x14ac:dyDescent="0.15">
      <c r="A167" s="10" t="s">
        <v>404</v>
      </c>
      <c r="C167" s="28">
        <v>250000</v>
      </c>
      <c r="E167" s="10" t="str">
        <f t="shared" si="4"/>
        <v>PENTIUM 200 INTEL MMX 250.000,00 €</v>
      </c>
      <c r="G167" s="73">
        <f t="shared" si="5"/>
        <v>250000</v>
      </c>
    </row>
    <row r="168" spans="1:7" x14ac:dyDescent="0.15">
      <c r="A168" s="10" t="s">
        <v>405</v>
      </c>
      <c r="C168" s="28">
        <v>382000</v>
      </c>
      <c r="E168" s="10" t="str">
        <f t="shared" si="4"/>
        <v>PENTIUM 233 INTEL MMX 382.000,00 €</v>
      </c>
      <c r="G168" s="73">
        <f t="shared" si="5"/>
        <v>382000</v>
      </c>
    </row>
    <row r="169" spans="1:7" x14ac:dyDescent="0.15">
      <c r="A169" s="10" t="s">
        <v>406</v>
      </c>
      <c r="C169" s="28">
        <v>524000</v>
      </c>
      <c r="E169" s="10" t="str">
        <f t="shared" si="4"/>
        <v>PENTIUM II 233 INTEL 512k 524.000,00 €</v>
      </c>
      <c r="G169" s="73">
        <f t="shared" si="5"/>
        <v>524000</v>
      </c>
    </row>
    <row r="170" spans="1:7" x14ac:dyDescent="0.15">
      <c r="A170" s="10" t="s">
        <v>407</v>
      </c>
      <c r="C170" s="28">
        <v>757000</v>
      </c>
      <c r="E170" s="10" t="str">
        <f t="shared" si="4"/>
        <v>PENTIUM II 266 INTEL 512k 757.000,00 €</v>
      </c>
      <c r="G170" s="73">
        <f t="shared" si="5"/>
        <v>757000</v>
      </c>
    </row>
    <row r="171" spans="1:7" x14ac:dyDescent="0.15">
      <c r="A171" s="10" t="s">
        <v>408</v>
      </c>
      <c r="C171" s="28">
        <v>1045000</v>
      </c>
      <c r="E171" s="10" t="str">
        <f t="shared" si="4"/>
        <v>PENTIUM II 300 INTEL 512K 1.045.000,00 €</v>
      </c>
      <c r="G171" s="73">
        <f t="shared" si="5"/>
        <v>1045000</v>
      </c>
    </row>
    <row r="172" spans="1:7" x14ac:dyDescent="0.15">
      <c r="A172" s="10" t="s">
        <v>409</v>
      </c>
      <c r="C172" s="28">
        <v>1568000</v>
      </c>
      <c r="E172" s="10" t="str">
        <f t="shared" si="4"/>
        <v>PENTIUM II 333 INTEL 512K 1.568.000,00 €</v>
      </c>
      <c r="G172" s="73">
        <f t="shared" si="5"/>
        <v>1568000</v>
      </c>
    </row>
    <row r="173" spans="1:7" x14ac:dyDescent="0.15">
      <c r="A173" s="10" t="s">
        <v>410</v>
      </c>
      <c r="C173" s="28">
        <v>117000</v>
      </c>
      <c r="E173" s="10" t="str">
        <f t="shared" si="4"/>
        <v>SGS P 166+ 117.000,00 €</v>
      </c>
      <c r="G173" s="73">
        <f t="shared" si="5"/>
        <v>117000</v>
      </c>
    </row>
    <row r="174" spans="1:7" x14ac:dyDescent="0.15">
      <c r="A174" s="10" t="s">
        <v>411</v>
      </c>
      <c r="C174" s="28">
        <v>158000</v>
      </c>
      <c r="E174" s="10" t="str">
        <f t="shared" si="4"/>
        <v>IBM 200 MX 158.000,00 €</v>
      </c>
      <c r="G174" s="73">
        <f t="shared" si="5"/>
        <v>158000</v>
      </c>
    </row>
    <row r="175" spans="1:7" x14ac:dyDescent="0.15">
      <c r="A175" s="10" t="s">
        <v>412</v>
      </c>
      <c r="C175" s="28">
        <v>260000</v>
      </c>
      <c r="E175" s="10" t="str">
        <f t="shared" si="4"/>
        <v>IBM 233 MX 260.000,00 €</v>
      </c>
      <c r="G175" s="73">
        <f t="shared" si="5"/>
        <v>260000</v>
      </c>
    </row>
    <row r="176" spans="1:7" x14ac:dyDescent="0.15">
      <c r="A176" s="10" t="s">
        <v>413</v>
      </c>
      <c r="C176" s="28">
        <v>193000</v>
      </c>
      <c r="E176" s="10" t="str">
        <f t="shared" si="4"/>
        <v>AMD K6-166 193.000,00 €</v>
      </c>
      <c r="G176" s="73">
        <f t="shared" si="5"/>
        <v>193000</v>
      </c>
    </row>
    <row r="177" spans="1:7" x14ac:dyDescent="0.15">
      <c r="A177" s="10" t="s">
        <v>414</v>
      </c>
      <c r="C177" s="28">
        <v>270000</v>
      </c>
      <c r="E177" s="10" t="str">
        <f t="shared" si="4"/>
        <v>AMD K6-200 270.000,00 €</v>
      </c>
      <c r="G177" s="73">
        <f t="shared" si="5"/>
        <v>270000</v>
      </c>
    </row>
    <row r="178" spans="1:7" x14ac:dyDescent="0.15">
      <c r="A178" s="10" t="s">
        <v>415</v>
      </c>
      <c r="C178" s="28">
        <v>314000</v>
      </c>
      <c r="E178" s="10" t="str">
        <f t="shared" si="4"/>
        <v>AMD K6-233 314.000,00 €</v>
      </c>
      <c r="G178" s="73">
        <f t="shared" si="5"/>
        <v>314000</v>
      </c>
    </row>
    <row r="179" spans="1:7" x14ac:dyDescent="0.15">
      <c r="A179" s="10" t="s">
        <v>416</v>
      </c>
      <c r="C179" s="28">
        <v>894000</v>
      </c>
      <c r="E179" s="10" t="str">
        <f t="shared" si="4"/>
        <v>PENTIUM PRO 180 MZH 894.000,00 €</v>
      </c>
      <c r="G179" s="73">
        <f t="shared" si="5"/>
        <v>894000</v>
      </c>
    </row>
    <row r="180" spans="1:7" x14ac:dyDescent="0.15">
      <c r="A180" s="10" t="s">
        <v>417</v>
      </c>
      <c r="C180" s="28">
        <v>1040000</v>
      </c>
      <c r="E180" s="10" t="str">
        <f t="shared" si="4"/>
        <v>PENTIUM PRO 200 MZH 1.040.000,00 €</v>
      </c>
      <c r="G180" s="73">
        <f t="shared" si="5"/>
        <v>1040000</v>
      </c>
    </row>
    <row r="181" spans="1:7" x14ac:dyDescent="0.15">
      <c r="A181" s="10" t="s">
        <v>418</v>
      </c>
      <c r="C181" s="28">
        <v>8000</v>
      </c>
      <c r="E181" s="10" t="str">
        <f t="shared" si="4"/>
        <v>VENTOLINA PENTIUM 75-166 8.000,00 €</v>
      </c>
      <c r="G181" s="73">
        <f t="shared" si="5"/>
        <v>8000</v>
      </c>
    </row>
    <row r="182" spans="1:7" x14ac:dyDescent="0.15">
      <c r="A182" s="10" t="s">
        <v>419</v>
      </c>
      <c r="C182" s="28">
        <v>10000</v>
      </c>
      <c r="E182" s="10" t="str">
        <f t="shared" si="4"/>
        <v>VENTOLINA PENTIUM 200 10.000,00 €</v>
      </c>
      <c r="G182" s="73">
        <f t="shared" si="5"/>
        <v>10000</v>
      </c>
    </row>
    <row r="183" spans="1:7" x14ac:dyDescent="0.15">
      <c r="A183" s="10" t="s">
        <v>420</v>
      </c>
      <c r="C183" s="28">
        <v>24000</v>
      </c>
      <c r="E183" s="10" t="str">
        <f t="shared" si="4"/>
        <v>VENTOLA PER PENTIUM PRO 24.000,00 €</v>
      </c>
      <c r="G183" s="73">
        <f t="shared" si="5"/>
        <v>24000</v>
      </c>
    </row>
    <row r="184" spans="1:7" x14ac:dyDescent="0.15">
      <c r="A184" s="10" t="s">
        <v>421</v>
      </c>
      <c r="B184" s="10" t="s">
        <v>274</v>
      </c>
      <c r="C184" s="28">
        <v>11000</v>
      </c>
      <c r="E184" s="10" t="str">
        <f t="shared" si="4"/>
        <v>VENTOLINA PER IBM/CYRIX 686 11.000,00 €</v>
      </c>
      <c r="G184" s="73">
        <f t="shared" si="5"/>
        <v>11000</v>
      </c>
    </row>
    <row r="185" spans="1:7" x14ac:dyDescent="0.15">
      <c r="A185" s="10" t="s">
        <v>422</v>
      </c>
      <c r="B185" s="10" t="s">
        <v>274</v>
      </c>
      <c r="C185" s="28">
        <v>10000</v>
      </c>
      <c r="E185" s="10" t="str">
        <f t="shared" si="4"/>
        <v>VENTOLA 3 PIN per TX97 10.000,00 €</v>
      </c>
      <c r="G185" s="73">
        <f t="shared" si="5"/>
        <v>10000</v>
      </c>
    </row>
    <row r="186" spans="1:7" x14ac:dyDescent="0.15">
      <c r="A186" s="10" t="s">
        <v>423</v>
      </c>
      <c r="B186" s="10" t="s">
        <v>274</v>
      </c>
      <c r="C186" s="28">
        <v>26000</v>
      </c>
      <c r="E186" s="10" t="str">
        <f t="shared" si="4"/>
        <v>VENTOLA PENTIUM II 26.000,00 €</v>
      </c>
      <c r="G186" s="73">
        <f t="shared" si="5"/>
        <v>26000</v>
      </c>
    </row>
    <row r="187" spans="1:7" x14ac:dyDescent="0.15">
      <c r="A187" s="10" t="s">
        <v>424</v>
      </c>
      <c r="C187" s="32"/>
      <c r="E187" s="10" t="str">
        <f t="shared" si="4"/>
        <v>TASTIERE 0,00 €</v>
      </c>
      <c r="G187" s="73">
        <f t="shared" si="5"/>
        <v>0</v>
      </c>
    </row>
    <row r="188" spans="1:7" x14ac:dyDescent="0.15">
      <c r="A188" s="10" t="s">
        <v>425</v>
      </c>
      <c r="B188" s="10" t="s">
        <v>426</v>
      </c>
      <c r="C188" s="28">
        <v>22000</v>
      </c>
      <c r="E188" s="10" t="str">
        <f t="shared" si="4"/>
        <v>TAST. ITA 105 TASTI WIN 95 22.000,00 €</v>
      </c>
      <c r="G188" s="73">
        <f t="shared" si="5"/>
        <v>22000</v>
      </c>
    </row>
    <row r="189" spans="1:7" x14ac:dyDescent="0.15">
      <c r="A189" s="10" t="s">
        <v>427</v>
      </c>
      <c r="B189" s="10" t="s">
        <v>428</v>
      </c>
      <c r="C189" s="28">
        <v>63000</v>
      </c>
      <c r="E189" s="10" t="str">
        <f t="shared" si="4"/>
        <v>TAST. ITA   79t 63.000,00 €</v>
      </c>
      <c r="G189" s="73">
        <f t="shared" si="5"/>
        <v>63000</v>
      </c>
    </row>
    <row r="190" spans="1:7" x14ac:dyDescent="0.15">
      <c r="A190" s="10" t="s">
        <v>429</v>
      </c>
      <c r="B190" s="10" t="s">
        <v>428</v>
      </c>
      <c r="C190" s="28">
        <v>63000</v>
      </c>
      <c r="E190" s="10" t="str">
        <f t="shared" si="4"/>
        <v>TAST. USA 79t 63.000,00 €</v>
      </c>
      <c r="G190" s="73">
        <f t="shared" si="5"/>
        <v>63000</v>
      </c>
    </row>
    <row r="191" spans="1:7" x14ac:dyDescent="0.15">
      <c r="A191" s="10" t="s">
        <v>430</v>
      </c>
      <c r="B191" s="10" t="s">
        <v>428</v>
      </c>
      <c r="C191" s="28">
        <v>26000</v>
      </c>
      <c r="E191" s="10" t="str">
        <f t="shared" si="4"/>
        <v>TAST. USA 105 TASTI WIN95 26.000,00 €</v>
      </c>
      <c r="G191" s="73">
        <f t="shared" si="5"/>
        <v>26000</v>
      </c>
    </row>
    <row r="192" spans="1:7" x14ac:dyDescent="0.15">
      <c r="A192" s="10" t="s">
        <v>431</v>
      </c>
      <c r="B192" s="10" t="s">
        <v>432</v>
      </c>
      <c r="C192" s="28">
        <v>25000</v>
      </c>
      <c r="E192" s="10" t="str">
        <f t="shared" si="4"/>
        <v>TAST. ITA  105 TASTI NMB, WIN95 25.000,00 €</v>
      </c>
      <c r="G192" s="73">
        <f t="shared" si="5"/>
        <v>25000</v>
      </c>
    </row>
    <row r="193" spans="1:7" x14ac:dyDescent="0.15">
      <c r="A193" s="10" t="s">
        <v>433</v>
      </c>
      <c r="B193" s="10" t="s">
        <v>432</v>
      </c>
      <c r="C193" s="28">
        <v>25000</v>
      </c>
      <c r="E193" s="10" t="str">
        <f t="shared" si="4"/>
        <v>TAST. ITA  105 TASTI NMB, PS/2 WIN95 25.000,00 €</v>
      </c>
      <c r="G193" s="73">
        <f t="shared" si="5"/>
        <v>25000</v>
      </c>
    </row>
    <row r="194" spans="1:7" x14ac:dyDescent="0.15">
      <c r="A194" s="10" t="s">
        <v>434</v>
      </c>
      <c r="B194" s="10" t="s">
        <v>432</v>
      </c>
      <c r="C194" s="28">
        <v>46000</v>
      </c>
      <c r="E194" s="10" t="str">
        <f t="shared" si="4"/>
        <v>TAST. ITA 105 TASTI "CYPRESS"  WIN95 46.000,00 €</v>
      </c>
      <c r="G194" s="73">
        <f t="shared" si="5"/>
        <v>46000</v>
      </c>
    </row>
    <row r="195" spans="1:7" x14ac:dyDescent="0.15">
      <c r="A195" s="10" t="s">
        <v>435</v>
      </c>
      <c r="C195" s="32"/>
      <c r="E195" s="10" t="str">
        <f t="shared" si="4"/>
        <v>SCANNER E ACCESSORI 0,00 €</v>
      </c>
      <c r="G195" s="73">
        <f t="shared" si="5"/>
        <v>0</v>
      </c>
    </row>
    <row r="196" spans="1:7" x14ac:dyDescent="0.15">
      <c r="A196" s="10" t="s">
        <v>436</v>
      </c>
      <c r="B196" s="10" t="s">
        <v>437</v>
      </c>
      <c r="C196" s="28">
        <v>37000</v>
      </c>
      <c r="E196" s="10" t="str">
        <f t="shared" si="4"/>
        <v>MOUSE  PILOT SERIALE 37.000,00 €</v>
      </c>
      <c r="G196" s="73">
        <f t="shared" si="5"/>
        <v>37000</v>
      </c>
    </row>
    <row r="197" spans="1:7" x14ac:dyDescent="0.15">
      <c r="A197" s="10" t="s">
        <v>438</v>
      </c>
      <c r="B197" s="10" t="s">
        <v>437</v>
      </c>
      <c r="C197" s="28">
        <v>37000</v>
      </c>
      <c r="E197" s="10" t="str">
        <f t="shared" si="4"/>
        <v>MOUSE  PILOT P/S2 37.000,00 €</v>
      </c>
      <c r="G197" s="73">
        <f t="shared" si="5"/>
        <v>37000</v>
      </c>
    </row>
    <row r="198" spans="1:7" x14ac:dyDescent="0.15">
      <c r="A198" s="10" t="s">
        <v>439</v>
      </c>
      <c r="B198" s="10" t="s">
        <v>440</v>
      </c>
      <c r="C198" s="28">
        <v>11000</v>
      </c>
      <c r="E198" s="10" t="str">
        <f t="shared" ref="E198:E261" si="6">CONCATENATE(A198," ",DOLLAR(C198))</f>
        <v>MOUSE SERIALE 3 TASTI 11.000,00 €</v>
      </c>
      <c r="G198" s="73">
        <f t="shared" ref="G198:G261" si="7">C198+C198*$H$4</f>
        <v>11000</v>
      </c>
    </row>
    <row r="199" spans="1:7" x14ac:dyDescent="0.15">
      <c r="A199" s="10" t="s">
        <v>441</v>
      </c>
      <c r="B199" s="10" t="s">
        <v>440</v>
      </c>
      <c r="C199" s="28">
        <v>46000</v>
      </c>
      <c r="E199" s="10" t="str">
        <f t="shared" si="6"/>
        <v>MOUSE TRACKBALL  46.000,00 €</v>
      </c>
      <c r="G199" s="73">
        <f t="shared" si="7"/>
        <v>46000</v>
      </c>
    </row>
    <row r="200" spans="1:7" x14ac:dyDescent="0.15">
      <c r="A200" s="10" t="s">
        <v>442</v>
      </c>
      <c r="B200" s="10" t="s">
        <v>440</v>
      </c>
      <c r="C200" s="28">
        <v>19000</v>
      </c>
      <c r="E200" s="10" t="str">
        <f t="shared" si="6"/>
        <v>MOUSE "RAINBOW" SERIALE 19.000,00 €</v>
      </c>
      <c r="G200" s="73">
        <f t="shared" si="7"/>
        <v>19000</v>
      </c>
    </row>
    <row r="201" spans="1:7" x14ac:dyDescent="0.15">
      <c r="A201" s="10" t="s">
        <v>443</v>
      </c>
      <c r="B201" s="10" t="s">
        <v>440</v>
      </c>
      <c r="C201" s="28">
        <v>13000</v>
      </c>
      <c r="E201" s="10" t="str">
        <f t="shared" si="6"/>
        <v>MOUSE  ECHO PS/2 13.000,00 €</v>
      </c>
      <c r="G201" s="73">
        <f t="shared" si="7"/>
        <v>13000</v>
      </c>
    </row>
    <row r="202" spans="1:7" x14ac:dyDescent="0.15">
      <c r="A202" s="10" t="s">
        <v>444</v>
      </c>
      <c r="B202" s="10" t="s">
        <v>440</v>
      </c>
      <c r="C202" s="28">
        <v>26000</v>
      </c>
      <c r="E202" s="10" t="str">
        <f t="shared" si="6"/>
        <v>VENUS MOUSE SERIALE 26.000,00 €</v>
      </c>
      <c r="G202" s="73">
        <f t="shared" si="7"/>
        <v>26000</v>
      </c>
    </row>
    <row r="203" spans="1:7" x14ac:dyDescent="0.15">
      <c r="A203" s="10" t="s">
        <v>445</v>
      </c>
      <c r="B203" s="10" t="s">
        <v>440</v>
      </c>
      <c r="C203" s="28">
        <v>26000</v>
      </c>
      <c r="E203" s="10" t="str">
        <f t="shared" si="6"/>
        <v>VENUS MOUSE PS/2 26.000,00 €</v>
      </c>
      <c r="G203" s="73">
        <f t="shared" si="7"/>
        <v>26000</v>
      </c>
    </row>
    <row r="204" spans="1:7" x14ac:dyDescent="0.15">
      <c r="A204" s="10" t="s">
        <v>446</v>
      </c>
      <c r="B204" s="10" t="s">
        <v>440</v>
      </c>
      <c r="C204" s="28">
        <v>20000</v>
      </c>
      <c r="E204" s="10" t="str">
        <f t="shared" si="6"/>
        <v>JOYSTICK DIGITALE 20.000,00 €</v>
      </c>
      <c r="G204" s="73">
        <f t="shared" si="7"/>
        <v>20000</v>
      </c>
    </row>
    <row r="205" spans="1:7" x14ac:dyDescent="0.15">
      <c r="A205" s="10" t="s">
        <v>447</v>
      </c>
      <c r="B205" s="10" t="s">
        <v>440</v>
      </c>
      <c r="C205" s="28">
        <v>49000</v>
      </c>
      <c r="E205" s="10" t="str">
        <f t="shared" si="6"/>
        <v>JOYSTICK ULTRASTRIKER 49.000,00 €</v>
      </c>
      <c r="G205" s="73">
        <f t="shared" si="7"/>
        <v>49000</v>
      </c>
    </row>
    <row r="206" spans="1:7" x14ac:dyDescent="0.15">
      <c r="A206" s="10" t="s">
        <v>448</v>
      </c>
      <c r="B206" s="10" t="s">
        <v>440</v>
      </c>
      <c r="C206" s="28">
        <v>33000</v>
      </c>
      <c r="E206" s="10" t="str">
        <f t="shared" si="6"/>
        <v>NAVIGATOR MOUSE 33.000,00 €</v>
      </c>
      <c r="G206" s="73">
        <f t="shared" si="7"/>
        <v>33000</v>
      </c>
    </row>
    <row r="207" spans="1:7" x14ac:dyDescent="0.15">
      <c r="A207" s="10" t="s">
        <v>449</v>
      </c>
      <c r="B207" s="10" t="s">
        <v>440</v>
      </c>
      <c r="C207" s="28">
        <v>68000</v>
      </c>
      <c r="E207" s="10" t="str">
        <f t="shared" si="6"/>
        <v>JOYSTICK EXCALIBUR 68.000,00 €</v>
      </c>
      <c r="G207" s="73">
        <f t="shared" si="7"/>
        <v>68000</v>
      </c>
    </row>
    <row r="208" spans="1:7" x14ac:dyDescent="0.15">
      <c r="A208" s="10" t="s">
        <v>450</v>
      </c>
      <c r="B208" s="10" t="s">
        <v>440</v>
      </c>
      <c r="C208" s="28">
        <v>33000</v>
      </c>
      <c r="E208" s="10" t="str">
        <f t="shared" si="6"/>
        <v>GAMEPAD CONQUEROR 33.000,00 €</v>
      </c>
      <c r="G208" s="73">
        <f t="shared" si="7"/>
        <v>33000</v>
      </c>
    </row>
    <row r="209" spans="1:7" x14ac:dyDescent="0.15">
      <c r="A209" s="10" t="s">
        <v>451</v>
      </c>
      <c r="B209" s="10" t="s">
        <v>440</v>
      </c>
      <c r="C209" s="28">
        <v>147000</v>
      </c>
      <c r="E209" s="10" t="str">
        <f t="shared" si="6"/>
        <v>COLOR HAND SCANNER 147.000,00 €</v>
      </c>
      <c r="G209" s="73">
        <f t="shared" si="7"/>
        <v>147000</v>
      </c>
    </row>
    <row r="210" spans="1:7" x14ac:dyDescent="0.15">
      <c r="A210" s="10" t="s">
        <v>452</v>
      </c>
      <c r="B210" s="10" t="s">
        <v>440</v>
      </c>
      <c r="C210" s="28">
        <v>151000</v>
      </c>
      <c r="E210" s="10" t="str">
        <f t="shared" si="6"/>
        <v>SCANNER COLORADO 4800 SW + OCR  151.000,00 €</v>
      </c>
      <c r="G210" s="73">
        <f t="shared" si="7"/>
        <v>151000</v>
      </c>
    </row>
    <row r="211" spans="1:7" x14ac:dyDescent="0.15">
      <c r="A211" s="10" t="s">
        <v>453</v>
      </c>
      <c r="B211" s="10" t="s">
        <v>440</v>
      </c>
      <c r="C211" s="28">
        <v>197000</v>
      </c>
      <c r="E211" s="10" t="str">
        <f t="shared" si="6"/>
        <v>SCANNER COLORADO D600 SW + OCR  197.000,00 €</v>
      </c>
      <c r="G211" s="73">
        <f t="shared" si="7"/>
        <v>197000</v>
      </c>
    </row>
    <row r="212" spans="1:7" x14ac:dyDescent="0.15">
      <c r="A212" s="10" t="s">
        <v>454</v>
      </c>
      <c r="B212" s="10" t="s">
        <v>440</v>
      </c>
      <c r="C212" s="28">
        <v>310000</v>
      </c>
      <c r="E212" s="10" t="str">
        <f t="shared" si="6"/>
        <v>SCANNER  DIRECT 9600 SW + OCR 310.000,00 €</v>
      </c>
      <c r="G212" s="73">
        <f t="shared" si="7"/>
        <v>310000</v>
      </c>
    </row>
    <row r="213" spans="1:7" x14ac:dyDescent="0.15">
      <c r="A213" s="10" t="s">
        <v>455</v>
      </c>
      <c r="B213" s="10" t="s">
        <v>440</v>
      </c>
      <c r="C213" s="28">
        <v>271000</v>
      </c>
      <c r="E213" s="10" t="str">
        <f t="shared" si="6"/>
        <v>SCANNER  JEWEL 4800 SCSI 271.000,00 €</v>
      </c>
      <c r="G213" s="73">
        <f t="shared" si="7"/>
        <v>271000</v>
      </c>
    </row>
    <row r="214" spans="1:7" x14ac:dyDescent="0.15">
      <c r="A214" s="10" t="s">
        <v>456</v>
      </c>
      <c r="B214" s="10" t="s">
        <v>440</v>
      </c>
      <c r="C214" s="28">
        <v>458000</v>
      </c>
      <c r="E214" s="10" t="str">
        <f t="shared" si="6"/>
        <v>SCANNER PROFI  9600 SCSI 458.000,00 €</v>
      </c>
      <c r="G214" s="73">
        <f t="shared" si="7"/>
        <v>458000</v>
      </c>
    </row>
    <row r="215" spans="1:7" x14ac:dyDescent="0.15">
      <c r="A215" s="10" t="s">
        <v>457</v>
      </c>
      <c r="B215" s="10" t="s">
        <v>440</v>
      </c>
      <c r="C215" s="28">
        <v>412000</v>
      </c>
      <c r="E215" s="10" t="str">
        <f t="shared" si="6"/>
        <v>SCANNER PHODOX U. S. 300 412.000,00 €</v>
      </c>
      <c r="G215" s="73">
        <f t="shared" si="7"/>
        <v>412000</v>
      </c>
    </row>
    <row r="216" spans="1:7" x14ac:dyDescent="0.15">
      <c r="A216" s="10" t="s">
        <v>458</v>
      </c>
      <c r="B216" s="10" t="s">
        <v>459</v>
      </c>
      <c r="C216" s="28">
        <v>807000</v>
      </c>
      <c r="E216" s="10" t="str">
        <f t="shared" si="6"/>
        <v>FILMSCAN-200PC 807.000,00 €</v>
      </c>
      <c r="G216" s="73">
        <f t="shared" si="7"/>
        <v>807000</v>
      </c>
    </row>
    <row r="217" spans="1:7" x14ac:dyDescent="0.15">
      <c r="A217" s="10" t="s">
        <v>460</v>
      </c>
      <c r="C217" s="28">
        <v>4000</v>
      </c>
      <c r="E217" s="10" t="str">
        <f t="shared" si="6"/>
        <v>TAPPETINO PER MOUSE 4.000,00 €</v>
      </c>
      <c r="G217" s="73">
        <f t="shared" si="7"/>
        <v>4000</v>
      </c>
    </row>
    <row r="218" spans="1:7" x14ac:dyDescent="0.15">
      <c r="A218" s="10" t="s">
        <v>461</v>
      </c>
      <c r="C218" s="28">
        <v>81000</v>
      </c>
      <c r="E218" s="10" t="str">
        <f t="shared" si="6"/>
        <v>ALIMENTATORE 200 W CE 81.000,00 €</v>
      </c>
      <c r="G218" s="73">
        <f t="shared" si="7"/>
        <v>81000</v>
      </c>
    </row>
    <row r="219" spans="1:7" x14ac:dyDescent="0.15">
      <c r="A219" s="10" t="s">
        <v>462</v>
      </c>
      <c r="C219" s="28">
        <v>125000</v>
      </c>
      <c r="E219" s="10" t="str">
        <f t="shared" si="6"/>
        <v>ALIMENTATORE 250 W CE ATX 125.000,00 €</v>
      </c>
      <c r="G219" s="73">
        <f t="shared" si="7"/>
        <v>125000</v>
      </c>
    </row>
    <row r="220" spans="1:7" x14ac:dyDescent="0.15">
      <c r="A220" s="10" t="s">
        <v>463</v>
      </c>
      <c r="C220" s="28">
        <v>98000</v>
      </c>
      <c r="E220" s="10" t="str">
        <f t="shared" si="6"/>
        <v>ALIMENTATORE 230 W CE ATX 98.000,00 €</v>
      </c>
      <c r="G220" s="73">
        <f t="shared" si="7"/>
        <v>98000</v>
      </c>
    </row>
    <row r="221" spans="1:7" x14ac:dyDescent="0.15">
      <c r="A221" s="10" t="s">
        <v>464</v>
      </c>
      <c r="C221" s="28">
        <v>140000</v>
      </c>
      <c r="E221" s="10" t="str">
        <f t="shared" si="6"/>
        <v>ALIMENTATORE 300 W CE ATX 140.000,00 €</v>
      </c>
      <c r="G221" s="73">
        <f t="shared" si="7"/>
        <v>140000</v>
      </c>
    </row>
    <row r="222" spans="1:7" x14ac:dyDescent="0.15">
      <c r="A222" s="10" t="s">
        <v>465</v>
      </c>
      <c r="B222" s="10" t="s">
        <v>466</v>
      </c>
      <c r="C222" s="28">
        <v>5000</v>
      </c>
      <c r="E222" s="10" t="str">
        <f t="shared" si="6"/>
        <v>CAVO PARALLELO STAMP. MT 1,8 5.000,00 €</v>
      </c>
      <c r="G222" s="73">
        <f t="shared" si="7"/>
        <v>5000</v>
      </c>
    </row>
    <row r="223" spans="1:7" x14ac:dyDescent="0.15">
      <c r="A223" s="10" t="s">
        <v>465</v>
      </c>
      <c r="B223" s="10" t="s">
        <v>467</v>
      </c>
      <c r="C223" s="28">
        <v>6000</v>
      </c>
      <c r="E223" s="10" t="str">
        <f t="shared" si="6"/>
        <v>CAVO PARALLELO STAMP. MT 1,8 6.000,00 €</v>
      </c>
      <c r="G223" s="73">
        <f t="shared" si="7"/>
        <v>6000</v>
      </c>
    </row>
    <row r="224" spans="1:7" x14ac:dyDescent="0.15">
      <c r="A224" s="10" t="s">
        <v>468</v>
      </c>
      <c r="C224" s="28">
        <v>9000</v>
      </c>
      <c r="E224" s="10" t="str">
        <f t="shared" si="6"/>
        <v>CAVO PARALLELO STAMP. MT 3 9.000,00 €</v>
      </c>
      <c r="G224" s="73">
        <f t="shared" si="7"/>
        <v>9000</v>
      </c>
    </row>
    <row r="225" spans="1:7" x14ac:dyDescent="0.15">
      <c r="A225" s="10" t="s">
        <v>469</v>
      </c>
      <c r="B225" s="10" t="s">
        <v>470</v>
      </c>
      <c r="C225" s="28">
        <v>8000</v>
      </c>
      <c r="E225" s="10" t="str">
        <f t="shared" si="6"/>
        <v>CONNETTORE MOUSE PS/2 8.000,00 €</v>
      </c>
      <c r="G225" s="73">
        <f t="shared" si="7"/>
        <v>8000</v>
      </c>
    </row>
    <row r="226" spans="1:7" x14ac:dyDescent="0.15">
      <c r="A226" s="10" t="s">
        <v>471</v>
      </c>
      <c r="C226" s="28">
        <v>11000</v>
      </c>
      <c r="E226" s="10" t="str">
        <f t="shared" si="6"/>
        <v>CONNETTORE TASTIERA PS/2 11.000,00 €</v>
      </c>
      <c r="G226" s="73">
        <f t="shared" si="7"/>
        <v>11000</v>
      </c>
    </row>
    <row r="227" spans="1:7" x14ac:dyDescent="0.15">
      <c r="A227" s="10" t="s">
        <v>472</v>
      </c>
      <c r="B227" s="10" t="s">
        <v>473</v>
      </c>
      <c r="C227" s="28">
        <v>21000</v>
      </c>
      <c r="E227" s="10" t="str">
        <f t="shared" si="6"/>
        <v>CONNETTORE USB/MIR 21.000,00 €</v>
      </c>
      <c r="G227" s="73">
        <f t="shared" si="7"/>
        <v>21000</v>
      </c>
    </row>
    <row r="228" spans="1:7" x14ac:dyDescent="0.15">
      <c r="A228" s="10" t="s">
        <v>474</v>
      </c>
      <c r="B228" s="10" t="s">
        <v>440</v>
      </c>
      <c r="C228" s="28">
        <v>14000</v>
      </c>
      <c r="E228" s="10" t="str">
        <f t="shared" si="6"/>
        <v>DATA-SWITCH 2/1 MANUALE 14.000,00 €</v>
      </c>
      <c r="G228" s="73">
        <f t="shared" si="7"/>
        <v>14000</v>
      </c>
    </row>
    <row r="229" spans="1:7" x14ac:dyDescent="0.15">
      <c r="A229" s="10" t="s">
        <v>475</v>
      </c>
      <c r="B229" s="10" t="s">
        <v>440</v>
      </c>
      <c r="C229" s="28">
        <v>23000</v>
      </c>
      <c r="E229" s="10" t="str">
        <f t="shared" si="6"/>
        <v>DATA-SWITCH 2/2 MANUALE 23.000,00 €</v>
      </c>
      <c r="G229" s="73">
        <f t="shared" si="7"/>
        <v>23000</v>
      </c>
    </row>
    <row r="230" spans="1:7" x14ac:dyDescent="0.15">
      <c r="A230" s="10" t="s">
        <v>476</v>
      </c>
      <c r="B230" s="10" t="s">
        <v>440</v>
      </c>
      <c r="C230" s="28">
        <v>51000</v>
      </c>
      <c r="E230" s="10" t="str">
        <f t="shared" si="6"/>
        <v>DATA-SWITCH 2/1 BIDIREZ. 51.000,00 €</v>
      </c>
      <c r="G230" s="73">
        <f t="shared" si="7"/>
        <v>51000</v>
      </c>
    </row>
    <row r="231" spans="1:7" x14ac:dyDescent="0.15">
      <c r="A231" s="10" t="s">
        <v>477</v>
      </c>
      <c r="C231" s="32"/>
      <c r="E231" s="10" t="str">
        <f t="shared" si="6"/>
        <v>SOFTWARE 0,00 €</v>
      </c>
      <c r="G231" s="73">
        <f t="shared" si="7"/>
        <v>0</v>
      </c>
    </row>
    <row r="232" spans="1:7" x14ac:dyDescent="0.15">
      <c r="A232" s="10" t="s">
        <v>478</v>
      </c>
      <c r="B232" s="10" t="s">
        <v>479</v>
      </c>
      <c r="C232" s="28">
        <v>198000</v>
      </c>
      <c r="E232" s="10" t="str">
        <f t="shared" si="6"/>
        <v>COMBO DOS6.22+WIN3.11+DSK.MAN. 198.000,00 €</v>
      </c>
      <c r="G232" s="73">
        <f t="shared" si="7"/>
        <v>198000</v>
      </c>
    </row>
    <row r="233" spans="1:7" x14ac:dyDescent="0.15">
      <c r="A233" s="10" t="s">
        <v>480</v>
      </c>
      <c r="B233" s="10" t="s">
        <v>479</v>
      </c>
      <c r="C233" s="28">
        <v>167000</v>
      </c>
      <c r="E233" s="10" t="str">
        <f t="shared" si="6"/>
        <v>WINDOWS 95, MANUALI + CD 167.000,00 €</v>
      </c>
      <c r="G233" s="73">
        <f t="shared" si="7"/>
        <v>167000</v>
      </c>
    </row>
    <row r="234" spans="1:7" x14ac:dyDescent="0.15">
      <c r="A234" s="10" t="s">
        <v>481</v>
      </c>
      <c r="B234" s="10" t="s">
        <v>482</v>
      </c>
      <c r="C234" s="28">
        <v>95000</v>
      </c>
      <c r="E234" s="10" t="str">
        <f t="shared" si="6"/>
        <v>LICENZA STUDENTE SISTEMI  95.000,00 €</v>
      </c>
      <c r="G234" s="73">
        <f t="shared" si="7"/>
        <v>95000</v>
      </c>
    </row>
    <row r="235" spans="1:7" x14ac:dyDescent="0.15">
      <c r="A235" s="10" t="s">
        <v>483</v>
      </c>
      <c r="B235" s="10" t="s">
        <v>482</v>
      </c>
      <c r="C235" s="28">
        <v>141000</v>
      </c>
      <c r="E235" s="10" t="str">
        <f t="shared" si="6"/>
        <v>LICENZA STUDENTE APPLICAZIONI 141.000,00 €</v>
      </c>
      <c r="G235" s="73">
        <f t="shared" si="7"/>
        <v>141000</v>
      </c>
    </row>
    <row r="236" spans="1:7" x14ac:dyDescent="0.15">
      <c r="A236" s="10" t="s">
        <v>484</v>
      </c>
      <c r="B236" s="10" t="s">
        <v>479</v>
      </c>
      <c r="C236" s="28">
        <v>351000</v>
      </c>
      <c r="E236" s="10" t="str">
        <f t="shared" si="6"/>
        <v>WIN NT WORKSTATION 4.0 351.000,00 €</v>
      </c>
      <c r="G236" s="73">
        <f t="shared" si="7"/>
        <v>351000</v>
      </c>
    </row>
    <row r="237" spans="1:7" x14ac:dyDescent="0.15">
      <c r="A237" s="10" t="s">
        <v>485</v>
      </c>
      <c r="B237" s="10" t="s">
        <v>486</v>
      </c>
      <c r="C237" s="28">
        <v>414000</v>
      </c>
      <c r="E237" s="10" t="str">
        <f t="shared" si="6"/>
        <v>OFFICE SMALL BUSINESS 414.000,00 €</v>
      </c>
      <c r="G237" s="73">
        <f t="shared" si="7"/>
        <v>414000</v>
      </c>
    </row>
    <row r="238" spans="1:7" x14ac:dyDescent="0.15">
      <c r="A238" s="10" t="s">
        <v>487</v>
      </c>
      <c r="B238" s="10" t="s">
        <v>479</v>
      </c>
      <c r="C238" s="28">
        <v>61000</v>
      </c>
      <c r="E238" s="10" t="str">
        <f t="shared" si="6"/>
        <v>WORKS 4.5 ITA, MANUALI + CD 61.000,00 €</v>
      </c>
      <c r="G238" s="73">
        <f t="shared" si="7"/>
        <v>61000</v>
      </c>
    </row>
    <row r="239" spans="1:7" x14ac:dyDescent="0.15">
      <c r="A239" s="10" t="s">
        <v>488</v>
      </c>
      <c r="B239" s="10" t="s">
        <v>479</v>
      </c>
      <c r="C239" s="28">
        <v>893000</v>
      </c>
      <c r="E239" s="10" t="str">
        <f t="shared" si="6"/>
        <v>FIVE PACK WIN 95 893.000,00 €</v>
      </c>
      <c r="G239" s="73">
        <f t="shared" si="7"/>
        <v>893000</v>
      </c>
    </row>
    <row r="240" spans="1:7" x14ac:dyDescent="0.15">
      <c r="A240" s="10" t="s">
        <v>489</v>
      </c>
      <c r="B240" s="10" t="s">
        <v>479</v>
      </c>
      <c r="C240" s="28">
        <v>985000</v>
      </c>
      <c r="E240" s="10" t="str">
        <f t="shared" si="6"/>
        <v>FIVE PACK COMBO WIN3.11-DOS 985.000,00 €</v>
      </c>
      <c r="G240" s="73">
        <f t="shared" si="7"/>
        <v>985000</v>
      </c>
    </row>
    <row r="241" spans="1:7" x14ac:dyDescent="0.15">
      <c r="A241" s="10" t="s">
        <v>490</v>
      </c>
      <c r="B241" s="10" t="s">
        <v>479</v>
      </c>
      <c r="C241" s="28">
        <v>296000</v>
      </c>
      <c r="E241" s="10" t="str">
        <f t="shared" si="6"/>
        <v>FIVE PACK WORKS 4.5 296.000,00 €</v>
      </c>
      <c r="G241" s="73">
        <f t="shared" si="7"/>
        <v>296000</v>
      </c>
    </row>
    <row r="242" spans="1:7" x14ac:dyDescent="0.15">
      <c r="A242" s="10" t="s">
        <v>491</v>
      </c>
      <c r="B242" s="10" t="s">
        <v>479</v>
      </c>
      <c r="C242" s="28">
        <v>685000</v>
      </c>
      <c r="E242" s="10" t="str">
        <f t="shared" si="6"/>
        <v>3-PACK  HOME ESSENTIALS 98 685.000,00 €</v>
      </c>
      <c r="G242" s="73">
        <f t="shared" si="7"/>
        <v>685000</v>
      </c>
    </row>
    <row r="243" spans="1:7" x14ac:dyDescent="0.15">
      <c r="A243" s="10" t="s">
        <v>492</v>
      </c>
      <c r="B243" s="10" t="s">
        <v>479</v>
      </c>
      <c r="C243" s="28">
        <v>1138000</v>
      </c>
      <c r="E243" s="10" t="str">
        <f t="shared" si="6"/>
        <v>3-PACK WIN NT WORKSTATION 4.0 1.138.000,00 €</v>
      </c>
      <c r="G243" s="73">
        <f t="shared" si="7"/>
        <v>1138000</v>
      </c>
    </row>
    <row r="244" spans="1:7" x14ac:dyDescent="0.15">
      <c r="A244" s="10" t="s">
        <v>493</v>
      </c>
      <c r="B244" s="10" t="s">
        <v>479</v>
      </c>
      <c r="C244" s="28">
        <v>1334000</v>
      </c>
      <c r="E244" s="10" t="str">
        <f t="shared" si="6"/>
        <v>3-PACK OFFICE SMALL BUSINESS 1.334.000,00 €</v>
      </c>
      <c r="G244" s="73">
        <f t="shared" si="7"/>
        <v>1334000</v>
      </c>
    </row>
    <row r="245" spans="1:7" x14ac:dyDescent="0.15">
      <c r="A245" s="10" t="s">
        <v>494</v>
      </c>
      <c r="B245" s="10" t="s">
        <v>274</v>
      </c>
      <c r="C245" s="28">
        <v>30000</v>
      </c>
      <c r="E245" s="10" t="str">
        <f t="shared" si="6"/>
        <v>CD VIDEOGUIDA  WIN'95 30.000,00 €</v>
      </c>
      <c r="G245" s="73">
        <f t="shared" si="7"/>
        <v>30000</v>
      </c>
    </row>
    <row r="246" spans="1:7" x14ac:dyDescent="0.15">
      <c r="A246" s="10" t="s">
        <v>495</v>
      </c>
      <c r="B246" s="10" t="s">
        <v>274</v>
      </c>
      <c r="C246" s="28">
        <v>30000</v>
      </c>
      <c r="E246" s="10" t="str">
        <f t="shared" si="6"/>
        <v>CD VIDEGUIDA INTERNET 30.000,00 €</v>
      </c>
      <c r="G246" s="73">
        <f t="shared" si="7"/>
        <v>30000</v>
      </c>
    </row>
    <row r="247" spans="1:7" x14ac:dyDescent="0.15">
      <c r="A247" s="10" t="s">
        <v>496</v>
      </c>
      <c r="B247" s="10" t="s">
        <v>497</v>
      </c>
      <c r="C247" s="28">
        <v>406000</v>
      </c>
      <c r="E247" s="10" t="str">
        <f t="shared" si="6"/>
        <v>WINDOWS 95  406.000,00 €</v>
      </c>
      <c r="G247" s="73">
        <f t="shared" si="7"/>
        <v>406000</v>
      </c>
    </row>
    <row r="248" spans="1:7" x14ac:dyDescent="0.15">
      <c r="A248" s="10" t="s">
        <v>498</v>
      </c>
      <c r="B248" s="10" t="s">
        <v>497</v>
      </c>
      <c r="C248" s="28">
        <v>197000</v>
      </c>
      <c r="E248" s="10" t="str">
        <f t="shared" si="6"/>
        <v>WINDOWS 95 Lic. Agg. 197.000,00 €</v>
      </c>
      <c r="G248" s="73">
        <f t="shared" si="7"/>
        <v>197000</v>
      </c>
    </row>
    <row r="249" spans="1:7" x14ac:dyDescent="0.15">
      <c r="A249" s="10" t="s">
        <v>499</v>
      </c>
      <c r="B249" s="10" t="s">
        <v>497</v>
      </c>
      <c r="C249" s="28">
        <v>645000</v>
      </c>
      <c r="E249" s="10" t="str">
        <f t="shared" si="6"/>
        <v>EXCEL 7.0 645.000,00 €</v>
      </c>
      <c r="G249" s="73">
        <f t="shared" si="7"/>
        <v>645000</v>
      </c>
    </row>
    <row r="250" spans="1:7" x14ac:dyDescent="0.15">
      <c r="A250" s="10" t="s">
        <v>500</v>
      </c>
      <c r="B250" s="10" t="s">
        <v>497</v>
      </c>
      <c r="C250" s="28">
        <v>645000</v>
      </c>
      <c r="E250" s="10" t="str">
        <f t="shared" si="6"/>
        <v>EXCEL 97 645.000,00 €</v>
      </c>
      <c r="G250" s="73">
        <f t="shared" si="7"/>
        <v>645000</v>
      </c>
    </row>
    <row r="251" spans="1:7" x14ac:dyDescent="0.15">
      <c r="A251" s="10" t="s">
        <v>501</v>
      </c>
      <c r="B251" s="10" t="s">
        <v>497</v>
      </c>
      <c r="C251" s="28">
        <v>259000</v>
      </c>
      <c r="E251" s="10" t="str">
        <f t="shared" si="6"/>
        <v>EXCEL 97 Agg. 259.000,00 €</v>
      </c>
      <c r="G251" s="73">
        <f t="shared" si="7"/>
        <v>259000</v>
      </c>
    </row>
    <row r="252" spans="1:7" x14ac:dyDescent="0.15">
      <c r="A252" s="10" t="s">
        <v>502</v>
      </c>
      <c r="B252" s="10" t="s">
        <v>497</v>
      </c>
      <c r="C252" s="28">
        <v>646000</v>
      </c>
      <c r="E252" s="10" t="str">
        <f t="shared" si="6"/>
        <v>WORD 97 646.000,00 €</v>
      </c>
      <c r="G252" s="73">
        <f t="shared" si="7"/>
        <v>646000</v>
      </c>
    </row>
    <row r="253" spans="1:7" x14ac:dyDescent="0.15">
      <c r="A253" s="10" t="s">
        <v>503</v>
      </c>
      <c r="B253" s="10" t="s">
        <v>497</v>
      </c>
      <c r="C253" s="28">
        <v>259000</v>
      </c>
      <c r="E253" s="10" t="str">
        <f t="shared" si="6"/>
        <v>WORD 97 Agg. 259.000,00 €</v>
      </c>
      <c r="G253" s="73">
        <f t="shared" si="7"/>
        <v>259000</v>
      </c>
    </row>
    <row r="254" spans="1:7" x14ac:dyDescent="0.15">
      <c r="A254" s="10" t="s">
        <v>504</v>
      </c>
      <c r="B254" s="10" t="s">
        <v>497</v>
      </c>
      <c r="C254" s="28">
        <v>645000</v>
      </c>
      <c r="E254" s="10" t="str">
        <f t="shared" si="6"/>
        <v>ACCESS 97 645.000,00 €</v>
      </c>
      <c r="G254" s="73">
        <f t="shared" si="7"/>
        <v>645000</v>
      </c>
    </row>
    <row r="255" spans="1:7" x14ac:dyDescent="0.15">
      <c r="A255" s="10" t="s">
        <v>505</v>
      </c>
      <c r="B255" s="10" t="s">
        <v>497</v>
      </c>
      <c r="C255" s="28">
        <v>879000</v>
      </c>
      <c r="E255" s="10" t="str">
        <f t="shared" si="6"/>
        <v>OFFICE 97 SMALL BUSINESS 879.000,00 €</v>
      </c>
      <c r="G255" s="73">
        <f t="shared" si="7"/>
        <v>879000</v>
      </c>
    </row>
    <row r="256" spans="1:7" x14ac:dyDescent="0.15">
      <c r="A256" s="10" t="s">
        <v>506</v>
      </c>
      <c r="B256" s="10" t="s">
        <v>497</v>
      </c>
      <c r="C256" s="28">
        <v>259000</v>
      </c>
      <c r="E256" s="10" t="str">
        <f t="shared" si="6"/>
        <v>HOME ESSENTIALS 98 259.000,00 €</v>
      </c>
      <c r="G256" s="73">
        <f t="shared" si="7"/>
        <v>259000</v>
      </c>
    </row>
    <row r="257" spans="1:7" x14ac:dyDescent="0.15">
      <c r="A257" s="10" t="s">
        <v>507</v>
      </c>
      <c r="B257" s="10" t="s">
        <v>497</v>
      </c>
      <c r="C257" s="28">
        <v>274000</v>
      </c>
      <c r="E257" s="10" t="str">
        <f t="shared" si="6"/>
        <v>FRONTPAGE 98 274.000,00 €</v>
      </c>
      <c r="G257" s="73">
        <f t="shared" si="7"/>
        <v>274000</v>
      </c>
    </row>
    <row r="258" spans="1:7" x14ac:dyDescent="0.15">
      <c r="A258" s="10" t="s">
        <v>508</v>
      </c>
      <c r="B258" s="10" t="s">
        <v>497</v>
      </c>
      <c r="C258" s="28">
        <v>975000</v>
      </c>
      <c r="E258" s="10" t="str">
        <f t="shared" si="6"/>
        <v>OFFICE '97 975.000,00 €</v>
      </c>
      <c r="G258" s="73">
        <f t="shared" si="7"/>
        <v>975000</v>
      </c>
    </row>
    <row r="259" spans="1:7" x14ac:dyDescent="0.15">
      <c r="A259" s="10" t="s">
        <v>509</v>
      </c>
      <c r="B259" s="10" t="s">
        <v>497</v>
      </c>
      <c r="C259" s="28">
        <v>480000</v>
      </c>
      <c r="E259" s="10" t="str">
        <f t="shared" si="6"/>
        <v>OFFICE '97 Agg. 480.000,00 €</v>
      </c>
      <c r="G259" s="73">
        <f t="shared" si="7"/>
        <v>480000</v>
      </c>
    </row>
    <row r="260" spans="1:7" x14ac:dyDescent="0.15">
      <c r="A260" s="10" t="s">
        <v>510</v>
      </c>
      <c r="B260" s="10" t="s">
        <v>497</v>
      </c>
      <c r="C260" s="28">
        <v>1187000</v>
      </c>
      <c r="E260" s="10" t="str">
        <f t="shared" si="6"/>
        <v>OFFICE '97 Professional 1.187.000,00 €</v>
      </c>
      <c r="G260" s="73">
        <f t="shared" si="7"/>
        <v>1187000</v>
      </c>
    </row>
    <row r="261" spans="1:7" x14ac:dyDescent="0.15">
      <c r="A261" s="10" t="s">
        <v>511</v>
      </c>
      <c r="B261" s="10" t="s">
        <v>497</v>
      </c>
      <c r="C261" s="28">
        <v>832000</v>
      </c>
      <c r="E261" s="10" t="str">
        <f t="shared" si="6"/>
        <v>OFFICE '97 Professional Agg. 832.000,00 €</v>
      </c>
      <c r="G261" s="73">
        <f t="shared" si="7"/>
        <v>832000</v>
      </c>
    </row>
    <row r="262" spans="1:7" x14ac:dyDescent="0.15">
      <c r="A262" s="10" t="s">
        <v>512</v>
      </c>
      <c r="B262" s="10" t="s">
        <v>497</v>
      </c>
      <c r="C262" s="28">
        <v>227000</v>
      </c>
      <c r="E262" s="10" t="str">
        <f t="shared" ref="E262:E325" si="8">CONCATENATE(A262," ",DOLLAR(C262))</f>
        <v>VISUAL BASIC 4.0 STD 227.000,00 €</v>
      </c>
      <c r="G262" s="73">
        <f t="shared" ref="G262:G325" si="9">C262+C262*$H$4</f>
        <v>227000</v>
      </c>
    </row>
    <row r="263" spans="1:7" x14ac:dyDescent="0.15">
      <c r="A263" s="10" t="s">
        <v>513</v>
      </c>
      <c r="B263" s="10" t="s">
        <v>497</v>
      </c>
      <c r="C263" s="28">
        <v>98000</v>
      </c>
      <c r="E263" s="10" t="str">
        <f t="shared" si="8"/>
        <v>VISUAL BASIC 4.0 Agg. 98.000,00 €</v>
      </c>
      <c r="G263" s="73">
        <f t="shared" si="9"/>
        <v>98000</v>
      </c>
    </row>
    <row r="264" spans="1:7" x14ac:dyDescent="0.15">
      <c r="A264" s="10" t="s">
        <v>514</v>
      </c>
      <c r="B264" s="10" t="s">
        <v>497</v>
      </c>
      <c r="C264" s="28">
        <v>1190000</v>
      </c>
      <c r="E264" s="10" t="str">
        <f t="shared" si="8"/>
        <v>VISUAL BASIC 4.0 PROFESSIONAL 1.190.000,00 €</v>
      </c>
      <c r="G264" s="73">
        <f t="shared" si="9"/>
        <v>1190000</v>
      </c>
    </row>
    <row r="265" spans="1:7" x14ac:dyDescent="0.15">
      <c r="A265" s="10" t="s">
        <v>515</v>
      </c>
      <c r="B265" s="10" t="s">
        <v>497</v>
      </c>
      <c r="C265" s="28">
        <v>300000</v>
      </c>
      <c r="E265" s="10" t="str">
        <f t="shared" si="8"/>
        <v>VISUAL BASIC 4.0 PROF. Agg. 300.000,00 €</v>
      </c>
      <c r="G265" s="73">
        <f t="shared" si="9"/>
        <v>300000</v>
      </c>
    </row>
    <row r="266" spans="1:7" x14ac:dyDescent="0.15">
      <c r="A266" s="10" t="s">
        <v>516</v>
      </c>
      <c r="B266" s="10" t="s">
        <v>497</v>
      </c>
      <c r="C266" s="28">
        <v>2407000</v>
      </c>
      <c r="E266" s="10" t="str">
        <f t="shared" si="8"/>
        <v>VISUAL BASIC 4.0 ENTERPRICE 2.407.000,00 €</v>
      </c>
      <c r="G266" s="73">
        <f t="shared" si="9"/>
        <v>2407000</v>
      </c>
    </row>
    <row r="267" spans="1:7" x14ac:dyDescent="0.15">
      <c r="A267" s="10" t="s">
        <v>517</v>
      </c>
      <c r="B267" s="10" t="s">
        <v>497</v>
      </c>
      <c r="C267" s="28">
        <v>1021000</v>
      </c>
      <c r="E267" s="10" t="str">
        <f t="shared" si="8"/>
        <v>VISUAL BASIC 4.0 ENTERPRICE Agg. 1.021.000,00 €</v>
      </c>
      <c r="G267" s="73">
        <f t="shared" si="9"/>
        <v>1021000</v>
      </c>
    </row>
    <row r="268" spans="1:7" x14ac:dyDescent="0.15">
      <c r="A268" s="10" t="s">
        <v>518</v>
      </c>
      <c r="B268" s="10" t="s">
        <v>497</v>
      </c>
      <c r="C268" s="28">
        <v>646000</v>
      </c>
      <c r="E268" s="10" t="str">
        <f t="shared" si="8"/>
        <v>POWERPOINT 97 646.000,00 €</v>
      </c>
      <c r="G268" s="73">
        <f t="shared" si="9"/>
        <v>646000</v>
      </c>
    </row>
    <row r="269" spans="1:7" x14ac:dyDescent="0.15">
      <c r="A269" s="10" t="s">
        <v>519</v>
      </c>
      <c r="B269" s="10" t="s">
        <v>497</v>
      </c>
      <c r="C269" s="28">
        <v>259000</v>
      </c>
      <c r="E269" s="10" t="str">
        <f t="shared" si="8"/>
        <v>POWERPOINT 97 Agg. 259.000,00 €</v>
      </c>
      <c r="G269" s="73">
        <f t="shared" si="9"/>
        <v>259000</v>
      </c>
    </row>
    <row r="270" spans="1:7" x14ac:dyDescent="0.15">
      <c r="A270" s="10" t="s">
        <v>520</v>
      </c>
      <c r="B270" s="10" t="s">
        <v>497</v>
      </c>
      <c r="C270" s="28">
        <v>193000</v>
      </c>
      <c r="E270" s="10" t="str">
        <f t="shared" si="8"/>
        <v>PUBLISHER 3.0 193.000,00 €</v>
      </c>
      <c r="G270" s="73">
        <f t="shared" si="9"/>
        <v>193000</v>
      </c>
    </row>
    <row r="271" spans="1:7" x14ac:dyDescent="0.15">
      <c r="A271" s="10" t="s">
        <v>521</v>
      </c>
      <c r="B271" s="10" t="s">
        <v>497</v>
      </c>
      <c r="C271" s="28">
        <v>96000</v>
      </c>
      <c r="E271" s="10" t="str">
        <f t="shared" si="8"/>
        <v>PUBLISHER 3.0 Agg. 96.000,00 €</v>
      </c>
      <c r="G271" s="73">
        <f t="shared" si="9"/>
        <v>96000</v>
      </c>
    </row>
    <row r="272" spans="1:7" x14ac:dyDescent="0.15">
      <c r="A272" s="10" t="s">
        <v>522</v>
      </c>
      <c r="B272" s="10" t="s">
        <v>497</v>
      </c>
      <c r="C272" s="28">
        <v>594000</v>
      </c>
      <c r="E272" s="10" t="str">
        <f t="shared" si="8"/>
        <v>WINDOWS NT 4.0 WORKSTATION 594.000,00 €</v>
      </c>
      <c r="G272" s="73">
        <f t="shared" si="9"/>
        <v>594000</v>
      </c>
    </row>
    <row r="273" spans="1:7" x14ac:dyDescent="0.15">
      <c r="A273" s="10" t="s">
        <v>523</v>
      </c>
      <c r="B273" s="10" t="s">
        <v>497</v>
      </c>
      <c r="C273" s="28">
        <v>282000</v>
      </c>
      <c r="E273" s="10" t="str">
        <f t="shared" si="8"/>
        <v>WINDOWS NT 4.0 Agg. WORKSTATION 282.000,00 €</v>
      </c>
      <c r="G273" s="73">
        <f t="shared" si="9"/>
        <v>282000</v>
      </c>
    </row>
    <row r="274" spans="1:7" x14ac:dyDescent="0.15">
      <c r="A274" s="10" t="s">
        <v>524</v>
      </c>
      <c r="B274" s="10" t="s">
        <v>497</v>
      </c>
      <c r="C274" s="28">
        <v>1814000</v>
      </c>
      <c r="E274" s="10" t="str">
        <f t="shared" si="8"/>
        <v>WINDOWS NT 4.0 SERVER 5 client 1.814.000,00 €</v>
      </c>
      <c r="G274" s="73">
        <f t="shared" si="9"/>
        <v>1814000</v>
      </c>
    </row>
    <row r="275" spans="1:7" x14ac:dyDescent="0.15">
      <c r="A275" s="10" t="s">
        <v>525</v>
      </c>
      <c r="B275" s="10" t="s">
        <v>497</v>
      </c>
      <c r="C275" s="28">
        <v>193000</v>
      </c>
      <c r="E275" s="10" t="str">
        <f t="shared" si="8"/>
        <v>WINDOWS 3.1 193.000,00 €</v>
      </c>
      <c r="G275" s="73">
        <f t="shared" si="9"/>
        <v>193000</v>
      </c>
    </row>
    <row r="276" spans="1:7" x14ac:dyDescent="0.15">
      <c r="A276" s="10" t="s">
        <v>526</v>
      </c>
      <c r="B276" s="10" t="s">
        <v>497</v>
      </c>
      <c r="C276" s="28">
        <v>654000</v>
      </c>
      <c r="E276" s="10" t="str">
        <f t="shared" si="8"/>
        <v>POWERPOINT 4.0 654.000,00 €</v>
      </c>
      <c r="G276" s="73">
        <f t="shared" si="9"/>
        <v>654000</v>
      </c>
    </row>
    <row r="277" spans="1:7" x14ac:dyDescent="0.15">
      <c r="A277" s="10" t="s">
        <v>527</v>
      </c>
      <c r="B277" s="10" t="s">
        <v>497</v>
      </c>
      <c r="C277" s="28">
        <v>729000</v>
      </c>
      <c r="E277" s="10" t="str">
        <f t="shared" si="8"/>
        <v>EXCEL 5.0 729.000,00 €</v>
      </c>
      <c r="G277" s="73">
        <f t="shared" si="9"/>
        <v>729000</v>
      </c>
    </row>
    <row r="278" spans="1:7" x14ac:dyDescent="0.15">
      <c r="A278" s="10" t="s">
        <v>528</v>
      </c>
      <c r="B278" s="10" t="s">
        <v>497</v>
      </c>
      <c r="C278" s="28">
        <v>632000</v>
      </c>
      <c r="E278" s="10" t="str">
        <f t="shared" si="8"/>
        <v>ACCESS 2.0 632.000,00 €</v>
      </c>
      <c r="G278" s="73">
        <f t="shared" si="9"/>
        <v>632000</v>
      </c>
    </row>
    <row r="279" spans="1:7" x14ac:dyDescent="0.15">
      <c r="A279" s="10" t="s">
        <v>529</v>
      </c>
      <c r="B279" s="10" t="s">
        <v>497</v>
      </c>
      <c r="C279" s="28">
        <v>240000</v>
      </c>
      <c r="E279" s="10" t="str">
        <f t="shared" si="8"/>
        <v>ACCESS 2.0 Competitivo 240.000,00 €</v>
      </c>
      <c r="G279" s="73">
        <f t="shared" si="9"/>
        <v>240000</v>
      </c>
    </row>
    <row r="280" spans="1:7" x14ac:dyDescent="0.15">
      <c r="A280" s="10" t="s">
        <v>530</v>
      </c>
      <c r="B280" s="10" t="s">
        <v>531</v>
      </c>
      <c r="C280" s="28">
        <v>955000</v>
      </c>
      <c r="E280" s="10" t="str">
        <f t="shared" si="8"/>
        <v>OFFICE 4.2 955.000,00 €</v>
      </c>
      <c r="G280" s="73">
        <f t="shared" si="9"/>
        <v>955000</v>
      </c>
    </row>
    <row r="281" spans="1:7" x14ac:dyDescent="0.15">
      <c r="A281" s="10" t="s">
        <v>532</v>
      </c>
      <c r="B281" s="10" t="s">
        <v>531</v>
      </c>
      <c r="C281" s="28">
        <v>1126000</v>
      </c>
      <c r="E281" s="10" t="str">
        <f t="shared" si="8"/>
        <v>OFFICE 4.3 PROFESSIONAL 1.126.000,00 €</v>
      </c>
      <c r="G281" s="73">
        <f t="shared" si="9"/>
        <v>1126000</v>
      </c>
    </row>
    <row r="282" spans="1:7" x14ac:dyDescent="0.15">
      <c r="A282" s="10" t="s">
        <v>533</v>
      </c>
      <c r="C282" s="32"/>
      <c r="E282" s="10" t="str">
        <f t="shared" si="8"/>
        <v>STAMPANTI 0,00 €</v>
      </c>
      <c r="G282" s="73">
        <f t="shared" si="9"/>
        <v>0</v>
      </c>
    </row>
    <row r="283" spans="1:7" x14ac:dyDescent="0.15">
      <c r="A283" s="10" t="s">
        <v>534</v>
      </c>
      <c r="B283" s="10" t="s">
        <v>535</v>
      </c>
      <c r="C283" s="28">
        <v>297000</v>
      </c>
      <c r="E283" s="10" t="str">
        <f t="shared" si="8"/>
        <v>STAMP.EPSON LX300 297.000,00 €</v>
      </c>
      <c r="G283" s="73">
        <f t="shared" si="9"/>
        <v>297000</v>
      </c>
    </row>
    <row r="284" spans="1:7" x14ac:dyDescent="0.15">
      <c r="A284" s="10" t="s">
        <v>536</v>
      </c>
      <c r="B284" s="10" t="s">
        <v>537</v>
      </c>
      <c r="C284" s="28">
        <v>646000</v>
      </c>
      <c r="E284" s="10" t="str">
        <f t="shared" si="8"/>
        <v>STAMP.EPSON LX1050+ 646.000,00 €</v>
      </c>
      <c r="G284" s="73">
        <f t="shared" si="9"/>
        <v>646000</v>
      </c>
    </row>
    <row r="285" spans="1:7" x14ac:dyDescent="0.15">
      <c r="A285" s="10" t="s">
        <v>538</v>
      </c>
      <c r="B285" s="10" t="s">
        <v>539</v>
      </c>
      <c r="C285" s="28">
        <v>714000</v>
      </c>
      <c r="E285" s="10" t="str">
        <f t="shared" si="8"/>
        <v>STAMP.EPSON FX870 714.000,00 €</v>
      </c>
      <c r="G285" s="73">
        <f t="shared" si="9"/>
        <v>714000</v>
      </c>
    </row>
    <row r="286" spans="1:7" x14ac:dyDescent="0.15">
      <c r="A286" s="10" t="s">
        <v>540</v>
      </c>
      <c r="B286" s="10" t="s">
        <v>541</v>
      </c>
      <c r="C286" s="28">
        <v>807000</v>
      </c>
      <c r="E286" s="10" t="str">
        <f t="shared" si="8"/>
        <v>STAMP.EPSON FX1170 807.000,00 €</v>
      </c>
      <c r="G286" s="73">
        <f t="shared" si="9"/>
        <v>807000</v>
      </c>
    </row>
    <row r="287" spans="1:7" x14ac:dyDescent="0.15">
      <c r="A287" s="10" t="s">
        <v>542</v>
      </c>
      <c r="B287" s="10" t="s">
        <v>543</v>
      </c>
      <c r="C287" s="28">
        <v>591000</v>
      </c>
      <c r="E287" s="10" t="str">
        <f t="shared" si="8"/>
        <v>STAMP.EPSON LQ570+ 591.000,00 €</v>
      </c>
      <c r="G287" s="73">
        <f t="shared" si="9"/>
        <v>591000</v>
      </c>
    </row>
    <row r="288" spans="1:7" x14ac:dyDescent="0.15">
      <c r="A288" s="10" t="s">
        <v>544</v>
      </c>
      <c r="B288" s="10" t="s">
        <v>545</v>
      </c>
      <c r="C288" s="28">
        <v>918000</v>
      </c>
      <c r="E288" s="10" t="str">
        <f t="shared" si="8"/>
        <v>STAMP.EPSON LQ2070+ 918.000,00 €</v>
      </c>
      <c r="G288" s="73">
        <f t="shared" si="9"/>
        <v>918000</v>
      </c>
    </row>
    <row r="289" spans="1:7" x14ac:dyDescent="0.15">
      <c r="A289" s="10" t="s">
        <v>546</v>
      </c>
      <c r="B289" s="10" t="s">
        <v>547</v>
      </c>
      <c r="C289" s="28">
        <v>1265000</v>
      </c>
      <c r="E289" s="10" t="str">
        <f t="shared" si="8"/>
        <v>STAMP.EPSON LQ 2170 1.265.000,00 €</v>
      </c>
      <c r="G289" s="73">
        <f t="shared" si="9"/>
        <v>1265000</v>
      </c>
    </row>
    <row r="290" spans="1:7" x14ac:dyDescent="0.15">
      <c r="A290" s="10" t="s">
        <v>548</v>
      </c>
      <c r="B290" s="10" t="s">
        <v>549</v>
      </c>
      <c r="C290" s="28">
        <v>256000</v>
      </c>
      <c r="E290" s="10" t="str">
        <f t="shared" si="8"/>
        <v>STAMP.EPSON STYLUS 300COLOR 256.000,00 €</v>
      </c>
      <c r="G290" s="73">
        <f t="shared" si="9"/>
        <v>256000</v>
      </c>
    </row>
    <row r="291" spans="1:7" x14ac:dyDescent="0.15">
      <c r="A291" s="10" t="s">
        <v>550</v>
      </c>
      <c r="B291" s="10" t="s">
        <v>551</v>
      </c>
      <c r="C291" s="28">
        <v>371000</v>
      </c>
      <c r="E291" s="10" t="str">
        <f t="shared" si="8"/>
        <v>STAMP.EPSON STYLUS 400COLOR 371.000,00 €</v>
      </c>
      <c r="G291" s="73">
        <f t="shared" si="9"/>
        <v>371000</v>
      </c>
    </row>
    <row r="292" spans="1:7" x14ac:dyDescent="0.15">
      <c r="A292" s="10" t="s">
        <v>552</v>
      </c>
      <c r="B292" s="10" t="s">
        <v>553</v>
      </c>
      <c r="C292" s="28">
        <v>457000</v>
      </c>
      <c r="E292" s="10" t="str">
        <f t="shared" si="8"/>
        <v>STAMP.EPSON STYLUS 600COLOR 457.000,00 €</v>
      </c>
      <c r="G292" s="73">
        <f t="shared" si="9"/>
        <v>457000</v>
      </c>
    </row>
    <row r="293" spans="1:7" x14ac:dyDescent="0.15">
      <c r="A293" s="10" t="s">
        <v>554</v>
      </c>
      <c r="B293" s="10" t="s">
        <v>555</v>
      </c>
      <c r="C293" s="28">
        <v>642000</v>
      </c>
      <c r="E293" s="10" t="str">
        <f t="shared" si="8"/>
        <v>STAMP.EPSON STYLUS 800COLOR 642.000,00 €</v>
      </c>
      <c r="G293" s="73">
        <f t="shared" si="9"/>
        <v>642000</v>
      </c>
    </row>
    <row r="294" spans="1:7" x14ac:dyDescent="0.15">
      <c r="A294" s="10" t="s">
        <v>556</v>
      </c>
      <c r="B294" s="10" t="s">
        <v>557</v>
      </c>
      <c r="C294" s="28">
        <v>1571000</v>
      </c>
      <c r="E294" s="10" t="str">
        <f t="shared" si="8"/>
        <v>STAMP.EPSON STYLUS 1520COLOR 1.571.000,00 €</v>
      </c>
      <c r="G294" s="73">
        <f t="shared" si="9"/>
        <v>1571000</v>
      </c>
    </row>
    <row r="295" spans="1:7" x14ac:dyDescent="0.15">
      <c r="A295" s="10" t="s">
        <v>558</v>
      </c>
      <c r="B295" s="10" t="s">
        <v>559</v>
      </c>
      <c r="C295" s="28">
        <v>756000</v>
      </c>
      <c r="E295" s="10" t="str">
        <f t="shared" si="8"/>
        <v>STAMP.EPSON STYLUS 1000 756.000,00 €</v>
      </c>
      <c r="G295" s="73">
        <f t="shared" si="9"/>
        <v>756000</v>
      </c>
    </row>
    <row r="296" spans="1:7" x14ac:dyDescent="0.15">
      <c r="A296" s="10" t="s">
        <v>560</v>
      </c>
      <c r="B296" s="10" t="s">
        <v>561</v>
      </c>
      <c r="C296" s="28">
        <v>1571000</v>
      </c>
      <c r="E296" s="10" t="str">
        <f t="shared" si="8"/>
        <v>STAMP.EPSON STYLUS PRO XL+ 1.571.000,00 €</v>
      </c>
      <c r="G296" s="73">
        <f t="shared" si="9"/>
        <v>1571000</v>
      </c>
    </row>
    <row r="297" spans="1:7" x14ac:dyDescent="0.15">
      <c r="A297" s="10" t="s">
        <v>562</v>
      </c>
      <c r="B297" s="10" t="s">
        <v>563</v>
      </c>
      <c r="C297" s="28">
        <v>2716000</v>
      </c>
      <c r="E297" s="10" t="str">
        <f t="shared" si="8"/>
        <v>STAMP.EPSON STYLUS  3000 2.716.000,00 €</v>
      </c>
      <c r="G297" s="73">
        <f t="shared" si="9"/>
        <v>2716000</v>
      </c>
    </row>
    <row r="298" spans="1:7" x14ac:dyDescent="0.15">
      <c r="A298" s="10" t="s">
        <v>564</v>
      </c>
      <c r="B298" s="10" t="s">
        <v>565</v>
      </c>
      <c r="C298" s="28">
        <v>640000</v>
      </c>
      <c r="E298" s="10" t="str">
        <f t="shared" si="8"/>
        <v>STAMP.EPSON STYLUS PHOTO 640.000,00 €</v>
      </c>
      <c r="G298" s="73">
        <f t="shared" si="9"/>
        <v>640000</v>
      </c>
    </row>
    <row r="299" spans="1:7" x14ac:dyDescent="0.15">
      <c r="A299" s="10" t="s">
        <v>566</v>
      </c>
      <c r="B299" s="10" t="s">
        <v>567</v>
      </c>
      <c r="C299" s="28">
        <v>255000</v>
      </c>
      <c r="E299" s="10" t="str">
        <f t="shared" si="8"/>
        <v>STAMP. CANON BJ-250 COLOR 255.000,00 €</v>
      </c>
      <c r="G299" s="73">
        <f t="shared" si="9"/>
        <v>255000</v>
      </c>
    </row>
    <row r="300" spans="1:7" x14ac:dyDescent="0.15">
      <c r="A300" s="10" t="s">
        <v>568</v>
      </c>
      <c r="B300" s="10" t="s">
        <v>569</v>
      </c>
      <c r="C300" s="28">
        <v>413000</v>
      </c>
      <c r="E300" s="10" t="str">
        <f t="shared" si="8"/>
        <v>STAMP. CANON BJC-80 COLOR 413.000,00 €</v>
      </c>
      <c r="G300" s="73">
        <f t="shared" si="9"/>
        <v>413000</v>
      </c>
    </row>
    <row r="301" spans="1:7" x14ac:dyDescent="0.15">
      <c r="A301" s="10" t="s">
        <v>570</v>
      </c>
      <c r="B301" s="10" t="s">
        <v>571</v>
      </c>
      <c r="C301" s="28">
        <v>361000</v>
      </c>
      <c r="E301" s="10" t="str">
        <f t="shared" si="8"/>
        <v>STAMP. CANON BJC-4300 COLOR 361.000,00 €</v>
      </c>
      <c r="G301" s="73">
        <f t="shared" si="9"/>
        <v>361000</v>
      </c>
    </row>
    <row r="302" spans="1:7" x14ac:dyDescent="0.15">
      <c r="A302" s="10" t="s">
        <v>572</v>
      </c>
      <c r="B302" s="10" t="s">
        <v>573</v>
      </c>
      <c r="C302" s="28">
        <v>544000</v>
      </c>
      <c r="E302" s="10" t="str">
        <f t="shared" si="8"/>
        <v>STAMP. CANON BJC-4550 COLOR 544.000,00 €</v>
      </c>
      <c r="G302" s="73">
        <f t="shared" si="9"/>
        <v>544000</v>
      </c>
    </row>
    <row r="303" spans="1:7" x14ac:dyDescent="0.15">
      <c r="A303" s="10" t="s">
        <v>574</v>
      </c>
      <c r="B303" s="10" t="s">
        <v>575</v>
      </c>
      <c r="C303" s="28">
        <v>678000</v>
      </c>
      <c r="E303" s="10" t="str">
        <f t="shared" si="8"/>
        <v>STAMP. CANON BJC-4650 COLOR 678.000,00 €</v>
      </c>
      <c r="G303" s="73">
        <f t="shared" si="9"/>
        <v>678000</v>
      </c>
    </row>
    <row r="304" spans="1:7" x14ac:dyDescent="0.15">
      <c r="A304" s="10" t="s">
        <v>576</v>
      </c>
      <c r="B304" s="10" t="s">
        <v>577</v>
      </c>
      <c r="C304" s="28">
        <v>1054000</v>
      </c>
      <c r="E304" s="10" t="str">
        <f t="shared" si="8"/>
        <v>STAMP. CANON BJC-5500 COLOR 1.054.000,00 €</v>
      </c>
      <c r="G304" s="73">
        <f t="shared" si="9"/>
        <v>1054000</v>
      </c>
    </row>
    <row r="305" spans="1:7" x14ac:dyDescent="0.15">
      <c r="A305" s="10" t="s">
        <v>578</v>
      </c>
      <c r="B305" s="10" t="s">
        <v>579</v>
      </c>
      <c r="C305" s="28">
        <v>482000</v>
      </c>
      <c r="E305" s="10" t="str">
        <f t="shared" si="8"/>
        <v>STAMP. CANON BJC-620 COLOR 482.000,00 €</v>
      </c>
      <c r="G305" s="73">
        <f t="shared" si="9"/>
        <v>482000</v>
      </c>
    </row>
    <row r="306" spans="1:7" x14ac:dyDescent="0.15">
      <c r="A306" s="10" t="s">
        <v>580</v>
      </c>
      <c r="B306" s="10" t="s">
        <v>581</v>
      </c>
      <c r="C306" s="28">
        <v>722000</v>
      </c>
      <c r="E306" s="10" t="str">
        <f t="shared" si="8"/>
        <v>STAMP. CANON BJC-7000 COLOR 722.000,00 €</v>
      </c>
      <c r="G306" s="73">
        <f t="shared" si="9"/>
        <v>722000</v>
      </c>
    </row>
    <row r="307" spans="1:7" x14ac:dyDescent="0.15">
      <c r="A307" s="10" t="s">
        <v>582</v>
      </c>
      <c r="B307" s="10" t="s">
        <v>583</v>
      </c>
      <c r="C307" s="28">
        <v>269000</v>
      </c>
      <c r="E307" s="10" t="str">
        <f t="shared" si="8"/>
        <v>STAMP. HP 400L 269.000,00 €</v>
      </c>
      <c r="G307" s="73">
        <f t="shared" si="9"/>
        <v>269000</v>
      </c>
    </row>
    <row r="308" spans="1:7" x14ac:dyDescent="0.15">
      <c r="A308" s="10" t="s">
        <v>584</v>
      </c>
      <c r="B308" s="10" t="s">
        <v>583</v>
      </c>
      <c r="C308" s="28">
        <v>371000</v>
      </c>
      <c r="E308" s="10" t="str">
        <f t="shared" si="8"/>
        <v>STAMP. HP 670 371.000,00 €</v>
      </c>
      <c r="G308" s="73">
        <f t="shared" si="9"/>
        <v>371000</v>
      </c>
    </row>
    <row r="309" spans="1:7" x14ac:dyDescent="0.15">
      <c r="A309" s="10" t="s">
        <v>585</v>
      </c>
      <c r="B309" s="10" t="s">
        <v>586</v>
      </c>
      <c r="C309" s="28">
        <v>462000</v>
      </c>
      <c r="E309" s="10" t="str">
        <f t="shared" si="8"/>
        <v>STAMP. HP 690+ 462.000,00 €</v>
      </c>
      <c r="G309" s="73">
        <f t="shared" si="9"/>
        <v>462000</v>
      </c>
    </row>
    <row r="310" spans="1:7" x14ac:dyDescent="0.15">
      <c r="A310" s="10" t="s">
        <v>587</v>
      </c>
      <c r="B310" s="10" t="s">
        <v>588</v>
      </c>
      <c r="C310" s="28">
        <v>541000</v>
      </c>
      <c r="E310" s="10" t="str">
        <f t="shared" si="8"/>
        <v>STAMP. HP 720C 541.000,00 €</v>
      </c>
      <c r="G310" s="73">
        <f t="shared" si="9"/>
        <v>541000</v>
      </c>
    </row>
    <row r="311" spans="1:7" x14ac:dyDescent="0.15">
      <c r="A311" s="10" t="s">
        <v>589</v>
      </c>
      <c r="B311" s="10" t="s">
        <v>590</v>
      </c>
      <c r="C311" s="28">
        <v>648000</v>
      </c>
      <c r="E311" s="10" t="str">
        <f t="shared" si="8"/>
        <v>STAMP. HP 870 CXI 648.000,00 €</v>
      </c>
      <c r="G311" s="73">
        <f t="shared" si="9"/>
        <v>648000</v>
      </c>
    </row>
    <row r="312" spans="1:7" x14ac:dyDescent="0.15">
      <c r="A312" s="10" t="s">
        <v>591</v>
      </c>
      <c r="B312" s="10" t="s">
        <v>592</v>
      </c>
      <c r="C312" s="28">
        <v>644000</v>
      </c>
      <c r="E312" s="10" t="str">
        <f t="shared" si="8"/>
        <v>STAMP. HP 890C 644.000,00 €</v>
      </c>
      <c r="G312" s="73">
        <f t="shared" si="9"/>
        <v>644000</v>
      </c>
    </row>
    <row r="313" spans="1:7" x14ac:dyDescent="0.15">
      <c r="A313" s="10" t="s">
        <v>593</v>
      </c>
      <c r="B313" s="10" t="s">
        <v>594</v>
      </c>
      <c r="C313" s="28">
        <v>902000</v>
      </c>
      <c r="E313" s="10" t="str">
        <f t="shared" si="8"/>
        <v>STAMP. HP 1100C 902.000,00 €</v>
      </c>
      <c r="G313" s="73">
        <f t="shared" si="9"/>
        <v>902000</v>
      </c>
    </row>
    <row r="314" spans="1:7" x14ac:dyDescent="0.15">
      <c r="A314" s="10" t="s">
        <v>595</v>
      </c>
      <c r="B314" s="10" t="s">
        <v>596</v>
      </c>
      <c r="C314" s="28">
        <v>722000</v>
      </c>
      <c r="E314" s="10" t="str">
        <f t="shared" si="8"/>
        <v>STAMP. HP 6L 722.000,00 €</v>
      </c>
      <c r="G314" s="73">
        <f t="shared" si="9"/>
        <v>722000</v>
      </c>
    </row>
    <row r="315" spans="1:7" x14ac:dyDescent="0.15">
      <c r="A315" s="10" t="s">
        <v>597</v>
      </c>
      <c r="B315" s="10" t="s">
        <v>596</v>
      </c>
      <c r="C315" s="28">
        <v>1457000</v>
      </c>
      <c r="E315" s="10" t="str">
        <f t="shared" si="8"/>
        <v>STAMP. HP 6P 1.457.000,00 €</v>
      </c>
      <c r="G315" s="73">
        <f t="shared" si="9"/>
        <v>1457000</v>
      </c>
    </row>
    <row r="316" spans="1:7" x14ac:dyDescent="0.15">
      <c r="A316" s="10" t="s">
        <v>598</v>
      </c>
      <c r="B316" s="10" t="s">
        <v>599</v>
      </c>
      <c r="C316" s="28">
        <v>1786000</v>
      </c>
      <c r="E316" s="10" t="str">
        <f t="shared" si="8"/>
        <v>STAMP. HP 6MP 1.786.000,00 €</v>
      </c>
      <c r="G316" s="73">
        <f t="shared" si="9"/>
        <v>1786000</v>
      </c>
    </row>
    <row r="317" spans="1:7" x14ac:dyDescent="0.15">
      <c r="A317" s="10" t="s">
        <v>600</v>
      </c>
      <c r="C317" s="32"/>
      <c r="E317" s="10" t="str">
        <f t="shared" si="8"/>
        <v>CABINATI  0,00 €</v>
      </c>
      <c r="G317" s="73">
        <f t="shared" si="9"/>
        <v>0</v>
      </c>
    </row>
    <row r="318" spans="1:7" x14ac:dyDescent="0.15">
      <c r="A318" s="10" t="s">
        <v>601</v>
      </c>
      <c r="B318" s="10" t="s">
        <v>602</v>
      </c>
      <c r="C318" s="28">
        <v>85000</v>
      </c>
      <c r="E318" s="10" t="str">
        <f t="shared" si="8"/>
        <v>CASE DESKTOP   CE CK 131-6 85.000,00 €</v>
      </c>
      <c r="G318" s="73">
        <f t="shared" si="9"/>
        <v>85000</v>
      </c>
    </row>
    <row r="319" spans="1:7" x14ac:dyDescent="0.15">
      <c r="A319" s="10" t="s">
        <v>603</v>
      </c>
      <c r="B319" s="10" t="s">
        <v>602</v>
      </c>
      <c r="C319" s="28">
        <v>84000</v>
      </c>
      <c r="E319" s="10" t="str">
        <f t="shared" si="8"/>
        <v>CASE MINITOWER CE CK 136-1 84.000,00 €</v>
      </c>
      <c r="G319" s="73">
        <f t="shared" si="9"/>
        <v>84000</v>
      </c>
    </row>
    <row r="320" spans="1:7" x14ac:dyDescent="0.15">
      <c r="A320" s="10" t="s">
        <v>604</v>
      </c>
      <c r="B320" s="10" t="s">
        <v>605</v>
      </c>
      <c r="C320" s="28">
        <v>115000</v>
      </c>
      <c r="E320" s="10" t="str">
        <f t="shared" si="8"/>
        <v>CASE MIDITOWER CE CK 135-1 115.000,00 €</v>
      </c>
      <c r="G320" s="73">
        <f t="shared" si="9"/>
        <v>115000</v>
      </c>
    </row>
    <row r="321" spans="1:7" x14ac:dyDescent="0.15">
      <c r="A321" s="10" t="s">
        <v>606</v>
      </c>
      <c r="B321" s="10" t="s">
        <v>605</v>
      </c>
      <c r="C321" s="28">
        <v>152000</v>
      </c>
      <c r="E321" s="10" t="str">
        <f t="shared" si="8"/>
        <v>CASE BIG TOWER CE   CK139-1 152.000,00 €</v>
      </c>
      <c r="G321" s="73">
        <f t="shared" si="9"/>
        <v>152000</v>
      </c>
    </row>
    <row r="322" spans="1:7" x14ac:dyDescent="0.15">
      <c r="A322" s="10" t="s">
        <v>607</v>
      </c>
      <c r="B322" s="10" t="s">
        <v>602</v>
      </c>
      <c r="C322" s="28">
        <v>82000</v>
      </c>
      <c r="E322" s="10" t="str">
        <f t="shared" si="8"/>
        <v>CASE DESKTOP CE CK 131-8 82.000,00 €</v>
      </c>
      <c r="G322" s="73">
        <f t="shared" si="9"/>
        <v>82000</v>
      </c>
    </row>
    <row r="323" spans="1:7" x14ac:dyDescent="0.15">
      <c r="A323" s="10" t="s">
        <v>608</v>
      </c>
      <c r="B323" s="10" t="s">
        <v>602</v>
      </c>
      <c r="C323" s="28">
        <v>84000</v>
      </c>
      <c r="E323" s="10" t="str">
        <f t="shared" si="8"/>
        <v>CASE SUB-MIDITOWER CE  CK 132-3 84.000,00 €</v>
      </c>
      <c r="G323" s="73">
        <f t="shared" si="9"/>
        <v>84000</v>
      </c>
    </row>
    <row r="324" spans="1:7" x14ac:dyDescent="0.15">
      <c r="A324" s="10" t="s">
        <v>609</v>
      </c>
      <c r="B324" s="10" t="s">
        <v>610</v>
      </c>
      <c r="C324" s="28">
        <v>115000</v>
      </c>
      <c r="E324" s="10" t="str">
        <f t="shared" si="8"/>
        <v>CASE  MIDITOWER CE  CK 135-2 115.000,00 €</v>
      </c>
      <c r="G324" s="73">
        <f t="shared" si="9"/>
        <v>115000</v>
      </c>
    </row>
    <row r="325" spans="1:7" x14ac:dyDescent="0.15">
      <c r="A325" s="10" t="s">
        <v>611</v>
      </c>
      <c r="B325" s="10" t="s">
        <v>610</v>
      </c>
      <c r="C325" s="28">
        <v>153000</v>
      </c>
      <c r="E325" s="10" t="str">
        <f t="shared" si="8"/>
        <v>CASE TOWER CE CK 139-2 153.000,00 €</v>
      </c>
      <c r="G325" s="73">
        <f t="shared" si="9"/>
        <v>153000</v>
      </c>
    </row>
    <row r="326" spans="1:7" x14ac:dyDescent="0.15">
      <c r="A326" s="10" t="s">
        <v>612</v>
      </c>
      <c r="B326" s="10" t="s">
        <v>610</v>
      </c>
      <c r="C326" s="28">
        <v>80000</v>
      </c>
      <c r="E326" s="10" t="str">
        <f t="shared" ref="E326:E340" si="10">CONCATENATE(A326," ",DOLLAR(C326))</f>
        <v>CASE MIDITOWER BC VIP 432 80.000,00 €</v>
      </c>
      <c r="G326" s="73">
        <f t="shared" ref="G326:G340" si="11">C326+C326*$H$4</f>
        <v>80000</v>
      </c>
    </row>
    <row r="327" spans="1:7" x14ac:dyDescent="0.15">
      <c r="A327" s="10" t="s">
        <v>613</v>
      </c>
      <c r="B327" s="10" t="s">
        <v>610</v>
      </c>
      <c r="C327" s="28">
        <v>102000</v>
      </c>
      <c r="E327" s="10" t="str">
        <f t="shared" si="10"/>
        <v>CASE TOWER BC VIP 730 102.000,00 €</v>
      </c>
      <c r="G327" s="73">
        <f t="shared" si="11"/>
        <v>102000</v>
      </c>
    </row>
    <row r="328" spans="1:7" x14ac:dyDescent="0.15">
      <c r="A328" s="10" t="s">
        <v>614</v>
      </c>
      <c r="C328" s="32"/>
      <c r="E328" s="10" t="str">
        <f t="shared" si="10"/>
        <v>GRUPPI DI CONTINUITA' 0,00 €</v>
      </c>
      <c r="G328" s="73">
        <f t="shared" si="11"/>
        <v>0</v>
      </c>
    </row>
    <row r="329" spans="1:7" x14ac:dyDescent="0.15">
      <c r="A329" s="10" t="s">
        <v>615</v>
      </c>
      <c r="B329" s="10" t="s">
        <v>616</v>
      </c>
      <c r="C329" s="28">
        <v>198000</v>
      </c>
      <c r="E329" s="10" t="str">
        <f t="shared" si="10"/>
        <v>GR.CONT.REVOLUTION E300  198.000,00 €</v>
      </c>
      <c r="G329" s="73">
        <f t="shared" si="11"/>
        <v>198000</v>
      </c>
    </row>
    <row r="330" spans="1:7" x14ac:dyDescent="0.15">
      <c r="A330" s="10" t="s">
        <v>617</v>
      </c>
      <c r="B330" s="10" t="s">
        <v>616</v>
      </c>
      <c r="C330" s="28">
        <v>233000</v>
      </c>
      <c r="E330" s="10" t="str">
        <f t="shared" si="10"/>
        <v>GR.CONT.REVOLUTION F450 233.000,00 €</v>
      </c>
      <c r="G330" s="73">
        <f t="shared" si="11"/>
        <v>233000</v>
      </c>
    </row>
    <row r="331" spans="1:7" x14ac:dyDescent="0.15">
      <c r="A331" s="10" t="s">
        <v>618</v>
      </c>
      <c r="B331" s="10" t="s">
        <v>616</v>
      </c>
      <c r="C331" s="28">
        <v>279000</v>
      </c>
      <c r="E331" s="10" t="str">
        <f t="shared" si="10"/>
        <v>GR.CONT.REVOLUTION L600 279.000,00 €</v>
      </c>
      <c r="G331" s="73">
        <f t="shared" si="11"/>
        <v>279000</v>
      </c>
    </row>
    <row r="332" spans="1:7" x14ac:dyDescent="0.15">
      <c r="A332" s="10" t="s">
        <v>619</v>
      </c>
      <c r="B332" s="10" t="s">
        <v>620</v>
      </c>
      <c r="C332" s="28">
        <v>298000</v>
      </c>
      <c r="E332" s="10" t="str">
        <f t="shared" si="10"/>
        <v>GR.CONT.POWER PRO 600 298.000,00 €</v>
      </c>
      <c r="G332" s="73">
        <f t="shared" si="11"/>
        <v>298000</v>
      </c>
    </row>
    <row r="333" spans="1:7" x14ac:dyDescent="0.15">
      <c r="A333" s="10" t="s">
        <v>621</v>
      </c>
      <c r="B333" s="10" t="s">
        <v>620</v>
      </c>
      <c r="C333" s="28">
        <v>478000</v>
      </c>
      <c r="E333" s="10" t="str">
        <f t="shared" si="10"/>
        <v>GR.CONT.POWER PRO 750 478.000,00 €</v>
      </c>
      <c r="G333" s="73">
        <f t="shared" si="11"/>
        <v>478000</v>
      </c>
    </row>
    <row r="334" spans="1:7" x14ac:dyDescent="0.15">
      <c r="A334" s="10" t="s">
        <v>622</v>
      </c>
      <c r="B334" s="10" t="s">
        <v>620</v>
      </c>
      <c r="C334" s="28">
        <v>626000</v>
      </c>
      <c r="E334" s="10" t="str">
        <f t="shared" si="10"/>
        <v>GR.CONT.POWER PRO 900 626.000,00 €</v>
      </c>
      <c r="G334" s="73">
        <f t="shared" si="11"/>
        <v>626000</v>
      </c>
    </row>
    <row r="335" spans="1:7" x14ac:dyDescent="0.15">
      <c r="A335" s="10" t="s">
        <v>623</v>
      </c>
      <c r="B335" s="10" t="s">
        <v>620</v>
      </c>
      <c r="C335" s="28">
        <v>757000</v>
      </c>
      <c r="E335" s="10" t="str">
        <f t="shared" si="10"/>
        <v>GR.CONT.POWER PRO 1000 757.000,00 €</v>
      </c>
      <c r="G335" s="73">
        <f t="shared" si="11"/>
        <v>757000</v>
      </c>
    </row>
    <row r="336" spans="1:7" x14ac:dyDescent="0.15">
      <c r="A336" s="10" t="s">
        <v>624</v>
      </c>
      <c r="B336" s="10" t="s">
        <v>620</v>
      </c>
      <c r="C336" s="28">
        <v>1128000</v>
      </c>
      <c r="E336" s="10" t="str">
        <f t="shared" si="10"/>
        <v>GR.CONT.POWER PRO 1600 1.128.000,00 €</v>
      </c>
      <c r="G336" s="73">
        <f t="shared" si="11"/>
        <v>1128000</v>
      </c>
    </row>
    <row r="337" spans="1:7" x14ac:dyDescent="0.15">
      <c r="A337" s="10" t="s">
        <v>625</v>
      </c>
      <c r="B337" s="10" t="s">
        <v>620</v>
      </c>
      <c r="C337" s="28">
        <v>1527000</v>
      </c>
      <c r="E337" s="10" t="str">
        <f t="shared" si="10"/>
        <v>GR.CONT.POWER PRO 2400 1.527.000,00 €</v>
      </c>
      <c r="G337" s="73">
        <f t="shared" si="11"/>
        <v>1527000</v>
      </c>
    </row>
    <row r="338" spans="1:7" x14ac:dyDescent="0.15">
      <c r="A338" s="10" t="s">
        <v>626</v>
      </c>
      <c r="B338" s="10" t="s">
        <v>627</v>
      </c>
      <c r="C338" s="28">
        <v>4134000</v>
      </c>
      <c r="E338" s="10" t="str">
        <f t="shared" si="10"/>
        <v>GR.CONT.POWERSAVE 4000 4.134.000,00 €</v>
      </c>
      <c r="G338" s="73">
        <f t="shared" si="11"/>
        <v>4134000</v>
      </c>
    </row>
    <row r="339" spans="1:7" x14ac:dyDescent="0.15">
      <c r="A339" s="10" t="s">
        <v>628</v>
      </c>
      <c r="B339" s="10" t="s">
        <v>627</v>
      </c>
      <c r="C339" s="28">
        <v>6850000</v>
      </c>
      <c r="E339" s="10" t="str">
        <f t="shared" si="10"/>
        <v>GR.CONT.POWERSAVE 7500 6.850.000,00 €</v>
      </c>
      <c r="G339" s="73">
        <f t="shared" si="11"/>
        <v>6850000</v>
      </c>
    </row>
    <row r="340" spans="1:7" x14ac:dyDescent="0.15">
      <c r="A340" s="10" t="s">
        <v>629</v>
      </c>
      <c r="B340" s="10" t="s">
        <v>627</v>
      </c>
      <c r="C340" s="28">
        <v>11712000</v>
      </c>
      <c r="E340" s="10" t="str">
        <f t="shared" si="10"/>
        <v>GR.CONT.POWERSAVE 12500 11.712.000,00 €</v>
      </c>
      <c r="G340" s="73">
        <f t="shared" si="11"/>
        <v>11712000</v>
      </c>
    </row>
  </sheetData>
  <mergeCells count="2">
    <mergeCell ref="A1:G1"/>
    <mergeCell ref="A3:E3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28CB-0A34-47AA-91D7-BA701416AF5A}">
  <dimension ref="A1:G9"/>
  <sheetViews>
    <sheetView zoomScale="120" zoomScaleNormal="120" workbookViewId="0">
      <selection activeCell="G3" sqref="G3"/>
    </sheetView>
  </sheetViews>
  <sheetFormatPr baseColWidth="10" defaultColWidth="8.83203125" defaultRowHeight="13" x14ac:dyDescent="0.15"/>
  <cols>
    <col min="1" max="1" width="11.1640625" customWidth="1"/>
    <col min="2" max="2" width="29.5" bestFit="1" customWidth="1"/>
    <col min="3" max="3" width="5.5" customWidth="1"/>
    <col min="4" max="4" width="10.1640625" bestFit="1" customWidth="1"/>
    <col min="5" max="5" width="30.1640625" bestFit="1" customWidth="1"/>
    <col min="6" max="6" width="4.6640625" customWidth="1"/>
    <col min="7" max="7" width="44.1640625" bestFit="1" customWidth="1"/>
  </cols>
  <sheetData>
    <row r="1" spans="1:7" ht="14" thickBot="1" x14ac:dyDescent="0.2">
      <c r="A1" s="39" t="s">
        <v>630</v>
      </c>
      <c r="B1" s="40" t="s">
        <v>639</v>
      </c>
      <c r="D1" s="39" t="s">
        <v>648</v>
      </c>
      <c r="E1" s="40" t="s">
        <v>640</v>
      </c>
      <c r="G1" s="42" t="s">
        <v>647</v>
      </c>
    </row>
    <row r="2" spans="1:7" x14ac:dyDescent="0.15">
      <c r="A2" s="35" t="s">
        <v>631</v>
      </c>
      <c r="B2" s="41" t="str">
        <f>MID(A2,2,2)</f>
        <v>23</v>
      </c>
      <c r="D2" s="33">
        <v>33086</v>
      </c>
      <c r="E2" s="41">
        <f>DAY(D2)</f>
        <v>1</v>
      </c>
      <c r="G2" s="43" t="str">
        <f>CONCATENATE(A2,"-")</f>
        <v>a23-</v>
      </c>
    </row>
    <row r="3" spans="1:7" x14ac:dyDescent="0.15">
      <c r="A3" s="35" t="s">
        <v>632</v>
      </c>
      <c r="B3" s="41" t="str">
        <f t="shared" ref="B3:B9" si="0">MID(A3,2,2)</f>
        <v>31</v>
      </c>
      <c r="D3" s="33">
        <v>33087</v>
      </c>
      <c r="E3" s="41">
        <f t="shared" ref="E3:E9" si="1">DAY(D3)</f>
        <v>2</v>
      </c>
      <c r="G3" s="44"/>
    </row>
    <row r="4" spans="1:7" x14ac:dyDescent="0.15">
      <c r="A4" s="35" t="s">
        <v>633</v>
      </c>
      <c r="B4" s="41" t="str">
        <f t="shared" si="0"/>
        <v>45</v>
      </c>
      <c r="D4" s="33">
        <v>33088</v>
      </c>
      <c r="E4" s="41">
        <f t="shared" si="1"/>
        <v>3</v>
      </c>
      <c r="G4" s="44"/>
    </row>
    <row r="5" spans="1:7" x14ac:dyDescent="0.15">
      <c r="A5" s="35" t="s">
        <v>634</v>
      </c>
      <c r="B5" s="41" t="str">
        <f t="shared" si="0"/>
        <v>87</v>
      </c>
      <c r="D5" s="33">
        <v>44278</v>
      </c>
      <c r="E5" s="41">
        <f t="shared" si="1"/>
        <v>23</v>
      </c>
      <c r="G5" s="44"/>
    </row>
    <row r="6" spans="1:7" x14ac:dyDescent="0.15">
      <c r="A6" s="35" t="s">
        <v>635</v>
      </c>
      <c r="B6" s="41" t="str">
        <f t="shared" si="0"/>
        <v>09</v>
      </c>
      <c r="D6" s="33">
        <v>33090</v>
      </c>
      <c r="E6" s="41">
        <f t="shared" si="1"/>
        <v>5</v>
      </c>
      <c r="G6" s="44"/>
    </row>
    <row r="7" spans="1:7" x14ac:dyDescent="0.15">
      <c r="A7" s="35" t="s">
        <v>636</v>
      </c>
      <c r="B7" s="41" t="str">
        <f t="shared" si="0"/>
        <v>98</v>
      </c>
      <c r="D7" s="33">
        <v>33091</v>
      </c>
      <c r="E7" s="41">
        <f t="shared" si="1"/>
        <v>6</v>
      </c>
      <c r="G7" s="44"/>
    </row>
    <row r="8" spans="1:7" x14ac:dyDescent="0.15">
      <c r="A8" s="35" t="s">
        <v>637</v>
      </c>
      <c r="B8" s="41" t="str">
        <f t="shared" si="0"/>
        <v>34</v>
      </c>
      <c r="D8" s="33">
        <v>33092</v>
      </c>
      <c r="E8" s="41">
        <f t="shared" si="1"/>
        <v>7</v>
      </c>
      <c r="G8" s="44"/>
    </row>
    <row r="9" spans="1:7" ht="14" thickBot="1" x14ac:dyDescent="0.2">
      <c r="A9" s="36" t="s">
        <v>638</v>
      </c>
      <c r="B9" s="41" t="str">
        <f t="shared" si="0"/>
        <v>11</v>
      </c>
      <c r="D9" s="34">
        <v>33093</v>
      </c>
      <c r="E9" s="41">
        <f t="shared" si="1"/>
        <v>8</v>
      </c>
      <c r="G9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4EC9-8362-43B7-828D-B90901E4F213}">
  <dimension ref="A2:H20"/>
  <sheetViews>
    <sheetView topLeftCell="A3" zoomScale="150" zoomScaleNormal="150" workbookViewId="0">
      <selection activeCell="D4" sqref="D4"/>
    </sheetView>
  </sheetViews>
  <sheetFormatPr baseColWidth="10" defaultColWidth="9.1640625" defaultRowHeight="13" x14ac:dyDescent="0.15"/>
  <cols>
    <col min="1" max="1" width="16.1640625" style="10" bestFit="1" customWidth="1"/>
    <col min="2" max="2" width="18.5" style="10" bestFit="1" customWidth="1"/>
    <col min="3" max="3" width="19.33203125" style="10" customWidth="1"/>
    <col min="4" max="4" width="28.1640625" style="10" customWidth="1"/>
    <col min="5" max="5" width="9.1640625" style="10"/>
    <col min="6" max="6" width="7.1640625" style="10" customWidth="1"/>
    <col min="7" max="7" width="14.33203125" style="10" customWidth="1"/>
    <col min="8" max="8" width="8" style="10" bestFit="1" customWidth="1"/>
    <col min="9" max="16384" width="9.1640625" style="10"/>
  </cols>
  <sheetData>
    <row r="2" spans="1:8" x14ac:dyDescent="0.15">
      <c r="F2" s="10" t="s">
        <v>145</v>
      </c>
      <c r="G2" s="10" t="s">
        <v>144</v>
      </c>
    </row>
    <row r="3" spans="1:8" x14ac:dyDescent="0.15">
      <c r="B3" s="23" t="s">
        <v>143</v>
      </c>
      <c r="C3" s="23" t="s">
        <v>142</v>
      </c>
      <c r="D3" s="23" t="s">
        <v>141</v>
      </c>
      <c r="F3" s="22">
        <v>0</v>
      </c>
      <c r="G3" s="21" t="s">
        <v>140</v>
      </c>
      <c r="H3" s="20" t="s">
        <v>140</v>
      </c>
    </row>
    <row r="4" spans="1:8" x14ac:dyDescent="0.15">
      <c r="B4" s="10" t="s">
        <v>139</v>
      </c>
      <c r="C4" s="10">
        <v>40</v>
      </c>
      <c r="D4" s="10" t="e" cm="1" vm="1">
        <f t="array" aca="1" ref="D4" ca="1">VLOOKUP(Tabella2[Punteggio],$F$3:H6,2,FALSE)</f>
        <v>#VALUE!</v>
      </c>
      <c r="F4" s="19">
        <v>40</v>
      </c>
      <c r="G4" s="10" t="s">
        <v>138</v>
      </c>
      <c r="H4" s="18" t="s">
        <v>137</v>
      </c>
    </row>
    <row r="5" spans="1:8" x14ac:dyDescent="0.15">
      <c r="B5" s="10" t="s">
        <v>136</v>
      </c>
      <c r="C5" s="10">
        <v>60</v>
      </c>
      <c r="D5" s="10" t="e" cm="1" vm="1">
        <f t="array" aca="1" ref="D5" ca="1">VLOOKUP(Tabella2[Punteggio],$F$3:H7,2,FALSE)</f>
        <v>#VALUE!</v>
      </c>
      <c r="F5" s="19">
        <v>60</v>
      </c>
      <c r="G5" s="10" t="s">
        <v>135</v>
      </c>
      <c r="H5" s="18" t="s">
        <v>134</v>
      </c>
    </row>
    <row r="6" spans="1:8" x14ac:dyDescent="0.15">
      <c r="B6" s="10" t="s">
        <v>133</v>
      </c>
      <c r="C6" s="10">
        <v>60</v>
      </c>
      <c r="D6" s="10" t="e" cm="1" vm="1">
        <f t="array" aca="1" ref="D6" ca="1">VLOOKUP(Tabella2[Punteggio],$F$3:H8,2,FALSE)</f>
        <v>#VALUE!</v>
      </c>
      <c r="F6" s="17">
        <v>70</v>
      </c>
      <c r="G6" s="16" t="s">
        <v>132</v>
      </c>
      <c r="H6" s="15" t="s">
        <v>131</v>
      </c>
    </row>
    <row r="7" spans="1:8" x14ac:dyDescent="0.15">
      <c r="B7" s="10" t="s">
        <v>130</v>
      </c>
      <c r="C7" s="10">
        <v>40</v>
      </c>
      <c r="D7" s="10" t="e" cm="1" vm="1">
        <f t="array" aca="1" ref="D7" ca="1">VLOOKUP(Tabella2[Punteggio],$F$3:H9,2,FALSE)</f>
        <v>#VALUE!</v>
      </c>
    </row>
    <row r="8" spans="1:8" x14ac:dyDescent="0.15">
      <c r="B8" s="10" t="s">
        <v>129</v>
      </c>
      <c r="C8" s="10">
        <v>70</v>
      </c>
      <c r="D8" s="10" t="e" cm="1" vm="1">
        <f t="array" aca="1" ref="D8" ca="1">VLOOKUP(Tabella2[Punteggio],$F$3:H10,2,FALSE)</f>
        <v>#VALUE!</v>
      </c>
    </row>
    <row r="9" spans="1:8" x14ac:dyDescent="0.15">
      <c r="B9" s="10" t="s">
        <v>128</v>
      </c>
      <c r="C9" s="10">
        <v>0</v>
      </c>
      <c r="D9" s="10" t="e" cm="1" vm="1">
        <f t="array" aca="1" ref="D9" ca="1">VLOOKUP(Tabella2[Punteggio],$F$3:H11,2,FALSE)</f>
        <v>#VALUE!</v>
      </c>
    </row>
    <row r="10" spans="1:8" x14ac:dyDescent="0.15">
      <c r="B10" s="10" t="s">
        <v>127</v>
      </c>
      <c r="C10" s="10">
        <v>0</v>
      </c>
      <c r="D10" s="10" t="e" cm="1" vm="1">
        <f t="array" aca="1" ref="D10" ca="1">VLOOKUP(Tabella2[Punteggio],$F$3:H12,2,FALSE)</f>
        <v>#VALUE!</v>
      </c>
    </row>
    <row r="14" spans="1:8" x14ac:dyDescent="0.15">
      <c r="A14" s="37" t="s">
        <v>641</v>
      </c>
      <c r="B14" s="24" t="s">
        <v>126</v>
      </c>
      <c r="C14" s="24"/>
      <c r="D14" s="24"/>
      <c r="E14" s="24"/>
      <c r="F14" s="24"/>
      <c r="G14" s="24"/>
    </row>
    <row r="15" spans="1:8" x14ac:dyDescent="0.15">
      <c r="A15" s="37" t="s">
        <v>641</v>
      </c>
      <c r="B15" s="24" t="s">
        <v>654</v>
      </c>
      <c r="C15" s="24"/>
      <c r="D15" s="24"/>
      <c r="E15" s="24"/>
      <c r="F15" s="24"/>
      <c r="G15" s="24"/>
    </row>
    <row r="16" spans="1:8" x14ac:dyDescent="0.15">
      <c r="A16" s="37"/>
      <c r="B16" s="24" t="s">
        <v>125</v>
      </c>
      <c r="C16" s="24"/>
      <c r="D16" s="24"/>
      <c r="E16" s="24"/>
      <c r="F16" s="24"/>
      <c r="G16" s="24"/>
    </row>
    <row r="17" spans="1:7" x14ac:dyDescent="0.15">
      <c r="A17" s="37"/>
      <c r="B17" s="24" t="s">
        <v>124</v>
      </c>
      <c r="C17" s="24"/>
      <c r="D17" s="24"/>
      <c r="E17" s="24"/>
      <c r="F17" s="24"/>
      <c r="G17" s="24"/>
    </row>
    <row r="18" spans="1:7" x14ac:dyDescent="0.15">
      <c r="A18" s="37"/>
      <c r="B18" s="24" t="s">
        <v>123</v>
      </c>
      <c r="C18" s="24"/>
      <c r="D18" s="24"/>
      <c r="E18" s="24"/>
      <c r="F18" s="24"/>
      <c r="G18" s="24"/>
    </row>
    <row r="19" spans="1:7" x14ac:dyDescent="0.15">
      <c r="A19" s="37"/>
      <c r="B19" s="24" t="s">
        <v>122</v>
      </c>
      <c r="C19" s="24"/>
      <c r="D19" s="24"/>
      <c r="E19" s="24"/>
      <c r="F19" s="24"/>
      <c r="G19" s="24"/>
    </row>
    <row r="20" spans="1:7" x14ac:dyDescent="0.15">
      <c r="A20" s="37" t="s">
        <v>641</v>
      </c>
      <c r="B20" s="24" t="s">
        <v>642</v>
      </c>
      <c r="C20" s="24"/>
      <c r="D20" s="24"/>
      <c r="E20" s="24"/>
      <c r="F20" s="24"/>
      <c r="G20" s="24"/>
    </row>
  </sheetData>
  <conditionalFormatting sqref="C4:C1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{D42C4E50-A833-42B0-9B08-19CCAF18833D}</x14:id>
        </ext>
      </extLst>
    </cfRule>
  </conditionalFormatting>
  <conditionalFormatting sqref="D4:D10">
    <cfRule type="cellIs" dxfId="3" priority="2" operator="equal">
      <formula>"Buono"</formula>
    </cfRule>
    <cfRule type="cellIs" dxfId="2" priority="3" operator="equal">
      <formula>"Discreto"</formula>
    </cfRule>
    <cfRule type="cellIs" dxfId="1" priority="4" operator="equal">
      <formula>"Sufficiente"</formula>
    </cfRule>
    <cfRule type="cellIs" dxfId="0" priority="5" operator="equal">
      <formula>"Respinto"</formula>
    </cfRule>
  </conditionalFormatting>
  <pageMargins left="0.75" right="0.75" top="1" bottom="1" header="0.5" footer="0.5"/>
  <pageSetup paperSize="9" orientation="portrait" horizontalDpi="360" verticalDpi="360" r:id="rId1"/>
  <headerFooter alignWithMargins="0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2C4E50-A833-42B0-9B08-19CCAF1883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FA03-F172-4635-8FAA-9258E20ACE66}">
  <dimension ref="C1:J16"/>
  <sheetViews>
    <sheetView zoomScale="120" zoomScaleNormal="120" workbookViewId="0">
      <selection activeCell="H7" sqref="H7"/>
    </sheetView>
  </sheetViews>
  <sheetFormatPr baseColWidth="10" defaultColWidth="9.1640625" defaultRowHeight="13" x14ac:dyDescent="0.15"/>
  <cols>
    <col min="1" max="3" width="9.1640625" style="10"/>
    <col min="4" max="4" width="10.83203125" style="10" bestFit="1" customWidth="1"/>
    <col min="5" max="6" width="9.1640625" style="10"/>
    <col min="7" max="7" width="10.1640625" style="10" bestFit="1" customWidth="1"/>
    <col min="8" max="8" width="11.83203125" style="10" customWidth="1"/>
    <col min="9" max="9" width="9.1640625" style="10"/>
    <col min="10" max="10" width="20.83203125" style="10" customWidth="1"/>
    <col min="11" max="16384" width="9.1640625" style="10"/>
  </cols>
  <sheetData>
    <row r="1" spans="3:10" x14ac:dyDescent="0.15">
      <c r="G1" s="79" t="s">
        <v>121</v>
      </c>
      <c r="H1" s="79"/>
      <c r="I1" s="79"/>
      <c r="J1" s="79"/>
    </row>
    <row r="3" spans="3:10" x14ac:dyDescent="0.15">
      <c r="C3" s="10" t="s">
        <v>120</v>
      </c>
      <c r="D3" s="10" t="s">
        <v>119</v>
      </c>
      <c r="G3" s="14" t="s">
        <v>120</v>
      </c>
      <c r="H3" s="14" t="s">
        <v>119</v>
      </c>
    </row>
    <row r="4" spans="3:10" ht="15" x14ac:dyDescent="0.2">
      <c r="C4" s="10" t="s">
        <v>5</v>
      </c>
      <c r="D4" s="11">
        <v>266</v>
      </c>
      <c r="G4" s="12" t="s">
        <v>110</v>
      </c>
      <c r="H4" s="13">
        <f>VLOOKUP(G4,C4:D15,2,FALSE)</f>
        <v>329</v>
      </c>
    </row>
    <row r="5" spans="3:10" x14ac:dyDescent="0.15">
      <c r="C5" s="10" t="s">
        <v>19</v>
      </c>
      <c r="D5" s="11">
        <v>402</v>
      </c>
    </row>
    <row r="6" spans="3:10" x14ac:dyDescent="0.15">
      <c r="C6" s="10" t="s">
        <v>26</v>
      </c>
      <c r="D6" s="11">
        <v>496</v>
      </c>
    </row>
    <row r="7" spans="3:10" x14ac:dyDescent="0.15">
      <c r="C7" s="10" t="s">
        <v>118</v>
      </c>
      <c r="D7" s="11">
        <v>204</v>
      </c>
    </row>
    <row r="8" spans="3:10" x14ac:dyDescent="0.15">
      <c r="C8" s="10" t="s">
        <v>117</v>
      </c>
      <c r="D8" s="11">
        <v>154</v>
      </c>
    </row>
    <row r="9" spans="3:10" x14ac:dyDescent="0.15">
      <c r="C9" s="10" t="s">
        <v>116</v>
      </c>
      <c r="D9" s="11">
        <v>409</v>
      </c>
    </row>
    <row r="10" spans="3:10" x14ac:dyDescent="0.15">
      <c r="C10" s="10" t="s">
        <v>115</v>
      </c>
      <c r="D10" s="11">
        <v>522</v>
      </c>
    </row>
    <row r="11" spans="3:10" x14ac:dyDescent="0.15">
      <c r="C11" s="10" t="s">
        <v>114</v>
      </c>
      <c r="D11" s="11">
        <v>490</v>
      </c>
    </row>
    <row r="12" spans="3:10" x14ac:dyDescent="0.15">
      <c r="C12" s="10" t="s">
        <v>113</v>
      </c>
      <c r="D12" s="11">
        <v>249</v>
      </c>
    </row>
    <row r="13" spans="3:10" x14ac:dyDescent="0.15">
      <c r="C13" s="10" t="s">
        <v>112</v>
      </c>
      <c r="D13" s="11">
        <v>417</v>
      </c>
    </row>
    <row r="14" spans="3:10" x14ac:dyDescent="0.15">
      <c r="C14" s="10" t="s">
        <v>111</v>
      </c>
      <c r="D14" s="11">
        <v>488</v>
      </c>
    </row>
    <row r="15" spans="3:10" x14ac:dyDescent="0.15">
      <c r="C15" s="10" t="s">
        <v>110</v>
      </c>
      <c r="D15" s="11">
        <v>329</v>
      </c>
    </row>
    <row r="16" spans="3:10" x14ac:dyDescent="0.15">
      <c r="C16" s="61" t="s">
        <v>107</v>
      </c>
      <c r="D16" s="62">
        <f>SUBTOTAL(109,spesemese[SPESA])</f>
        <v>4426</v>
      </c>
    </row>
  </sheetData>
  <mergeCells count="1">
    <mergeCell ref="G1:J1"/>
  </mergeCells>
  <dataValidations count="1">
    <dataValidation type="list" allowBlank="1" showInputMessage="1" showErrorMessage="1" sqref="G4" xr:uid="{2850BA75-2D82-4AE3-A220-3408474FB36D}">
      <formula1>$C$4:$C$15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2129-2785-490A-949D-789C97EA061E}">
  <dimension ref="A1:C16"/>
  <sheetViews>
    <sheetView workbookViewId="0">
      <selection activeCell="M12" sqref="M12"/>
    </sheetView>
  </sheetViews>
  <sheetFormatPr baseColWidth="10" defaultColWidth="8.83203125" defaultRowHeight="13" x14ac:dyDescent="0.15"/>
  <cols>
    <col min="1" max="1" width="13.5" bestFit="1" customWidth="1"/>
    <col min="2" max="2" width="20.5" style="38" bestFit="1" customWidth="1"/>
    <col min="3" max="3" width="17.83203125" style="38" customWidth="1"/>
  </cols>
  <sheetData>
    <row r="1" spans="1:3" x14ac:dyDescent="0.15">
      <c r="A1" t="s">
        <v>109</v>
      </c>
      <c r="B1" s="38" t="s">
        <v>643</v>
      </c>
      <c r="C1" s="38" t="s">
        <v>108</v>
      </c>
    </row>
    <row r="2" spans="1:3" x14ac:dyDescent="0.15">
      <c r="A2" t="s">
        <v>109</v>
      </c>
      <c r="B2" s="38">
        <v>1000</v>
      </c>
      <c r="C2" s="38">
        <v>200</v>
      </c>
    </row>
    <row r="3" spans="1:3" x14ac:dyDescent="0.15">
      <c r="A3" t="s">
        <v>109</v>
      </c>
      <c r="B3" s="38">
        <v>2000</v>
      </c>
      <c r="C3" s="38">
        <v>500</v>
      </c>
    </row>
    <row r="4" spans="1:3" x14ac:dyDescent="0.15">
      <c r="A4" t="s">
        <v>109</v>
      </c>
      <c r="B4" s="38">
        <v>580</v>
      </c>
      <c r="C4" s="38">
        <v>200</v>
      </c>
    </row>
    <row r="5" spans="1:3" x14ac:dyDescent="0.15">
      <c r="A5" t="s">
        <v>109</v>
      </c>
      <c r="B5" s="38">
        <v>1168</v>
      </c>
      <c r="C5" s="38">
        <v>300</v>
      </c>
    </row>
    <row r="6" spans="1:3" x14ac:dyDescent="0.15">
      <c r="A6" t="s">
        <v>109</v>
      </c>
      <c r="B6" s="38">
        <v>2647</v>
      </c>
      <c r="C6" s="38">
        <v>500</v>
      </c>
    </row>
    <row r="9" spans="1:3" x14ac:dyDescent="0.15">
      <c r="A9" s="80" t="s">
        <v>644</v>
      </c>
      <c r="B9" s="81"/>
      <c r="C9" s="81"/>
    </row>
    <row r="10" spans="1:3" x14ac:dyDescent="0.15">
      <c r="A10" s="81"/>
      <c r="B10" s="81"/>
      <c r="C10" s="81"/>
    </row>
    <row r="11" spans="1:3" x14ac:dyDescent="0.15">
      <c r="A11" s="81"/>
      <c r="B11" s="81"/>
      <c r="C11" s="81"/>
    </row>
    <row r="12" spans="1:3" x14ac:dyDescent="0.15">
      <c r="A12" s="81"/>
      <c r="B12" s="81"/>
      <c r="C12" s="81"/>
    </row>
    <row r="13" spans="1:3" x14ac:dyDescent="0.15">
      <c r="A13" s="81"/>
      <c r="B13" s="81"/>
      <c r="C13" s="81"/>
    </row>
    <row r="14" spans="1:3" x14ac:dyDescent="0.15">
      <c r="A14" s="81"/>
      <c r="B14" s="81"/>
      <c r="C14" s="81"/>
    </row>
    <row r="15" spans="1:3" x14ac:dyDescent="0.15">
      <c r="A15" s="81"/>
      <c r="B15" s="81"/>
      <c r="C15" s="81"/>
    </row>
    <row r="16" spans="1:3" x14ac:dyDescent="0.15">
      <c r="A16" s="81"/>
      <c r="B16" s="81"/>
      <c r="C16" s="81"/>
    </row>
  </sheetData>
  <mergeCells count="1">
    <mergeCell ref="A9:C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topLeftCell="D1" zoomScale="120" zoomScaleNormal="120" workbookViewId="0">
      <selection activeCell="K15" sqref="K15"/>
    </sheetView>
  </sheetViews>
  <sheetFormatPr baseColWidth="10" defaultColWidth="8.83203125" defaultRowHeight="13" x14ac:dyDescent="0.15"/>
  <cols>
    <col min="1" max="1" width="9.83203125" bestFit="1" customWidth="1"/>
    <col min="2" max="2" width="28.1640625" style="67" bestFit="1" customWidth="1"/>
    <col min="3" max="3" width="21.33203125" style="67" bestFit="1" customWidth="1"/>
    <col min="4" max="4" width="18" style="7" bestFit="1" customWidth="1"/>
    <col min="5" max="5" width="21.6640625" style="3" bestFit="1" customWidth="1"/>
    <col min="6" max="6" width="20" customWidth="1"/>
    <col min="7" max="7" width="2.5" customWidth="1"/>
    <col min="8" max="8" width="44.6640625" customWidth="1"/>
    <col min="9" max="9" width="22.5" style="70" customWidth="1"/>
    <col min="10" max="10" width="19.1640625" customWidth="1"/>
    <col min="11" max="11" width="13.1640625" customWidth="1"/>
  </cols>
  <sheetData>
    <row r="1" spans="1:11" s="1" customFormat="1" ht="18" thickBot="1" x14ac:dyDescent="0.25">
      <c r="A1" s="8" t="s">
        <v>30</v>
      </c>
      <c r="B1" s="66" t="s">
        <v>31</v>
      </c>
      <c r="C1" s="66" t="s">
        <v>32</v>
      </c>
      <c r="D1" s="9" t="s">
        <v>33</v>
      </c>
      <c r="E1" s="9" t="s">
        <v>34</v>
      </c>
      <c r="F1" s="1" t="s">
        <v>662</v>
      </c>
      <c r="H1" s="25" t="s">
        <v>652</v>
      </c>
      <c r="I1" s="69" t="s">
        <v>661</v>
      </c>
      <c r="J1" s="1" t="s">
        <v>662</v>
      </c>
      <c r="K1" s="1" t="s">
        <v>663</v>
      </c>
    </row>
    <row r="2" spans="1:11" ht="15" thickTop="1" thickBot="1" x14ac:dyDescent="0.2">
      <c r="A2" s="2">
        <v>36529</v>
      </c>
      <c r="B2" s="67" t="s">
        <v>91</v>
      </c>
      <c r="C2" s="68" t="s">
        <v>36</v>
      </c>
      <c r="D2" s="3">
        <v>50000</v>
      </c>
      <c r="E2" s="3">
        <v>16</v>
      </c>
      <c r="F2" s="3">
        <f>SUM(D2,E2)</f>
        <v>50016</v>
      </c>
    </row>
    <row r="3" spans="1:11" ht="16" x14ac:dyDescent="0.2">
      <c r="A3" s="2">
        <v>36534</v>
      </c>
      <c r="B3" s="67" t="s">
        <v>71</v>
      </c>
      <c r="C3" s="67" t="s">
        <v>36</v>
      </c>
      <c r="D3" s="3">
        <v>29970</v>
      </c>
      <c r="E3" s="3">
        <v>29</v>
      </c>
      <c r="F3" s="3">
        <f t="shared" ref="F3:F66" si="0">SUM(D3,E3)</f>
        <v>29999</v>
      </c>
      <c r="H3" s="49" t="s">
        <v>36</v>
      </c>
      <c r="I3" s="74">
        <f>SUMIF(C2:C80,"Abbigliamento",F2:F80)</f>
        <v>611998</v>
      </c>
      <c r="J3" s="85">
        <v>611998</v>
      </c>
      <c r="K3" s="75">
        <f>COUNTIF(C2:C80,"Abbigliamento")</f>
        <v>11</v>
      </c>
    </row>
    <row r="4" spans="1:11" ht="16" x14ac:dyDescent="0.2">
      <c r="A4" s="2">
        <v>36537</v>
      </c>
      <c r="B4" s="67" t="s">
        <v>105</v>
      </c>
      <c r="C4" s="67" t="s">
        <v>68</v>
      </c>
      <c r="D4" s="3">
        <v>27560</v>
      </c>
      <c r="E4" s="3">
        <v>21</v>
      </c>
      <c r="F4" s="3">
        <f t="shared" si="0"/>
        <v>27581</v>
      </c>
      <c r="H4" s="50" t="s">
        <v>94</v>
      </c>
      <c r="I4" s="71">
        <f>SUMIF(C2:C80,"Alimentari",F2:F80)</f>
        <v>30962</v>
      </c>
      <c r="J4" s="75"/>
      <c r="K4" s="75">
        <f>COUNTIF(C2:C80,"Alimentari")</f>
        <v>5</v>
      </c>
    </row>
    <row r="5" spans="1:11" ht="16" x14ac:dyDescent="0.2">
      <c r="A5" s="2">
        <v>36543</v>
      </c>
      <c r="B5" s="67" t="s">
        <v>92</v>
      </c>
      <c r="C5" s="67" t="s">
        <v>58</v>
      </c>
      <c r="D5" s="3">
        <v>43500</v>
      </c>
      <c r="E5" s="3">
        <v>29</v>
      </c>
      <c r="F5" s="3">
        <f t="shared" si="0"/>
        <v>43529</v>
      </c>
      <c r="H5" s="50" t="s">
        <v>56</v>
      </c>
      <c r="I5" s="71">
        <f>SUMIF(C2:C80,"Personale",F2:F80)</f>
        <v>54074</v>
      </c>
      <c r="J5" s="75"/>
      <c r="K5" s="75">
        <f>COUNTIF(C2:C80,"Personale")</f>
        <v>4</v>
      </c>
    </row>
    <row r="6" spans="1:11" ht="17" thickBot="1" x14ac:dyDescent="0.25">
      <c r="A6" s="2">
        <v>36545</v>
      </c>
      <c r="B6" s="67" t="s">
        <v>55</v>
      </c>
      <c r="C6" s="67" t="s">
        <v>56</v>
      </c>
      <c r="D6" s="3">
        <v>13500</v>
      </c>
      <c r="E6" s="3">
        <v>15</v>
      </c>
      <c r="F6" s="3">
        <f t="shared" si="0"/>
        <v>13515</v>
      </c>
      <c r="H6" s="51" t="s">
        <v>88</v>
      </c>
      <c r="I6" s="72">
        <f>SUMIF(C2:C80,"Hardware",F2:F80)</f>
        <v>6765662</v>
      </c>
      <c r="J6" s="75"/>
      <c r="K6" s="75">
        <f>COUNTIF(C2:C80,"Hardware")</f>
        <v>4</v>
      </c>
    </row>
    <row r="7" spans="1:11" ht="14" thickBot="1" x14ac:dyDescent="0.2">
      <c r="A7" s="2">
        <v>36547</v>
      </c>
      <c r="B7" s="67" t="s">
        <v>43</v>
      </c>
      <c r="C7" s="67" t="s">
        <v>44</v>
      </c>
      <c r="D7" s="3">
        <v>50800</v>
      </c>
      <c r="E7" s="3">
        <v>22</v>
      </c>
      <c r="F7" s="3">
        <f t="shared" si="0"/>
        <v>50822</v>
      </c>
    </row>
    <row r="8" spans="1:11" ht="16" x14ac:dyDescent="0.2">
      <c r="A8" s="2">
        <v>36548</v>
      </c>
      <c r="B8" s="67" t="s">
        <v>64</v>
      </c>
      <c r="C8" s="67" t="s">
        <v>65</v>
      </c>
      <c r="D8" s="3">
        <v>98450</v>
      </c>
      <c r="E8" s="3">
        <v>21</v>
      </c>
      <c r="F8" s="3">
        <f t="shared" si="0"/>
        <v>98471</v>
      </c>
      <c r="H8" s="52" t="s">
        <v>105</v>
      </c>
      <c r="I8" s="74">
        <f>SUMIF(B2:B80,"H&amp;B",F2:F80)</f>
        <v>73489</v>
      </c>
      <c r="J8" s="75"/>
      <c r="K8" s="75">
        <f>COUNTIF(B2:B80,"H&amp;B")</f>
        <v>2</v>
      </c>
    </row>
    <row r="9" spans="1:11" ht="16" x14ac:dyDescent="0.2">
      <c r="A9" s="2">
        <v>36551</v>
      </c>
      <c r="B9" s="67" t="s">
        <v>105</v>
      </c>
      <c r="C9" s="67" t="s">
        <v>68</v>
      </c>
      <c r="D9" s="3">
        <v>45890</v>
      </c>
      <c r="E9" s="3">
        <v>18</v>
      </c>
      <c r="F9" s="3">
        <f t="shared" si="0"/>
        <v>45908</v>
      </c>
      <c r="H9" s="53" t="s">
        <v>43</v>
      </c>
      <c r="I9" s="71">
        <f>SUMIF(B2:B80,"Allstate",F2:F80)</f>
        <v>50822</v>
      </c>
      <c r="J9" s="75"/>
      <c r="K9" s="75">
        <f>COUNTIF(B2:B80,"Allstate")</f>
        <v>1</v>
      </c>
    </row>
    <row r="10" spans="1:11" ht="16" x14ac:dyDescent="0.2">
      <c r="A10" s="2">
        <v>36552</v>
      </c>
      <c r="B10" s="67" t="s">
        <v>45</v>
      </c>
      <c r="C10" s="67" t="s">
        <v>46</v>
      </c>
      <c r="D10" s="3">
        <v>7950</v>
      </c>
      <c r="E10" s="3">
        <v>23</v>
      </c>
      <c r="F10" s="3">
        <f t="shared" si="0"/>
        <v>7973</v>
      </c>
      <c r="H10" s="53" t="s">
        <v>64</v>
      </c>
      <c r="I10" s="71">
        <f>SUMIF(B2:B80,"Canon USA",F2:F80)</f>
        <v>98471</v>
      </c>
      <c r="J10" s="75"/>
      <c r="K10" s="75">
        <f>COUNTIF(B2:B80,"Canon USA")</f>
        <v>1</v>
      </c>
    </row>
    <row r="11" spans="1:11" ht="16" x14ac:dyDescent="0.2">
      <c r="A11" s="2">
        <v>36553</v>
      </c>
      <c r="B11" s="67" t="s">
        <v>85</v>
      </c>
      <c r="C11" s="67" t="s">
        <v>65</v>
      </c>
      <c r="D11" s="3">
        <v>87450</v>
      </c>
      <c r="E11" s="3">
        <v>24</v>
      </c>
      <c r="F11" s="3">
        <f t="shared" si="0"/>
        <v>87474</v>
      </c>
      <c r="H11" s="53" t="s">
        <v>45</v>
      </c>
      <c r="I11" s="71">
        <f>SUMIF(B2:B80,"America Online",F2:F80)</f>
        <v>7973</v>
      </c>
      <c r="J11" s="75"/>
      <c r="K11" s="75">
        <f>COUNTIF(B2:B80,"America Online")</f>
        <v>1</v>
      </c>
    </row>
    <row r="12" spans="1:11" ht="16" x14ac:dyDescent="0.2">
      <c r="A12" s="2">
        <v>36554</v>
      </c>
      <c r="B12" s="67" t="s">
        <v>37</v>
      </c>
      <c r="C12" s="67" t="s">
        <v>38</v>
      </c>
      <c r="D12" s="3">
        <v>295000</v>
      </c>
      <c r="E12" s="3">
        <v>27</v>
      </c>
      <c r="F12" s="3">
        <f t="shared" si="0"/>
        <v>295027</v>
      </c>
      <c r="H12" s="53" t="s">
        <v>61</v>
      </c>
      <c r="I12" s="71">
        <f>SUMIF(B2:B80,"Biobottoms",F2:F80)</f>
        <v>283071</v>
      </c>
      <c r="J12" s="75"/>
      <c r="K12" s="75">
        <f>COUNTIF(B2:B80,"Biobottoms")</f>
        <v>4</v>
      </c>
    </row>
    <row r="13" spans="1:11" ht="16" x14ac:dyDescent="0.2">
      <c r="A13" s="2">
        <v>36555</v>
      </c>
      <c r="B13" s="67" t="s">
        <v>92</v>
      </c>
      <c r="C13" s="67" t="s">
        <v>78</v>
      </c>
      <c r="D13" s="3">
        <v>348980</v>
      </c>
      <c r="E13" s="3">
        <v>15</v>
      </c>
      <c r="F13" s="3">
        <f t="shared" si="0"/>
        <v>348995</v>
      </c>
      <c r="H13" s="53" t="s">
        <v>89</v>
      </c>
      <c r="I13" s="71">
        <f>SUMIF(B2:B80,"Epcot Center",F2:F80)</f>
        <v>107734</v>
      </c>
      <c r="J13" s="75"/>
      <c r="K13" s="75">
        <f>COUNTIF(B2:B80,"Epcot Center")</f>
        <v>2</v>
      </c>
    </row>
    <row r="14" spans="1:11" ht="17" thickBot="1" x14ac:dyDescent="0.25">
      <c r="A14" s="2">
        <v>36558</v>
      </c>
      <c r="B14" s="67" t="s">
        <v>97</v>
      </c>
      <c r="C14" s="67" t="s">
        <v>98</v>
      </c>
      <c r="D14" s="3">
        <v>127490</v>
      </c>
      <c r="E14" s="3">
        <v>17</v>
      </c>
      <c r="F14" s="3">
        <f t="shared" si="0"/>
        <v>127507</v>
      </c>
      <c r="H14" s="54" t="s">
        <v>59</v>
      </c>
      <c r="I14" s="72">
        <f>SUMIF(B2:B80,"Biergarten",F2:F80)</f>
        <v>27284</v>
      </c>
      <c r="J14" s="75"/>
      <c r="K14" s="75">
        <f>COUNTIF(B2:B80,"Biergarten")</f>
        <v>1</v>
      </c>
    </row>
    <row r="15" spans="1:11" x14ac:dyDescent="0.15">
      <c r="A15" s="2">
        <v>36558</v>
      </c>
      <c r="B15" s="67" t="s">
        <v>74</v>
      </c>
      <c r="C15" s="67" t="s">
        <v>68</v>
      </c>
      <c r="D15" s="3">
        <v>49400</v>
      </c>
      <c r="E15" s="3">
        <v>13</v>
      </c>
      <c r="F15" s="3">
        <f t="shared" si="0"/>
        <v>49413</v>
      </c>
    </row>
    <row r="16" spans="1:11" x14ac:dyDescent="0.15">
      <c r="A16" s="2">
        <v>36573</v>
      </c>
      <c r="B16" s="67" t="s">
        <v>41</v>
      </c>
      <c r="C16" s="67" t="s">
        <v>42</v>
      </c>
      <c r="D16" s="3">
        <v>201000</v>
      </c>
      <c r="E16" s="3">
        <v>14</v>
      </c>
      <c r="F16" s="3">
        <f t="shared" si="0"/>
        <v>201014</v>
      </c>
    </row>
    <row r="17" spans="1:6" x14ac:dyDescent="0.15">
      <c r="A17" s="2">
        <v>36573</v>
      </c>
      <c r="B17" s="67" t="s">
        <v>47</v>
      </c>
      <c r="C17" s="67" t="s">
        <v>42</v>
      </c>
      <c r="D17" s="3">
        <v>1368000</v>
      </c>
      <c r="E17" s="3">
        <v>28</v>
      </c>
      <c r="F17" s="3">
        <f t="shared" si="0"/>
        <v>1368028</v>
      </c>
    </row>
    <row r="18" spans="1:6" x14ac:dyDescent="0.15">
      <c r="A18" s="2">
        <v>36576</v>
      </c>
      <c r="B18" s="67" t="s">
        <v>82</v>
      </c>
      <c r="C18" s="67" t="s">
        <v>52</v>
      </c>
      <c r="D18" s="3">
        <v>36850</v>
      </c>
      <c r="E18" s="3">
        <v>16</v>
      </c>
      <c r="F18" s="3">
        <f t="shared" si="0"/>
        <v>36866</v>
      </c>
    </row>
    <row r="19" spans="1:6" x14ac:dyDescent="0.15">
      <c r="A19" s="2">
        <v>36580</v>
      </c>
      <c r="B19" s="67" t="s">
        <v>61</v>
      </c>
      <c r="C19" s="67" t="s">
        <v>36</v>
      </c>
      <c r="D19" s="3">
        <v>151500</v>
      </c>
      <c r="E19" s="3">
        <v>13</v>
      </c>
      <c r="F19" s="3">
        <f t="shared" si="0"/>
        <v>151513</v>
      </c>
    </row>
    <row r="20" spans="1:6" x14ac:dyDescent="0.15">
      <c r="A20" s="2">
        <v>36589</v>
      </c>
      <c r="B20" s="67" t="s">
        <v>55</v>
      </c>
      <c r="C20" s="67" t="s">
        <v>56</v>
      </c>
      <c r="D20" s="3">
        <v>13500</v>
      </c>
      <c r="E20" s="3">
        <v>20</v>
      </c>
      <c r="F20" s="3">
        <f t="shared" si="0"/>
        <v>13520</v>
      </c>
    </row>
    <row r="21" spans="1:6" x14ac:dyDescent="0.15">
      <c r="A21" s="2">
        <v>36593</v>
      </c>
      <c r="B21" s="67" t="s">
        <v>39</v>
      </c>
      <c r="C21" s="67" t="s">
        <v>40</v>
      </c>
      <c r="D21" s="3">
        <v>17000</v>
      </c>
      <c r="E21" s="3">
        <v>18</v>
      </c>
      <c r="F21" s="3">
        <f t="shared" si="0"/>
        <v>17018</v>
      </c>
    </row>
    <row r="22" spans="1:6" x14ac:dyDescent="0.15">
      <c r="A22" s="2">
        <v>36594</v>
      </c>
      <c r="B22" s="67" t="s">
        <v>89</v>
      </c>
      <c r="C22" s="67" t="s">
        <v>68</v>
      </c>
      <c r="D22" s="3">
        <v>35900</v>
      </c>
      <c r="E22" s="3">
        <v>16</v>
      </c>
      <c r="F22" s="3">
        <f t="shared" si="0"/>
        <v>35916</v>
      </c>
    </row>
    <row r="23" spans="1:6" x14ac:dyDescent="0.15">
      <c r="A23" s="2">
        <v>36594</v>
      </c>
      <c r="B23" s="67" t="s">
        <v>59</v>
      </c>
      <c r="C23" s="67" t="s">
        <v>60</v>
      </c>
      <c r="D23" s="3">
        <v>27270</v>
      </c>
      <c r="E23" s="3">
        <v>14</v>
      </c>
      <c r="F23" s="3">
        <f t="shared" si="0"/>
        <v>27284</v>
      </c>
    </row>
    <row r="24" spans="1:6" x14ac:dyDescent="0.15">
      <c r="A24" s="2">
        <v>36594</v>
      </c>
      <c r="B24" s="67" t="s">
        <v>86</v>
      </c>
      <c r="C24" s="67" t="s">
        <v>60</v>
      </c>
      <c r="D24" s="3">
        <v>13400</v>
      </c>
      <c r="E24" s="3">
        <v>14</v>
      </c>
      <c r="F24" s="3">
        <f t="shared" si="0"/>
        <v>13414</v>
      </c>
    </row>
    <row r="25" spans="1:6" x14ac:dyDescent="0.15">
      <c r="A25" s="2">
        <v>36595</v>
      </c>
      <c r="B25" s="67" t="s">
        <v>61</v>
      </c>
      <c r="C25" s="67" t="s">
        <v>36</v>
      </c>
      <c r="D25" s="3">
        <v>19000</v>
      </c>
      <c r="E25" s="3">
        <v>17</v>
      </c>
      <c r="F25" s="3">
        <f t="shared" si="0"/>
        <v>19017</v>
      </c>
    </row>
    <row r="26" spans="1:6" x14ac:dyDescent="0.15">
      <c r="A26" s="2">
        <v>36595</v>
      </c>
      <c r="B26" s="67" t="s">
        <v>89</v>
      </c>
      <c r="C26" s="67" t="s">
        <v>68</v>
      </c>
      <c r="D26" s="3">
        <v>71800</v>
      </c>
      <c r="E26" s="3">
        <v>18</v>
      </c>
      <c r="F26" s="3">
        <f t="shared" si="0"/>
        <v>71818</v>
      </c>
    </row>
    <row r="27" spans="1:6" x14ac:dyDescent="0.15">
      <c r="A27" s="2">
        <v>36595</v>
      </c>
      <c r="B27" s="67" t="s">
        <v>86</v>
      </c>
      <c r="C27" s="67" t="s">
        <v>60</v>
      </c>
      <c r="D27" s="3">
        <v>12280</v>
      </c>
      <c r="E27" s="3">
        <v>14</v>
      </c>
      <c r="F27" s="3">
        <f t="shared" si="0"/>
        <v>12294</v>
      </c>
    </row>
    <row r="28" spans="1:6" x14ac:dyDescent="0.15">
      <c r="A28" s="2">
        <v>36595</v>
      </c>
      <c r="B28" s="67" t="s">
        <v>86</v>
      </c>
      <c r="C28" s="67" t="s">
        <v>60</v>
      </c>
      <c r="D28" s="3">
        <v>14670</v>
      </c>
      <c r="E28" s="3">
        <v>17</v>
      </c>
      <c r="F28" s="3">
        <f t="shared" si="0"/>
        <v>14687</v>
      </c>
    </row>
    <row r="29" spans="1:6" x14ac:dyDescent="0.15">
      <c r="A29" s="2">
        <v>36596</v>
      </c>
      <c r="B29" s="67" t="s">
        <v>35</v>
      </c>
      <c r="C29" s="67" t="s">
        <v>36</v>
      </c>
      <c r="D29" s="3">
        <v>163500</v>
      </c>
      <c r="E29" s="3">
        <v>18</v>
      </c>
      <c r="F29" s="3">
        <f t="shared" si="0"/>
        <v>163518</v>
      </c>
    </row>
    <row r="30" spans="1:6" x14ac:dyDescent="0.15">
      <c r="A30" s="2">
        <v>36596</v>
      </c>
      <c r="B30" s="67" t="s">
        <v>77</v>
      </c>
      <c r="C30" s="67" t="s">
        <v>78</v>
      </c>
      <c r="D30" s="3">
        <v>183900</v>
      </c>
      <c r="E30" s="3">
        <v>26</v>
      </c>
      <c r="F30" s="3">
        <f t="shared" si="0"/>
        <v>183926</v>
      </c>
    </row>
    <row r="31" spans="1:6" x14ac:dyDescent="0.15">
      <c r="A31" s="2">
        <v>36596</v>
      </c>
      <c r="B31" s="67" t="s">
        <v>69</v>
      </c>
      <c r="C31" s="67" t="s">
        <v>70</v>
      </c>
      <c r="D31" s="3">
        <v>43500</v>
      </c>
      <c r="E31" s="3">
        <v>16</v>
      </c>
      <c r="F31" s="3">
        <f t="shared" si="0"/>
        <v>43516</v>
      </c>
    </row>
    <row r="32" spans="1:6" x14ac:dyDescent="0.15">
      <c r="A32" s="2">
        <v>36596</v>
      </c>
      <c r="B32" s="67" t="s">
        <v>66</v>
      </c>
      <c r="C32" s="67" t="s">
        <v>60</v>
      </c>
      <c r="D32" s="3">
        <v>10730</v>
      </c>
      <c r="E32" s="3">
        <v>17</v>
      </c>
      <c r="F32" s="3">
        <f t="shared" si="0"/>
        <v>10747</v>
      </c>
    </row>
    <row r="33" spans="1:6" x14ac:dyDescent="0.15">
      <c r="A33" s="2">
        <v>36596</v>
      </c>
      <c r="B33" s="67" t="s">
        <v>79</v>
      </c>
      <c r="C33" s="67" t="s">
        <v>60</v>
      </c>
      <c r="D33" s="3">
        <v>11210</v>
      </c>
      <c r="E33" s="3">
        <v>25</v>
      </c>
      <c r="F33" s="3">
        <f t="shared" si="0"/>
        <v>11235</v>
      </c>
    </row>
    <row r="34" spans="1:6" x14ac:dyDescent="0.15">
      <c r="A34" s="2">
        <v>36596</v>
      </c>
      <c r="B34" s="67" t="s">
        <v>50</v>
      </c>
      <c r="C34" s="67" t="s">
        <v>40</v>
      </c>
      <c r="D34" s="3">
        <v>127950</v>
      </c>
      <c r="E34" s="3">
        <v>20</v>
      </c>
      <c r="F34" s="3">
        <f t="shared" si="0"/>
        <v>127970</v>
      </c>
    </row>
    <row r="35" spans="1:6" x14ac:dyDescent="0.15">
      <c r="A35" s="2">
        <v>36597</v>
      </c>
      <c r="B35" s="67" t="s">
        <v>48</v>
      </c>
      <c r="C35" s="67" t="s">
        <v>49</v>
      </c>
      <c r="D35" s="3">
        <v>20000</v>
      </c>
      <c r="E35" s="3">
        <v>23</v>
      </c>
      <c r="F35" s="3">
        <f t="shared" si="0"/>
        <v>20023</v>
      </c>
    </row>
    <row r="36" spans="1:6" x14ac:dyDescent="0.15">
      <c r="A36" s="2">
        <v>36597</v>
      </c>
      <c r="B36" s="67" t="s">
        <v>76</v>
      </c>
      <c r="C36" s="67" t="s">
        <v>60</v>
      </c>
      <c r="D36" s="3">
        <v>7850</v>
      </c>
      <c r="E36" s="3">
        <v>25</v>
      </c>
      <c r="F36" s="3">
        <f t="shared" si="0"/>
        <v>7875</v>
      </c>
    </row>
    <row r="37" spans="1:6" x14ac:dyDescent="0.15">
      <c r="A37" s="2">
        <v>36598</v>
      </c>
      <c r="B37" s="67" t="s">
        <v>97</v>
      </c>
      <c r="C37" s="67" t="s">
        <v>98</v>
      </c>
      <c r="D37" s="3">
        <v>127490</v>
      </c>
      <c r="E37" s="3">
        <v>21</v>
      </c>
      <c r="F37" s="3">
        <f t="shared" si="0"/>
        <v>127511</v>
      </c>
    </row>
    <row r="38" spans="1:6" x14ac:dyDescent="0.15">
      <c r="A38" s="2">
        <v>36598</v>
      </c>
      <c r="B38" s="67" t="s">
        <v>51</v>
      </c>
      <c r="C38" s="67" t="s">
        <v>52</v>
      </c>
      <c r="D38" s="3">
        <v>3950</v>
      </c>
      <c r="E38" s="3">
        <v>17</v>
      </c>
      <c r="F38" s="3">
        <f t="shared" si="0"/>
        <v>3967</v>
      </c>
    </row>
    <row r="39" spans="1:6" x14ac:dyDescent="0.15">
      <c r="A39" s="2">
        <v>36598</v>
      </c>
      <c r="B39" s="67" t="s">
        <v>91</v>
      </c>
      <c r="C39" s="67" t="s">
        <v>54</v>
      </c>
      <c r="D39" s="3">
        <v>50000</v>
      </c>
      <c r="E39" s="3">
        <v>15</v>
      </c>
      <c r="F39" s="3">
        <f t="shared" si="0"/>
        <v>50015</v>
      </c>
    </row>
    <row r="40" spans="1:6" x14ac:dyDescent="0.15">
      <c r="A40" s="2">
        <v>36600</v>
      </c>
      <c r="B40" s="67" t="s">
        <v>72</v>
      </c>
      <c r="C40" s="67" t="s">
        <v>73</v>
      </c>
      <c r="D40" s="3">
        <v>16650</v>
      </c>
      <c r="E40" s="3">
        <v>24</v>
      </c>
      <c r="F40" s="3">
        <f t="shared" si="0"/>
        <v>16674</v>
      </c>
    </row>
    <row r="41" spans="1:6" x14ac:dyDescent="0.15">
      <c r="A41" s="2">
        <v>36603</v>
      </c>
      <c r="B41" s="67" t="s">
        <v>74</v>
      </c>
      <c r="C41" s="67" t="s">
        <v>68</v>
      </c>
      <c r="D41" s="3">
        <v>87300</v>
      </c>
      <c r="E41" s="3">
        <v>18</v>
      </c>
      <c r="F41" s="3">
        <f t="shared" si="0"/>
        <v>87318</v>
      </c>
    </row>
    <row r="42" spans="1:6" x14ac:dyDescent="0.15">
      <c r="A42" s="2">
        <v>36604</v>
      </c>
      <c r="B42" s="67" t="s">
        <v>100</v>
      </c>
      <c r="C42" s="67" t="s">
        <v>88</v>
      </c>
      <c r="D42" s="3">
        <v>2425000</v>
      </c>
      <c r="E42" s="3">
        <v>11</v>
      </c>
      <c r="F42" s="3">
        <f t="shared" si="0"/>
        <v>2425011</v>
      </c>
    </row>
    <row r="43" spans="1:6" x14ac:dyDescent="0.15">
      <c r="A43" s="2">
        <v>36608</v>
      </c>
      <c r="B43" s="67" t="s">
        <v>63</v>
      </c>
      <c r="C43" s="67" t="s">
        <v>36</v>
      </c>
      <c r="D43" s="3">
        <v>18230</v>
      </c>
      <c r="E43" s="3">
        <v>21</v>
      </c>
      <c r="F43" s="3">
        <f t="shared" si="0"/>
        <v>18251</v>
      </c>
    </row>
    <row r="44" spans="1:6" x14ac:dyDescent="0.15">
      <c r="A44" s="2">
        <v>36609</v>
      </c>
      <c r="B44" s="67" t="s">
        <v>50</v>
      </c>
      <c r="C44" s="67" t="s">
        <v>40</v>
      </c>
      <c r="D44" s="3">
        <v>78530</v>
      </c>
      <c r="E44" s="3">
        <v>25</v>
      </c>
      <c r="F44" s="3">
        <f t="shared" si="0"/>
        <v>78555</v>
      </c>
    </row>
    <row r="45" spans="1:6" x14ac:dyDescent="0.15">
      <c r="A45" s="2">
        <v>36609</v>
      </c>
      <c r="B45" s="67" t="s">
        <v>75</v>
      </c>
      <c r="C45" s="67" t="s">
        <v>40</v>
      </c>
      <c r="D45" s="3">
        <v>21000</v>
      </c>
      <c r="E45" s="3">
        <v>18</v>
      </c>
      <c r="F45" s="3">
        <f t="shared" si="0"/>
        <v>21018</v>
      </c>
    </row>
    <row r="46" spans="1:6" x14ac:dyDescent="0.15">
      <c r="A46" s="2">
        <v>36612</v>
      </c>
      <c r="B46" s="67" t="s">
        <v>80</v>
      </c>
      <c r="C46" s="67" t="s">
        <v>81</v>
      </c>
      <c r="D46" s="3">
        <v>34900</v>
      </c>
      <c r="E46" s="3">
        <v>16</v>
      </c>
      <c r="F46" s="3">
        <f t="shared" si="0"/>
        <v>34916</v>
      </c>
    </row>
    <row r="47" spans="1:6" x14ac:dyDescent="0.15">
      <c r="A47" s="2">
        <v>36614</v>
      </c>
      <c r="B47" s="67" t="s">
        <v>51</v>
      </c>
      <c r="C47" s="67" t="s">
        <v>52</v>
      </c>
      <c r="D47" s="3">
        <v>8000</v>
      </c>
      <c r="E47" s="3">
        <v>22</v>
      </c>
      <c r="F47" s="3">
        <f t="shared" si="0"/>
        <v>8022</v>
      </c>
    </row>
    <row r="48" spans="1:6" x14ac:dyDescent="0.15">
      <c r="A48" s="2">
        <v>36614</v>
      </c>
      <c r="B48" s="67" t="s">
        <v>90</v>
      </c>
      <c r="C48" s="67" t="s">
        <v>68</v>
      </c>
      <c r="D48" s="3">
        <v>24660</v>
      </c>
      <c r="E48" s="3">
        <v>27</v>
      </c>
      <c r="F48" s="3">
        <f t="shared" si="0"/>
        <v>24687</v>
      </c>
    </row>
    <row r="49" spans="1:6" x14ac:dyDescent="0.15">
      <c r="A49" s="2">
        <v>36616</v>
      </c>
      <c r="B49" s="67" t="s">
        <v>99</v>
      </c>
      <c r="C49" s="67" t="s">
        <v>81</v>
      </c>
      <c r="D49" s="3">
        <v>22450</v>
      </c>
      <c r="E49" s="3">
        <v>18</v>
      </c>
      <c r="F49" s="3">
        <f t="shared" si="0"/>
        <v>22468</v>
      </c>
    </row>
    <row r="50" spans="1:6" x14ac:dyDescent="0.15">
      <c r="A50" s="2">
        <v>36622</v>
      </c>
      <c r="B50" s="67" t="s">
        <v>99</v>
      </c>
      <c r="C50" s="67" t="s">
        <v>81</v>
      </c>
      <c r="D50" s="3">
        <v>44950</v>
      </c>
      <c r="E50" s="3">
        <v>20</v>
      </c>
      <c r="F50" s="3">
        <f t="shared" si="0"/>
        <v>44970</v>
      </c>
    </row>
    <row r="51" spans="1:6" x14ac:dyDescent="0.15">
      <c r="A51" s="2">
        <v>36624</v>
      </c>
      <c r="B51" s="67" t="s">
        <v>87</v>
      </c>
      <c r="C51" s="67" t="s">
        <v>88</v>
      </c>
      <c r="D51" s="3">
        <v>55600</v>
      </c>
      <c r="E51" s="3">
        <v>11</v>
      </c>
      <c r="F51" s="3">
        <f t="shared" si="0"/>
        <v>55611</v>
      </c>
    </row>
    <row r="52" spans="1:6" x14ac:dyDescent="0.15">
      <c r="A52" s="2">
        <v>36629</v>
      </c>
      <c r="B52" s="67" t="s">
        <v>83</v>
      </c>
      <c r="C52" s="67" t="s">
        <v>84</v>
      </c>
      <c r="D52" s="3">
        <v>84500</v>
      </c>
      <c r="E52" s="3">
        <v>21</v>
      </c>
      <c r="F52" s="3">
        <f t="shared" si="0"/>
        <v>84521</v>
      </c>
    </row>
    <row r="53" spans="1:6" x14ac:dyDescent="0.15">
      <c r="A53" s="2">
        <v>36632</v>
      </c>
      <c r="B53" s="67" t="s">
        <v>35</v>
      </c>
      <c r="C53" s="67" t="s">
        <v>36</v>
      </c>
      <c r="D53" s="3">
        <v>51800</v>
      </c>
      <c r="E53" s="3">
        <v>21</v>
      </c>
      <c r="F53" s="3">
        <f t="shared" si="0"/>
        <v>51821</v>
      </c>
    </row>
    <row r="54" spans="1:6" x14ac:dyDescent="0.15">
      <c r="A54" s="2">
        <v>36632</v>
      </c>
      <c r="B54" s="67" t="s">
        <v>61</v>
      </c>
      <c r="C54" s="67" t="s">
        <v>36</v>
      </c>
      <c r="D54" s="3">
        <v>31000</v>
      </c>
      <c r="E54" s="3">
        <v>16</v>
      </c>
      <c r="F54" s="3">
        <f t="shared" si="0"/>
        <v>31016</v>
      </c>
    </row>
    <row r="55" spans="1:6" x14ac:dyDescent="0.15">
      <c r="A55" s="2">
        <v>36637</v>
      </c>
      <c r="B55" s="67" t="s">
        <v>61</v>
      </c>
      <c r="C55" s="67" t="s">
        <v>36</v>
      </c>
      <c r="D55" s="3">
        <v>81500</v>
      </c>
      <c r="E55" s="3">
        <v>25</v>
      </c>
      <c r="F55" s="3">
        <f t="shared" si="0"/>
        <v>81525</v>
      </c>
    </row>
    <row r="56" spans="1:6" x14ac:dyDescent="0.15">
      <c r="A56" s="2">
        <v>36637</v>
      </c>
      <c r="B56" s="67" t="s">
        <v>77</v>
      </c>
      <c r="C56" s="67" t="s">
        <v>78</v>
      </c>
      <c r="D56" s="3">
        <v>183900</v>
      </c>
      <c r="E56" s="3">
        <v>18</v>
      </c>
      <c r="F56" s="3">
        <f t="shared" si="0"/>
        <v>183918</v>
      </c>
    </row>
    <row r="57" spans="1:6" x14ac:dyDescent="0.15">
      <c r="A57" s="2">
        <v>36637</v>
      </c>
      <c r="B57" s="67" t="s">
        <v>55</v>
      </c>
      <c r="C57" s="67" t="s">
        <v>56</v>
      </c>
      <c r="D57" s="3">
        <v>13500</v>
      </c>
      <c r="E57" s="3">
        <v>18</v>
      </c>
      <c r="F57" s="3">
        <f t="shared" si="0"/>
        <v>13518</v>
      </c>
    </row>
    <row r="58" spans="1:6" x14ac:dyDescent="0.15">
      <c r="A58" s="2">
        <v>36638</v>
      </c>
      <c r="B58" s="67" t="s">
        <v>95</v>
      </c>
      <c r="C58" s="67" t="s">
        <v>94</v>
      </c>
      <c r="D58" s="3">
        <v>2010</v>
      </c>
      <c r="E58" s="3">
        <v>21</v>
      </c>
      <c r="F58" s="3">
        <f t="shared" si="0"/>
        <v>2031</v>
      </c>
    </row>
    <row r="59" spans="1:6" x14ac:dyDescent="0.15">
      <c r="A59" s="2">
        <v>36640</v>
      </c>
      <c r="B59" s="67" t="s">
        <v>96</v>
      </c>
      <c r="C59" s="67" t="s">
        <v>81</v>
      </c>
      <c r="D59" s="3">
        <v>36300</v>
      </c>
      <c r="E59" s="3">
        <v>23</v>
      </c>
      <c r="F59" s="3">
        <f t="shared" si="0"/>
        <v>36323</v>
      </c>
    </row>
    <row r="60" spans="1:6" x14ac:dyDescent="0.15">
      <c r="A60" s="2">
        <v>36642</v>
      </c>
      <c r="B60" s="67" t="s">
        <v>63</v>
      </c>
      <c r="C60" s="67" t="s">
        <v>36</v>
      </c>
      <c r="D60" s="3">
        <v>7640</v>
      </c>
      <c r="E60" s="3">
        <v>20</v>
      </c>
      <c r="F60" s="3">
        <f t="shared" si="0"/>
        <v>7660</v>
      </c>
    </row>
    <row r="61" spans="1:6" x14ac:dyDescent="0.15">
      <c r="A61" s="2">
        <v>36644</v>
      </c>
      <c r="B61" s="67" t="s">
        <v>39</v>
      </c>
      <c r="C61" s="67" t="s">
        <v>40</v>
      </c>
      <c r="D61" s="3">
        <v>18000</v>
      </c>
      <c r="E61" s="3">
        <v>21</v>
      </c>
      <c r="F61" s="3">
        <f t="shared" si="0"/>
        <v>18021</v>
      </c>
    </row>
    <row r="62" spans="1:6" x14ac:dyDescent="0.15">
      <c r="A62" s="2">
        <v>36645</v>
      </c>
      <c r="B62" s="67" t="s">
        <v>95</v>
      </c>
      <c r="C62" s="67" t="s">
        <v>94</v>
      </c>
      <c r="D62" s="3">
        <v>8730</v>
      </c>
      <c r="E62" s="3">
        <v>18</v>
      </c>
      <c r="F62" s="3">
        <f t="shared" si="0"/>
        <v>8748</v>
      </c>
    </row>
    <row r="63" spans="1:6" x14ac:dyDescent="0.15">
      <c r="A63" s="2">
        <v>36645</v>
      </c>
      <c r="B63" s="67" t="s">
        <v>39</v>
      </c>
      <c r="C63" s="67" t="s">
        <v>40</v>
      </c>
      <c r="D63" s="3">
        <v>19000</v>
      </c>
      <c r="E63" s="3">
        <v>12</v>
      </c>
      <c r="F63" s="3">
        <f t="shared" si="0"/>
        <v>19012</v>
      </c>
    </row>
    <row r="64" spans="1:6" x14ac:dyDescent="0.15">
      <c r="A64" s="2">
        <v>36649</v>
      </c>
      <c r="B64" s="67" t="s">
        <v>100</v>
      </c>
      <c r="C64" s="67" t="s">
        <v>88</v>
      </c>
      <c r="D64" s="3">
        <v>2425000</v>
      </c>
      <c r="E64" s="3">
        <v>21</v>
      </c>
      <c r="F64" s="3">
        <f t="shared" si="0"/>
        <v>2425021</v>
      </c>
    </row>
    <row r="65" spans="1:6" x14ac:dyDescent="0.15">
      <c r="A65" s="2">
        <v>36651</v>
      </c>
      <c r="B65" s="67" t="s">
        <v>100</v>
      </c>
      <c r="C65" s="67" t="s">
        <v>88</v>
      </c>
      <c r="D65" s="3">
        <v>1860000</v>
      </c>
      <c r="E65" s="3">
        <v>19</v>
      </c>
      <c r="F65" s="3">
        <f t="shared" si="0"/>
        <v>1860019</v>
      </c>
    </row>
    <row r="66" spans="1:6" x14ac:dyDescent="0.15">
      <c r="A66" s="2">
        <v>36652</v>
      </c>
      <c r="B66" s="67" t="s">
        <v>103</v>
      </c>
      <c r="C66" s="67" t="s">
        <v>94</v>
      </c>
      <c r="D66" s="3">
        <v>6570</v>
      </c>
      <c r="E66" s="3">
        <v>13</v>
      </c>
      <c r="F66" s="3">
        <f t="shared" si="0"/>
        <v>6583</v>
      </c>
    </row>
    <row r="67" spans="1:6" x14ac:dyDescent="0.15">
      <c r="A67" s="2">
        <v>36653</v>
      </c>
      <c r="B67" s="67" t="s">
        <v>101</v>
      </c>
      <c r="C67" s="67" t="s">
        <v>102</v>
      </c>
      <c r="D67" s="3">
        <v>14000</v>
      </c>
      <c r="E67" s="3">
        <v>16</v>
      </c>
      <c r="F67" s="3">
        <f t="shared" ref="F67:F80" si="1">SUM(D67,E67)</f>
        <v>14016</v>
      </c>
    </row>
    <row r="68" spans="1:6" x14ac:dyDescent="0.15">
      <c r="A68" s="2">
        <v>36665</v>
      </c>
      <c r="B68" s="67" t="s">
        <v>57</v>
      </c>
      <c r="C68" s="67" t="s">
        <v>58</v>
      </c>
      <c r="D68" s="3">
        <v>29980</v>
      </c>
      <c r="E68" s="3">
        <v>19</v>
      </c>
      <c r="F68" s="3">
        <f t="shared" si="1"/>
        <v>29999</v>
      </c>
    </row>
    <row r="69" spans="1:6" x14ac:dyDescent="0.15">
      <c r="A69" s="2">
        <v>36666</v>
      </c>
      <c r="B69" s="67" t="s">
        <v>67</v>
      </c>
      <c r="C69" s="67" t="s">
        <v>68</v>
      </c>
      <c r="D69" s="3">
        <v>17950</v>
      </c>
      <c r="E69" s="3">
        <v>17</v>
      </c>
      <c r="F69" s="3">
        <f t="shared" si="1"/>
        <v>17967</v>
      </c>
    </row>
    <row r="70" spans="1:6" x14ac:dyDescent="0.15">
      <c r="A70" s="2">
        <v>36666</v>
      </c>
      <c r="B70" s="67" t="s">
        <v>90</v>
      </c>
      <c r="C70" s="67" t="s">
        <v>68</v>
      </c>
      <c r="D70" s="3">
        <v>32320</v>
      </c>
      <c r="E70" s="3">
        <v>20</v>
      </c>
      <c r="F70" s="3">
        <f t="shared" si="1"/>
        <v>32340</v>
      </c>
    </row>
    <row r="71" spans="1:6" x14ac:dyDescent="0.15">
      <c r="A71" s="2">
        <v>36667</v>
      </c>
      <c r="B71" s="67" t="s">
        <v>53</v>
      </c>
      <c r="C71" s="67" t="s">
        <v>54</v>
      </c>
      <c r="D71" s="3">
        <v>27350</v>
      </c>
      <c r="E71" s="3">
        <v>19</v>
      </c>
      <c r="F71" s="3">
        <f t="shared" si="1"/>
        <v>27369</v>
      </c>
    </row>
    <row r="72" spans="1:6" x14ac:dyDescent="0.15">
      <c r="A72" s="2">
        <v>36672</v>
      </c>
      <c r="B72" s="67" t="s">
        <v>101</v>
      </c>
      <c r="C72" s="67" t="s">
        <v>102</v>
      </c>
      <c r="D72" s="3">
        <v>15000</v>
      </c>
      <c r="E72" s="3">
        <v>20</v>
      </c>
      <c r="F72" s="3">
        <f t="shared" si="1"/>
        <v>15020</v>
      </c>
    </row>
    <row r="73" spans="1:6" x14ac:dyDescent="0.15">
      <c r="A73" s="2">
        <v>36681</v>
      </c>
      <c r="B73" s="67" t="s">
        <v>55</v>
      </c>
      <c r="C73" s="67" t="s">
        <v>56</v>
      </c>
      <c r="D73" s="3">
        <v>13500</v>
      </c>
      <c r="E73" s="3">
        <v>21</v>
      </c>
      <c r="F73" s="3">
        <f t="shared" si="1"/>
        <v>13521</v>
      </c>
    </row>
    <row r="74" spans="1:6" x14ac:dyDescent="0.15">
      <c r="A74" s="2">
        <v>36682</v>
      </c>
      <c r="B74" s="67" t="s">
        <v>103</v>
      </c>
      <c r="C74" s="67" t="s">
        <v>94</v>
      </c>
      <c r="D74" s="3">
        <v>8600</v>
      </c>
      <c r="E74" s="3">
        <v>22</v>
      </c>
      <c r="F74" s="3">
        <f t="shared" si="1"/>
        <v>8622</v>
      </c>
    </row>
    <row r="75" spans="1:6" x14ac:dyDescent="0.15">
      <c r="A75" s="2">
        <v>36685</v>
      </c>
      <c r="B75" s="67" t="s">
        <v>92</v>
      </c>
      <c r="C75" s="67" t="s">
        <v>58</v>
      </c>
      <c r="D75" s="3">
        <v>15980</v>
      </c>
      <c r="E75" s="3">
        <v>14</v>
      </c>
      <c r="F75" s="3">
        <f t="shared" si="1"/>
        <v>15994</v>
      </c>
    </row>
    <row r="76" spans="1:6" x14ac:dyDescent="0.15">
      <c r="A76" s="2">
        <v>36686</v>
      </c>
      <c r="B76" s="67" t="s">
        <v>63</v>
      </c>
      <c r="C76" s="67" t="s">
        <v>36</v>
      </c>
      <c r="D76" s="3">
        <v>7640</v>
      </c>
      <c r="E76" s="3">
        <v>22</v>
      </c>
      <c r="F76" s="3">
        <f t="shared" si="1"/>
        <v>7662</v>
      </c>
    </row>
    <row r="77" spans="1:6" x14ac:dyDescent="0.15">
      <c r="A77" s="2">
        <v>36697</v>
      </c>
      <c r="B77" s="67" t="s">
        <v>62</v>
      </c>
      <c r="C77" s="67" t="s">
        <v>52</v>
      </c>
      <c r="D77" s="3">
        <v>40650</v>
      </c>
      <c r="E77" s="3">
        <v>17</v>
      </c>
      <c r="F77" s="3">
        <f t="shared" si="1"/>
        <v>40667</v>
      </c>
    </row>
    <row r="78" spans="1:6" x14ac:dyDescent="0.15">
      <c r="A78" s="2">
        <v>36700</v>
      </c>
      <c r="B78" s="67" t="s">
        <v>104</v>
      </c>
      <c r="C78" s="67" t="s">
        <v>68</v>
      </c>
      <c r="D78" s="3">
        <v>50280</v>
      </c>
      <c r="E78" s="3">
        <v>20</v>
      </c>
      <c r="F78" s="3">
        <f t="shared" si="1"/>
        <v>50300</v>
      </c>
    </row>
    <row r="79" spans="1:6" x14ac:dyDescent="0.15">
      <c r="A79" s="2">
        <v>36700</v>
      </c>
      <c r="B79" s="67" t="s">
        <v>104</v>
      </c>
      <c r="C79" s="67" t="s">
        <v>68</v>
      </c>
      <c r="D79" s="3">
        <v>1050</v>
      </c>
      <c r="E79" s="3">
        <v>21</v>
      </c>
      <c r="F79" s="3">
        <f t="shared" si="1"/>
        <v>1071</v>
      </c>
    </row>
    <row r="80" spans="1:6" x14ac:dyDescent="0.15">
      <c r="A80" s="2">
        <v>36705</v>
      </c>
      <c r="B80" s="67" t="s">
        <v>93</v>
      </c>
      <c r="C80" s="67" t="s">
        <v>94</v>
      </c>
      <c r="D80" s="3">
        <v>4950</v>
      </c>
      <c r="E80" s="3">
        <v>28</v>
      </c>
      <c r="F80" s="3">
        <f t="shared" si="1"/>
        <v>4978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H15" sqref="H15"/>
    </sheetView>
  </sheetViews>
  <sheetFormatPr baseColWidth="10" defaultColWidth="8.83203125" defaultRowHeight="13" x14ac:dyDescent="0.15"/>
  <cols>
    <col min="1" max="1" width="11.83203125" bestFit="1" customWidth="1"/>
    <col min="2" max="2" width="9.83203125" bestFit="1" customWidth="1"/>
    <col min="3" max="4" width="11.83203125" bestFit="1" customWidth="1"/>
    <col min="5" max="5" width="10.33203125" bestFit="1" customWidth="1"/>
    <col min="7" max="7" width="21" customWidth="1"/>
    <col min="8" max="8" width="14.83203125" customWidth="1"/>
    <col min="11" max="11" width="23.6640625" customWidth="1"/>
  </cols>
  <sheetData>
    <row r="1" spans="1:11" ht="21" thickBot="1" x14ac:dyDescent="0.3">
      <c r="B1" s="82" t="s">
        <v>106</v>
      </c>
      <c r="C1" s="82"/>
      <c r="D1" s="82"/>
    </row>
    <row r="2" spans="1:11" ht="14" thickTop="1" x14ac:dyDescent="0.15"/>
    <row r="3" spans="1:11" ht="18" thickBot="1" x14ac:dyDescent="0.25">
      <c r="A3" s="4" t="s">
        <v>0</v>
      </c>
      <c r="B3" s="5" t="s">
        <v>1</v>
      </c>
      <c r="C3" s="5" t="s">
        <v>2</v>
      </c>
      <c r="D3" s="4" t="s">
        <v>3</v>
      </c>
      <c r="E3" s="6" t="s">
        <v>4</v>
      </c>
      <c r="G3" s="26" t="s">
        <v>653</v>
      </c>
      <c r="H3" s="27"/>
      <c r="I3" s="27"/>
      <c r="J3" s="27"/>
      <c r="K3" s="27"/>
    </row>
    <row r="4" spans="1:11" ht="15" thickTop="1" thickBot="1" x14ac:dyDescent="0.2">
      <c r="A4" t="s">
        <v>5</v>
      </c>
      <c r="B4" s="2">
        <v>37622</v>
      </c>
      <c r="C4" t="s">
        <v>6</v>
      </c>
      <c r="D4" t="s">
        <v>7</v>
      </c>
      <c r="E4" s="3">
        <v>23</v>
      </c>
    </row>
    <row r="5" spans="1:11" x14ac:dyDescent="0.15">
      <c r="A5" t="s">
        <v>5</v>
      </c>
      <c r="B5" s="2">
        <v>37626</v>
      </c>
      <c r="C5" t="s">
        <v>17</v>
      </c>
      <c r="D5" t="s">
        <v>9</v>
      </c>
      <c r="E5" s="3">
        <v>25</v>
      </c>
      <c r="G5" s="58" t="s">
        <v>14</v>
      </c>
      <c r="H5" s="55">
        <f>SUMIF(C4:C26,"elettronica",E4:E26)</f>
        <v>893.5</v>
      </c>
    </row>
    <row r="6" spans="1:11" x14ac:dyDescent="0.15">
      <c r="A6" t="s">
        <v>5</v>
      </c>
      <c r="B6" s="2">
        <v>10</v>
      </c>
      <c r="C6" t="s">
        <v>10</v>
      </c>
      <c r="D6" t="s">
        <v>11</v>
      </c>
      <c r="E6" s="3">
        <v>69</v>
      </c>
      <c r="G6" s="59" t="s">
        <v>6</v>
      </c>
      <c r="H6" s="56">
        <f>SUMIF(C2:C26,"alimentari",E2:E26)</f>
        <v>121</v>
      </c>
    </row>
    <row r="7" spans="1:11" x14ac:dyDescent="0.15">
      <c r="A7" t="s">
        <v>5</v>
      </c>
      <c r="B7" s="2">
        <v>37634</v>
      </c>
      <c r="C7" t="s">
        <v>12</v>
      </c>
      <c r="D7" t="s">
        <v>13</v>
      </c>
      <c r="E7" s="3">
        <v>554</v>
      </c>
      <c r="G7" s="59" t="s">
        <v>22</v>
      </c>
      <c r="H7" s="56">
        <f>SUMIF(C2:C26,"abbigliamento",E2:E26)</f>
        <v>832</v>
      </c>
    </row>
    <row r="8" spans="1:11" x14ac:dyDescent="0.15">
      <c r="A8" t="s">
        <v>5</v>
      </c>
      <c r="B8" s="2">
        <v>37635</v>
      </c>
      <c r="C8" t="s">
        <v>17</v>
      </c>
      <c r="D8" t="s">
        <v>15</v>
      </c>
      <c r="E8" s="3">
        <v>569</v>
      </c>
      <c r="G8" s="59" t="s">
        <v>8</v>
      </c>
      <c r="H8" s="56">
        <f ca="1">SUMIF(C2:C26,"svago",E4:E26)</f>
        <v>491</v>
      </c>
    </row>
    <row r="9" spans="1:11" x14ac:dyDescent="0.15">
      <c r="A9" t="s">
        <v>5</v>
      </c>
      <c r="B9" s="2">
        <v>37642</v>
      </c>
      <c r="C9" t="s">
        <v>12</v>
      </c>
      <c r="D9" t="s">
        <v>16</v>
      </c>
      <c r="E9" s="3">
        <v>58</v>
      </c>
      <c r="G9" s="59" t="s">
        <v>12</v>
      </c>
      <c r="H9" s="56">
        <f ca="1">SUMIF(C2:C26,"automobile",E4:E26)</f>
        <v>953</v>
      </c>
    </row>
    <row r="10" spans="1:11" ht="14" thickBot="1" x14ac:dyDescent="0.2">
      <c r="A10" t="s">
        <v>5</v>
      </c>
      <c r="B10" s="2">
        <v>37650</v>
      </c>
      <c r="C10" t="s">
        <v>17</v>
      </c>
      <c r="D10" t="s">
        <v>18</v>
      </c>
      <c r="E10" s="3">
        <v>885</v>
      </c>
      <c r="G10" s="60" t="s">
        <v>17</v>
      </c>
      <c r="H10" s="57">
        <v>1479</v>
      </c>
    </row>
    <row r="11" spans="1:11" x14ac:dyDescent="0.15">
      <c r="A11" t="s">
        <v>19</v>
      </c>
      <c r="B11" s="2">
        <v>37653</v>
      </c>
      <c r="C11" t="s">
        <v>14</v>
      </c>
      <c r="D11" t="s">
        <v>20</v>
      </c>
      <c r="E11" s="3">
        <v>821</v>
      </c>
    </row>
    <row r="12" spans="1:11" x14ac:dyDescent="0.15">
      <c r="A12" t="s">
        <v>19</v>
      </c>
      <c r="B12" s="2">
        <v>37657</v>
      </c>
      <c r="C12" t="s">
        <v>12</v>
      </c>
      <c r="D12" t="s">
        <v>16</v>
      </c>
      <c r="E12" s="3">
        <v>23</v>
      </c>
    </row>
    <row r="13" spans="1:11" x14ac:dyDescent="0.15">
      <c r="A13" t="s">
        <v>19</v>
      </c>
      <c r="B13" s="2">
        <v>37658</v>
      </c>
      <c r="C13" t="s">
        <v>6</v>
      </c>
      <c r="D13" t="s">
        <v>7</v>
      </c>
      <c r="E13" s="3">
        <v>36</v>
      </c>
    </row>
    <row r="14" spans="1:11" x14ac:dyDescent="0.15">
      <c r="A14" t="s">
        <v>19</v>
      </c>
      <c r="B14" s="2">
        <v>37663</v>
      </c>
      <c r="C14" t="s">
        <v>8</v>
      </c>
      <c r="D14" t="s">
        <v>21</v>
      </c>
      <c r="E14" s="3">
        <v>5</v>
      </c>
    </row>
    <row r="15" spans="1:11" x14ac:dyDescent="0.15">
      <c r="A15" t="s">
        <v>19</v>
      </c>
      <c r="B15" s="2">
        <v>37666</v>
      </c>
      <c r="C15" t="s">
        <v>22</v>
      </c>
      <c r="D15" t="s">
        <v>23</v>
      </c>
      <c r="E15" s="3">
        <v>266</v>
      </c>
    </row>
    <row r="16" spans="1:11" x14ac:dyDescent="0.15">
      <c r="A16" t="s">
        <v>19</v>
      </c>
      <c r="B16" s="2">
        <v>37671</v>
      </c>
      <c r="C16" t="s">
        <v>22</v>
      </c>
      <c r="D16" t="s">
        <v>24</v>
      </c>
      <c r="E16" s="3">
        <v>221</v>
      </c>
    </row>
    <row r="17" spans="1:5" x14ac:dyDescent="0.15">
      <c r="A17" t="s">
        <v>19</v>
      </c>
      <c r="B17" s="2">
        <v>37673</v>
      </c>
      <c r="C17" t="s">
        <v>12</v>
      </c>
      <c r="D17" t="s">
        <v>16</v>
      </c>
      <c r="E17" s="3">
        <v>56</v>
      </c>
    </row>
    <row r="18" spans="1:5" x14ac:dyDescent="0.15">
      <c r="A18" t="s">
        <v>19</v>
      </c>
      <c r="B18" s="2">
        <v>37675</v>
      </c>
      <c r="C18" t="s">
        <v>6</v>
      </c>
      <c r="D18" t="s">
        <v>25</v>
      </c>
      <c r="E18" s="3">
        <v>11</v>
      </c>
    </row>
    <row r="19" spans="1:5" x14ac:dyDescent="0.15">
      <c r="A19" t="s">
        <v>19</v>
      </c>
      <c r="B19" s="2">
        <v>37678</v>
      </c>
      <c r="C19" t="s">
        <v>12</v>
      </c>
      <c r="D19" t="s">
        <v>16</v>
      </c>
      <c r="E19" s="3">
        <v>25</v>
      </c>
    </row>
    <row r="20" spans="1:5" x14ac:dyDescent="0.15">
      <c r="A20" t="s">
        <v>26</v>
      </c>
      <c r="B20" s="2">
        <v>37682</v>
      </c>
      <c r="C20" t="s">
        <v>14</v>
      </c>
      <c r="D20" t="s">
        <v>29</v>
      </c>
      <c r="E20" s="3">
        <v>72.5</v>
      </c>
    </row>
    <row r="21" spans="1:5" x14ac:dyDescent="0.15">
      <c r="A21" t="s">
        <v>26</v>
      </c>
      <c r="B21" s="2">
        <v>37685</v>
      </c>
      <c r="C21" t="s">
        <v>12</v>
      </c>
      <c r="D21" t="s">
        <v>16</v>
      </c>
      <c r="E21" s="3">
        <v>30</v>
      </c>
    </row>
    <row r="22" spans="1:5" x14ac:dyDescent="0.15">
      <c r="A22" t="s">
        <v>26</v>
      </c>
      <c r="B22" s="2">
        <v>37690</v>
      </c>
      <c r="C22" t="s">
        <v>6</v>
      </c>
      <c r="D22" t="s">
        <v>7</v>
      </c>
      <c r="E22" s="3">
        <v>51</v>
      </c>
    </row>
    <row r="23" spans="1:5" x14ac:dyDescent="0.15">
      <c r="A23" t="s">
        <v>26</v>
      </c>
      <c r="B23" s="2">
        <v>37695</v>
      </c>
      <c r="C23" t="s">
        <v>8</v>
      </c>
      <c r="D23" t="s">
        <v>21</v>
      </c>
      <c r="E23" s="3">
        <v>14</v>
      </c>
    </row>
    <row r="24" spans="1:5" x14ac:dyDescent="0.15">
      <c r="A24" t="s">
        <v>26</v>
      </c>
      <c r="B24" s="2">
        <v>37699</v>
      </c>
      <c r="C24" t="s">
        <v>22</v>
      </c>
      <c r="D24" t="s">
        <v>27</v>
      </c>
      <c r="E24" s="3">
        <v>75</v>
      </c>
    </row>
    <row r="25" spans="1:5" x14ac:dyDescent="0.15">
      <c r="A25" t="s">
        <v>26</v>
      </c>
      <c r="B25" s="2">
        <v>37701</v>
      </c>
      <c r="C25" t="s">
        <v>22</v>
      </c>
      <c r="D25" t="s">
        <v>28</v>
      </c>
      <c r="E25" s="3">
        <v>270</v>
      </c>
    </row>
    <row r="26" spans="1:5" x14ac:dyDescent="0.15">
      <c r="A26" t="s">
        <v>26</v>
      </c>
      <c r="B26" s="2">
        <v>37705</v>
      </c>
      <c r="C26" t="s">
        <v>12</v>
      </c>
      <c r="D26" t="s">
        <v>16</v>
      </c>
      <c r="E26" s="3">
        <v>20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418F-BBFD-4FF5-84C2-843699CCF006}">
  <dimension ref="A1:J29"/>
  <sheetViews>
    <sheetView workbookViewId="0">
      <selection activeCell="J11" sqref="J11"/>
    </sheetView>
  </sheetViews>
  <sheetFormatPr baseColWidth="10" defaultColWidth="8.83203125" defaultRowHeight="13" x14ac:dyDescent="0.15"/>
  <cols>
    <col min="1" max="1" width="10.1640625" style="2" bestFit="1" customWidth="1"/>
    <col min="2" max="2" width="12.1640625" bestFit="1" customWidth="1"/>
    <col min="3" max="3" width="11.83203125" bestFit="1" customWidth="1"/>
    <col min="4" max="4" width="7" bestFit="1" customWidth="1"/>
    <col min="5" max="5" width="7" customWidth="1"/>
    <col min="6" max="6" width="17.5" customWidth="1"/>
    <col min="8" max="8" width="11.33203125" customWidth="1"/>
    <col min="9" max="9" width="20.83203125" style="83" customWidth="1"/>
    <col min="10" max="10" width="29.33203125" bestFit="1" customWidth="1"/>
  </cols>
  <sheetData>
    <row r="1" spans="1:10" ht="16" x14ac:dyDescent="0.2">
      <c r="A1" s="64" t="s">
        <v>660</v>
      </c>
    </row>
    <row r="2" spans="1:10" ht="16" x14ac:dyDescent="0.2">
      <c r="A2" s="64"/>
    </row>
    <row r="3" spans="1:10" ht="14" thickBot="1" x14ac:dyDescent="0.2"/>
    <row r="4" spans="1:10" ht="14" thickBot="1" x14ac:dyDescent="0.2">
      <c r="F4" s="26" t="s">
        <v>657</v>
      </c>
      <c r="G4" s="65">
        <f ca="1">TODAY()</f>
        <v>45107</v>
      </c>
      <c r="H4" s="63"/>
    </row>
    <row r="5" spans="1:10" x14ac:dyDescent="0.15">
      <c r="F5" s="63"/>
      <c r="G5" s="63"/>
      <c r="H5" s="63"/>
    </row>
    <row r="6" spans="1:10" x14ac:dyDescent="0.15">
      <c r="A6" s="2" t="s">
        <v>1</v>
      </c>
      <c r="B6" t="s">
        <v>2</v>
      </c>
      <c r="C6" t="s">
        <v>3</v>
      </c>
      <c r="D6" t="s">
        <v>4</v>
      </c>
      <c r="F6" s="26" t="s">
        <v>655</v>
      </c>
      <c r="G6" s="26" t="s">
        <v>120</v>
      </c>
      <c r="H6" s="26" t="s">
        <v>656</v>
      </c>
      <c r="I6" s="84" t="s">
        <v>658</v>
      </c>
      <c r="J6" s="26" t="s">
        <v>659</v>
      </c>
    </row>
    <row r="7" spans="1:10" x14ac:dyDescent="0.15">
      <c r="A7" s="2">
        <v>37622</v>
      </c>
      <c r="B7" t="s">
        <v>6</v>
      </c>
      <c r="C7" t="s">
        <v>7</v>
      </c>
      <c r="D7">
        <v>23</v>
      </c>
      <c r="F7">
        <f>YEAR(A7)</f>
        <v>2003</v>
      </c>
      <c r="G7">
        <f>MONTH(A7)</f>
        <v>1</v>
      </c>
      <c r="H7">
        <f>DAY(A7)</f>
        <v>1</v>
      </c>
      <c r="I7" s="83">
        <f ca="1">($G$4-A7)</f>
        <v>7485</v>
      </c>
      <c r="J7" s="83">
        <f>NETWORKDAYS(A7,$F$3)</f>
        <v>-26873</v>
      </c>
    </row>
    <row r="8" spans="1:10" x14ac:dyDescent="0.15">
      <c r="A8" s="2">
        <v>37261</v>
      </c>
      <c r="B8" t="s">
        <v>17</v>
      </c>
      <c r="C8" t="s">
        <v>9</v>
      </c>
      <c r="D8">
        <v>25</v>
      </c>
      <c r="F8">
        <f>YEAR(A8)</f>
        <v>2002</v>
      </c>
      <c r="G8">
        <f t="shared" ref="G8:G29" si="0">MONTH(A8)</f>
        <v>1</v>
      </c>
      <c r="H8">
        <f t="shared" ref="H8:H29" si="1">DAY(A8)</f>
        <v>5</v>
      </c>
      <c r="I8" s="83">
        <f t="shared" ref="I8:I29" ca="1" si="2">($G$4-A8)</f>
        <v>7846</v>
      </c>
      <c r="J8" s="83">
        <f t="shared" ref="J8:J29" si="3">NETWORKDAYS(A8,$F$3)</f>
        <v>-26615</v>
      </c>
    </row>
    <row r="9" spans="1:10" x14ac:dyDescent="0.15">
      <c r="A9" s="2">
        <v>38718</v>
      </c>
      <c r="B9" t="s">
        <v>10</v>
      </c>
      <c r="C9" t="s">
        <v>11</v>
      </c>
      <c r="D9">
        <v>69</v>
      </c>
      <c r="F9">
        <f>YEAR(A9)</f>
        <v>2006</v>
      </c>
      <c r="G9">
        <f t="shared" si="0"/>
        <v>1</v>
      </c>
      <c r="H9">
        <f t="shared" si="1"/>
        <v>1</v>
      </c>
      <c r="I9" s="83">
        <f t="shared" ca="1" si="2"/>
        <v>6389</v>
      </c>
      <c r="J9" s="83">
        <f t="shared" si="3"/>
        <v>-27655</v>
      </c>
    </row>
    <row r="10" spans="1:10" x14ac:dyDescent="0.15">
      <c r="A10" s="2">
        <v>37634</v>
      </c>
      <c r="B10" t="s">
        <v>12</v>
      </c>
      <c r="C10" t="s">
        <v>13</v>
      </c>
      <c r="D10">
        <v>554</v>
      </c>
      <c r="F10">
        <f>YEAR(A10)</f>
        <v>2003</v>
      </c>
      <c r="G10">
        <f t="shared" si="0"/>
        <v>1</v>
      </c>
      <c r="H10">
        <f t="shared" si="1"/>
        <v>13</v>
      </c>
      <c r="I10" s="83">
        <f t="shared" ca="1" si="2"/>
        <v>7473</v>
      </c>
      <c r="J10" s="83">
        <f t="shared" si="3"/>
        <v>-26881</v>
      </c>
    </row>
    <row r="11" spans="1:10" x14ac:dyDescent="0.15">
      <c r="A11" s="2">
        <v>37635</v>
      </c>
      <c r="B11" t="s">
        <v>17</v>
      </c>
      <c r="C11" t="s">
        <v>15</v>
      </c>
      <c r="D11">
        <v>569</v>
      </c>
      <c r="F11">
        <f t="shared" ref="F11:F16" si="4">YEAR(A11)</f>
        <v>2003</v>
      </c>
      <c r="G11">
        <f t="shared" si="0"/>
        <v>1</v>
      </c>
      <c r="H11">
        <f t="shared" si="1"/>
        <v>14</v>
      </c>
      <c r="I11" s="83">
        <f t="shared" ca="1" si="2"/>
        <v>7472</v>
      </c>
      <c r="J11" s="83">
        <f t="shared" si="3"/>
        <v>-26882</v>
      </c>
    </row>
    <row r="12" spans="1:10" x14ac:dyDescent="0.15">
      <c r="A12" s="2">
        <v>37642</v>
      </c>
      <c r="B12" t="s">
        <v>12</v>
      </c>
      <c r="C12" t="s">
        <v>16</v>
      </c>
      <c r="D12">
        <v>58</v>
      </c>
      <c r="F12">
        <f t="shared" si="4"/>
        <v>2003</v>
      </c>
      <c r="G12">
        <f t="shared" si="0"/>
        <v>1</v>
      </c>
      <c r="H12">
        <f t="shared" si="1"/>
        <v>21</v>
      </c>
      <c r="I12" s="83">
        <f t="shared" ca="1" si="2"/>
        <v>7465</v>
      </c>
      <c r="J12" s="83">
        <f t="shared" si="3"/>
        <v>-26887</v>
      </c>
    </row>
    <row r="13" spans="1:10" x14ac:dyDescent="0.15">
      <c r="A13" s="2">
        <v>37650</v>
      </c>
      <c r="B13" t="s">
        <v>17</v>
      </c>
      <c r="C13" t="s">
        <v>18</v>
      </c>
      <c r="D13">
        <v>885</v>
      </c>
      <c r="F13">
        <f t="shared" si="4"/>
        <v>2003</v>
      </c>
      <c r="G13">
        <f t="shared" si="0"/>
        <v>1</v>
      </c>
      <c r="H13">
        <f t="shared" si="1"/>
        <v>29</v>
      </c>
      <c r="I13" s="83">
        <f t="shared" ca="1" si="2"/>
        <v>7457</v>
      </c>
      <c r="J13" s="83">
        <f t="shared" si="3"/>
        <v>-26893</v>
      </c>
    </row>
    <row r="14" spans="1:10" x14ac:dyDescent="0.15">
      <c r="A14" s="2">
        <v>37653</v>
      </c>
      <c r="B14" t="s">
        <v>14</v>
      </c>
      <c r="C14" t="s">
        <v>20</v>
      </c>
      <c r="D14">
        <v>821</v>
      </c>
      <c r="F14">
        <f t="shared" si="4"/>
        <v>2003</v>
      </c>
      <c r="G14">
        <f t="shared" si="0"/>
        <v>2</v>
      </c>
      <c r="H14">
        <f t="shared" si="1"/>
        <v>1</v>
      </c>
      <c r="I14" s="83">
        <f t="shared" ca="1" si="2"/>
        <v>7454</v>
      </c>
      <c r="J14" s="83">
        <f t="shared" si="3"/>
        <v>-26895</v>
      </c>
    </row>
    <row r="15" spans="1:10" x14ac:dyDescent="0.15">
      <c r="A15" s="2">
        <v>37657</v>
      </c>
      <c r="B15" t="s">
        <v>12</v>
      </c>
      <c r="C15" t="s">
        <v>16</v>
      </c>
      <c r="D15">
        <v>23</v>
      </c>
      <c r="F15">
        <f t="shared" si="4"/>
        <v>2003</v>
      </c>
      <c r="G15">
        <f t="shared" si="0"/>
        <v>2</v>
      </c>
      <c r="H15">
        <f t="shared" si="1"/>
        <v>5</v>
      </c>
      <c r="I15" s="83">
        <f t="shared" ca="1" si="2"/>
        <v>7450</v>
      </c>
      <c r="J15" s="83">
        <f t="shared" si="3"/>
        <v>-26898</v>
      </c>
    </row>
    <row r="16" spans="1:10" x14ac:dyDescent="0.15">
      <c r="A16" s="2">
        <v>37658</v>
      </c>
      <c r="B16" t="s">
        <v>6</v>
      </c>
      <c r="C16" t="s">
        <v>7</v>
      </c>
      <c r="D16">
        <v>36</v>
      </c>
      <c r="F16">
        <f t="shared" si="4"/>
        <v>2003</v>
      </c>
      <c r="G16">
        <f t="shared" si="0"/>
        <v>2</v>
      </c>
      <c r="H16">
        <f t="shared" si="1"/>
        <v>6</v>
      </c>
      <c r="I16" s="83">
        <f t="shared" ca="1" si="2"/>
        <v>7449</v>
      </c>
      <c r="J16" s="83">
        <f t="shared" si="3"/>
        <v>-26899</v>
      </c>
    </row>
    <row r="17" spans="1:10" x14ac:dyDescent="0.15">
      <c r="A17" s="2">
        <v>37663</v>
      </c>
      <c r="B17" t="s">
        <v>8</v>
      </c>
      <c r="C17" t="s">
        <v>21</v>
      </c>
      <c r="D17">
        <v>5</v>
      </c>
      <c r="F17">
        <f>YEAR(A17)</f>
        <v>2003</v>
      </c>
      <c r="G17">
        <f t="shared" si="0"/>
        <v>2</v>
      </c>
      <c r="H17">
        <f t="shared" si="1"/>
        <v>11</v>
      </c>
      <c r="I17" s="83">
        <f t="shared" ca="1" si="2"/>
        <v>7444</v>
      </c>
      <c r="J17" s="83">
        <f t="shared" si="3"/>
        <v>-26902</v>
      </c>
    </row>
    <row r="18" spans="1:10" x14ac:dyDescent="0.15">
      <c r="A18" s="2">
        <v>37666</v>
      </c>
      <c r="B18" t="s">
        <v>22</v>
      </c>
      <c r="C18" t="s">
        <v>23</v>
      </c>
      <c r="D18">
        <v>266</v>
      </c>
      <c r="F18">
        <f>YEAR(A18)</f>
        <v>2003</v>
      </c>
      <c r="G18">
        <f t="shared" si="0"/>
        <v>2</v>
      </c>
      <c r="H18">
        <f t="shared" si="1"/>
        <v>14</v>
      </c>
      <c r="I18" s="83">
        <f t="shared" ca="1" si="2"/>
        <v>7441</v>
      </c>
      <c r="J18" s="83">
        <f t="shared" si="3"/>
        <v>-26905</v>
      </c>
    </row>
    <row r="19" spans="1:10" x14ac:dyDescent="0.15">
      <c r="A19" s="2">
        <v>38402</v>
      </c>
      <c r="B19" t="s">
        <v>22</v>
      </c>
      <c r="C19" t="s">
        <v>24</v>
      </c>
      <c r="D19">
        <v>221</v>
      </c>
      <c r="F19">
        <f>YEAR(A19)</f>
        <v>2005</v>
      </c>
      <c r="G19">
        <f t="shared" si="0"/>
        <v>2</v>
      </c>
      <c r="H19">
        <f t="shared" si="1"/>
        <v>19</v>
      </c>
      <c r="I19" s="83">
        <f t="shared" ca="1" si="2"/>
        <v>6705</v>
      </c>
      <c r="J19" s="83">
        <f t="shared" si="3"/>
        <v>-27430</v>
      </c>
    </row>
    <row r="20" spans="1:10" x14ac:dyDescent="0.15">
      <c r="A20" s="2">
        <v>37673</v>
      </c>
      <c r="B20" t="s">
        <v>12</v>
      </c>
      <c r="C20" t="s">
        <v>16</v>
      </c>
      <c r="D20">
        <v>56</v>
      </c>
      <c r="F20">
        <f>YEAR(A20)</f>
        <v>2003</v>
      </c>
      <c r="G20">
        <f t="shared" si="0"/>
        <v>2</v>
      </c>
      <c r="H20">
        <f t="shared" si="1"/>
        <v>21</v>
      </c>
      <c r="I20" s="83">
        <f t="shared" ca="1" si="2"/>
        <v>7434</v>
      </c>
      <c r="J20" s="83">
        <f t="shared" si="3"/>
        <v>-26910</v>
      </c>
    </row>
    <row r="21" spans="1:10" x14ac:dyDescent="0.15">
      <c r="A21" s="2">
        <v>37675</v>
      </c>
      <c r="B21" t="s">
        <v>6</v>
      </c>
      <c r="C21" t="s">
        <v>25</v>
      </c>
      <c r="D21">
        <v>11</v>
      </c>
      <c r="F21">
        <f t="shared" ref="F21:F25" si="5">YEAR(A21)</f>
        <v>2003</v>
      </c>
      <c r="G21">
        <f t="shared" si="0"/>
        <v>2</v>
      </c>
      <c r="H21">
        <f t="shared" si="1"/>
        <v>23</v>
      </c>
      <c r="I21" s="83">
        <f t="shared" ca="1" si="2"/>
        <v>7432</v>
      </c>
      <c r="J21" s="83">
        <f t="shared" si="3"/>
        <v>-26910</v>
      </c>
    </row>
    <row r="22" spans="1:10" x14ac:dyDescent="0.15">
      <c r="A22" s="2">
        <v>37678</v>
      </c>
      <c r="B22" t="s">
        <v>12</v>
      </c>
      <c r="C22" t="s">
        <v>16</v>
      </c>
      <c r="D22">
        <v>25</v>
      </c>
      <c r="F22">
        <f t="shared" si="5"/>
        <v>2003</v>
      </c>
      <c r="G22">
        <f t="shared" si="0"/>
        <v>2</v>
      </c>
      <c r="H22">
        <f t="shared" si="1"/>
        <v>26</v>
      </c>
      <c r="I22" s="83">
        <f t="shared" ca="1" si="2"/>
        <v>7429</v>
      </c>
      <c r="J22" s="83">
        <f t="shared" si="3"/>
        <v>-26913</v>
      </c>
    </row>
    <row r="23" spans="1:10" x14ac:dyDescent="0.15">
      <c r="A23" s="2">
        <v>38048</v>
      </c>
      <c r="B23" t="s">
        <v>14</v>
      </c>
      <c r="C23" t="s">
        <v>29</v>
      </c>
      <c r="D23">
        <v>72.5</v>
      </c>
      <c r="F23">
        <f t="shared" si="5"/>
        <v>2004</v>
      </c>
      <c r="G23">
        <f t="shared" si="0"/>
        <v>3</v>
      </c>
      <c r="H23">
        <f t="shared" si="1"/>
        <v>2</v>
      </c>
      <c r="I23" s="83">
        <f t="shared" ca="1" si="2"/>
        <v>7059</v>
      </c>
      <c r="J23" s="83">
        <f t="shared" si="3"/>
        <v>-27177</v>
      </c>
    </row>
    <row r="24" spans="1:10" x14ac:dyDescent="0.15">
      <c r="A24" s="2">
        <v>37685</v>
      </c>
      <c r="B24" t="s">
        <v>12</v>
      </c>
      <c r="C24" t="s">
        <v>16</v>
      </c>
      <c r="D24">
        <v>30</v>
      </c>
      <c r="F24">
        <f t="shared" si="5"/>
        <v>2003</v>
      </c>
      <c r="G24">
        <f t="shared" si="0"/>
        <v>3</v>
      </c>
      <c r="H24">
        <f t="shared" si="1"/>
        <v>5</v>
      </c>
      <c r="I24" s="83">
        <f t="shared" ca="1" si="2"/>
        <v>7422</v>
      </c>
      <c r="J24" s="83">
        <f t="shared" si="3"/>
        <v>-26918</v>
      </c>
    </row>
    <row r="25" spans="1:10" x14ac:dyDescent="0.15">
      <c r="A25" s="2">
        <v>37690</v>
      </c>
      <c r="B25" t="s">
        <v>6</v>
      </c>
      <c r="C25" t="s">
        <v>7</v>
      </c>
      <c r="D25">
        <v>51</v>
      </c>
      <c r="F25">
        <f t="shared" si="5"/>
        <v>2003</v>
      </c>
      <c r="G25">
        <f t="shared" si="0"/>
        <v>3</v>
      </c>
      <c r="H25">
        <f t="shared" si="1"/>
        <v>10</v>
      </c>
      <c r="I25" s="83">
        <f t="shared" ca="1" si="2"/>
        <v>7417</v>
      </c>
      <c r="J25" s="83">
        <f t="shared" si="3"/>
        <v>-26921</v>
      </c>
    </row>
    <row r="26" spans="1:10" x14ac:dyDescent="0.15">
      <c r="A26" s="2">
        <v>37695</v>
      </c>
      <c r="B26" t="s">
        <v>8</v>
      </c>
      <c r="C26" t="s">
        <v>21</v>
      </c>
      <c r="D26">
        <v>14</v>
      </c>
      <c r="F26">
        <f>YEAR(A26)</f>
        <v>2003</v>
      </c>
      <c r="G26">
        <f t="shared" si="0"/>
        <v>3</v>
      </c>
      <c r="H26">
        <f t="shared" si="1"/>
        <v>15</v>
      </c>
      <c r="I26" s="83">
        <f t="shared" ca="1" si="2"/>
        <v>7412</v>
      </c>
      <c r="J26" s="83">
        <f t="shared" si="3"/>
        <v>-26925</v>
      </c>
    </row>
    <row r="27" spans="1:10" x14ac:dyDescent="0.15">
      <c r="A27" s="2">
        <v>38065</v>
      </c>
      <c r="B27" t="s">
        <v>22</v>
      </c>
      <c r="C27" t="s">
        <v>27</v>
      </c>
      <c r="D27">
        <v>75</v>
      </c>
      <c r="F27">
        <f>YEAR(A27)</f>
        <v>2004</v>
      </c>
      <c r="G27">
        <f t="shared" si="0"/>
        <v>3</v>
      </c>
      <c r="H27">
        <f t="shared" si="1"/>
        <v>19</v>
      </c>
      <c r="I27" s="83">
        <f t="shared" ca="1" si="2"/>
        <v>7042</v>
      </c>
      <c r="J27" s="83">
        <f t="shared" si="3"/>
        <v>-27190</v>
      </c>
    </row>
    <row r="28" spans="1:10" x14ac:dyDescent="0.15">
      <c r="A28" s="2">
        <v>39528</v>
      </c>
      <c r="B28" t="s">
        <v>22</v>
      </c>
      <c r="C28" t="s">
        <v>28</v>
      </c>
      <c r="D28">
        <v>270</v>
      </c>
      <c r="F28">
        <f>YEAR(A28)</f>
        <v>2008</v>
      </c>
      <c r="G28">
        <f t="shared" si="0"/>
        <v>3</v>
      </c>
      <c r="H28">
        <f t="shared" si="1"/>
        <v>21</v>
      </c>
      <c r="I28" s="83">
        <f t="shared" ca="1" si="2"/>
        <v>5579</v>
      </c>
      <c r="J28" s="83">
        <f t="shared" si="3"/>
        <v>-28235</v>
      </c>
    </row>
    <row r="29" spans="1:10" x14ac:dyDescent="0.15">
      <c r="A29" s="2">
        <v>37705</v>
      </c>
      <c r="B29" t="s">
        <v>12</v>
      </c>
      <c r="C29" t="s">
        <v>16</v>
      </c>
      <c r="D29">
        <v>20</v>
      </c>
      <c r="F29">
        <f>YEAR(A29)</f>
        <v>2003</v>
      </c>
      <c r="G29">
        <f t="shared" si="0"/>
        <v>3</v>
      </c>
      <c r="H29">
        <f t="shared" si="1"/>
        <v>25</v>
      </c>
      <c r="I29" s="83">
        <f t="shared" ca="1" si="2"/>
        <v>7402</v>
      </c>
      <c r="J29" s="83">
        <f t="shared" si="3"/>
        <v>-26932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21</vt:i4>
      </vt:variant>
    </vt:vector>
  </HeadingPairs>
  <TitlesOfParts>
    <vt:vector size="29" baseType="lpstr">
      <vt:lpstr>Assoluti_Iva</vt:lpstr>
      <vt:lpstr>FUNZIONI VARIE</vt:lpstr>
      <vt:lpstr>Cerca_Vert_Giudizio</vt:lpstr>
      <vt:lpstr>Cerca_Vert_Spese</vt:lpstr>
      <vt:lpstr>Grafico Torta</vt:lpstr>
      <vt:lpstr>CONTA_SE</vt:lpstr>
      <vt:lpstr>Somma_SE</vt:lpstr>
      <vt:lpstr>date</vt:lpstr>
      <vt:lpstr>ACCES</vt:lpstr>
      <vt:lpstr>Assoluti_Iva!Area_stampa</vt:lpstr>
      <vt:lpstr>CAB</vt:lpstr>
      <vt:lpstr>CDROM</vt:lpstr>
      <vt:lpstr>CONT</vt:lpstr>
      <vt:lpstr>CPU</vt:lpstr>
      <vt:lpstr>DATI</vt:lpstr>
      <vt:lpstr>HD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sara santoni</cp:lastModifiedBy>
  <cp:revision>1</cp:revision>
  <cp:lastPrinted>2021-07-07T07:22:11Z</cp:lastPrinted>
  <dcterms:created xsi:type="dcterms:W3CDTF">2005-04-12T12:35:30Z</dcterms:created>
  <dcterms:modified xsi:type="dcterms:W3CDTF">2023-06-30T18:29:11Z</dcterms:modified>
  <cp:category>Excel;Corsi Excel</cp:category>
</cp:coreProperties>
</file>